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pivotTables/pivotTable26.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tables/table3.xml" ContentType="application/vnd.openxmlformats-officedocument.spreadsheetml.tab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pivotTables/pivotTable27.xml" ContentType="application/vnd.openxmlformats-officedocument.spreadsheetml.pivotTable+xml"/>
  <Override PartName="/xl/drawings/drawing7.xml" ContentType="application/vnd.openxmlformats-officedocument.drawing+xml"/>
  <Override PartName="/xl/slicers/slicer3.xml" ContentType="application/vnd.ms-excel.slicer+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pivotTables/pivotTable28.xml" ContentType="application/vnd.openxmlformats-officedocument.spreadsheetml.pivotTable+xml"/>
  <Override PartName="/xl/drawings/drawing8.xml" ContentType="application/vnd.openxmlformats-officedocument.drawing+xml"/>
  <Override PartName="/xl/slicers/slicer4.xml" ContentType="application/vnd.ms-excel.slicer+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9.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mc:AlternateContent xmlns:mc="http://schemas.openxmlformats.org/markup-compatibility/2006">
    <mc:Choice Requires="x15">
      <x15ac:absPath xmlns:x15ac="http://schemas.microsoft.com/office/spreadsheetml/2010/11/ac" url="C:\Users\mthaw\Mee Mee\2. Information Management\B_ 4 W\002. 4Ws matrix\004.Yangon\Final\2020\2020_Q2\"/>
    </mc:Choice>
  </mc:AlternateContent>
  <xr:revisionPtr revIDLastSave="0" documentId="13_ncr:1_{3AA738DF-7280-4DB8-955C-77F6DEADD8AE}" xr6:coauthVersionLast="44" xr6:coauthVersionMax="44" xr10:uidLastSave="{00000000-0000-0000-0000-000000000000}"/>
  <bookViews>
    <workbookView xWindow="-108" yWindow="-108" windowWidth="23256" windowHeight="12576" tabRatio="876" firstSheet="1" activeTab="1" xr2:uid="{00000000-000D-0000-FFFF-FFFF00000000}"/>
  </bookViews>
  <sheets>
    <sheet name="Guide" sheetId="81" r:id="rId1"/>
    <sheet name="DATABASE" sheetId="25" r:id="rId2"/>
    <sheet name="Site_DB" sheetId="91" r:id="rId3"/>
    <sheet name="Indicator Summary  Eng" sheetId="123" r:id="rId4"/>
    <sheet name="Indicator Summary  MM" sheetId="120" state="hidden" r:id="rId5"/>
    <sheet name="HRP Calculations" sheetId="122" r:id="rId6"/>
    <sheet name="HRP" sheetId="89" r:id="rId7"/>
    <sheet name="Analysis" sheetId="92" r:id="rId8"/>
    <sheet name="Quarterly Dashboard" sheetId="100" r:id="rId9"/>
    <sheet name="Rakhine" sheetId="127" r:id="rId10"/>
    <sheet name="By Site" sheetId="102" r:id="rId11"/>
    <sheet name="Tracking Dashboard" sheetId="114" r:id="rId12"/>
    <sheet name="Lookup" sheetId="32" state="hidden" r:id="rId13"/>
  </sheets>
  <externalReferences>
    <externalReference r:id="rId14"/>
    <externalReference r:id="rId15"/>
    <externalReference r:id="rId16"/>
    <externalReference r:id="rId17"/>
    <externalReference r:id="rId18"/>
  </externalReferences>
  <definedNames>
    <definedName name="_Fill" localSheetId="10" hidden="1">#REF!</definedName>
    <definedName name="_Fill" localSheetId="5" hidden="1">#REF!</definedName>
    <definedName name="_Fill" localSheetId="3" hidden="1">#REF!</definedName>
    <definedName name="_Fill" localSheetId="9" hidden="1">#REF!</definedName>
    <definedName name="_Fill" hidden="1">#REF!</definedName>
    <definedName name="_xlnm._FilterDatabase" localSheetId="1" hidden="1">DATABASE!#REF!</definedName>
    <definedName name="_xlnm._FilterDatabase" localSheetId="3" hidden="1">'Indicator Summary  Eng'!$B$2:$G$42</definedName>
    <definedName name="_xlnm._FilterDatabase" localSheetId="12" hidden="1">Lookup!$A$3:$AA$457</definedName>
    <definedName name="_Key1" localSheetId="10" hidden="1">[1]Data!#REF!</definedName>
    <definedName name="_Key1" localSheetId="5" hidden="1">[1]Data!#REF!</definedName>
    <definedName name="_Key1" localSheetId="3" hidden="1">[1]Data!#REF!</definedName>
    <definedName name="_Key1" localSheetId="9" hidden="1">[1]Data!#REF!</definedName>
    <definedName name="_Key1" hidden="1">[1]Data!#REF!</definedName>
    <definedName name="_Order1" hidden="1">255</definedName>
    <definedName name="a" localSheetId="5" hidden="1">#REF!</definedName>
    <definedName name="a" localSheetId="3" hidden="1">#REF!</definedName>
    <definedName name="a" hidden="1">#REF!</definedName>
    <definedName name="b">[2]!SiteDB6[[#Headers],[Township]]</definedName>
    <definedName name="_xlnm.Print_Area" localSheetId="5">'HRP Calculations'!$A$1:$E$11</definedName>
    <definedName name="_xlnm.Print_Area" localSheetId="3">'Indicator Summary  Eng'!$B$1:$F$42</definedName>
    <definedName name="_xlnm.Print_Area" localSheetId="4">'Indicator Summary  MM'!$A$2:$F$70</definedName>
    <definedName name="_xlnm.Print_Area" localSheetId="9">Rakhine!$A$1:$Q$81</definedName>
    <definedName name="_xlnm.Print_Titles" localSheetId="3">'Indicator Summary  Eng'!$1:$2</definedName>
    <definedName name="_xlnm.Print_Titles" localSheetId="4">'Indicator Summary  MM'!$1:$2</definedName>
    <definedName name="Sasha" localSheetId="5" hidden="1">{#N/A,#N/A,FALSE,"Truck Rent"}</definedName>
    <definedName name="Sasha" localSheetId="3" hidden="1">{#N/A,#N/A,FALSE,"Truck Rent"}</definedName>
    <definedName name="Sasha" hidden="1">{#N/A,#N/A,FALSE,"Truck Rent"}</definedName>
    <definedName name="Slicer_Covered">#N/A</definedName>
    <definedName name="Slicer_Location_Type">#N/A</definedName>
    <definedName name="Slicer_Location_Type1">#N/A</definedName>
    <definedName name="Slicer_Location_Type2">#N/A</definedName>
    <definedName name="Slicer_Reporting_Period">#N/A</definedName>
    <definedName name="Slicer_Reporting_Period1">#N/A</definedName>
    <definedName name="Slicer_State">#N/A</definedName>
    <definedName name="Slicer_State1">#N/A</definedName>
    <definedName name="Slicer_State11">#N/A</definedName>
    <definedName name="Slicer_State2">#N/A</definedName>
    <definedName name="Slicer_Township">#N/A</definedName>
    <definedName name="Slicer_Township1">#N/A</definedName>
    <definedName name="Slicer_Township2">#N/A</definedName>
    <definedName name="Slicer_Type_of_accommodation">#N/A</definedName>
    <definedName name="Slicer_WASH_implementing_agency">#N/A</definedName>
    <definedName name="Slicer_WASH_implementing_agency1">#N/A</definedName>
    <definedName name="Slicer_WASH_project_agency">#N/A</definedName>
    <definedName name="State_list" localSheetId="5">[3]Lookup!$AB$4:$AB$83</definedName>
    <definedName name="State_list" localSheetId="3">[3]Lookup!$AB$4:$AB$83</definedName>
    <definedName name="State_list">Lookup!$AB$4:$AB$84</definedName>
    <definedName name="Statestart_1" localSheetId="5">[3]Lookup!$AB$3</definedName>
    <definedName name="Statestart_1" localSheetId="3">[3]Lookup!$AB$3</definedName>
    <definedName name="Statestart_1">Lookup!$AB$3</definedName>
    <definedName name="Township_list" localSheetId="5">[3]!SiteDB6[Township]</definedName>
    <definedName name="Township_list" localSheetId="3">[3]!SiteDB6[Township]</definedName>
    <definedName name="Township_list" localSheetId="9">SiteDB6[Township]</definedName>
    <definedName name="Township_list">SiteDB6[Township]</definedName>
    <definedName name="Township_start" localSheetId="5">[3]!SiteDB6[[#Headers],[Township]]</definedName>
    <definedName name="Township_start" localSheetId="3">[3]!SiteDB6[[#Headers],[Township]]</definedName>
    <definedName name="Township_start" localSheetId="9">SiteDB6[[#Headers],[Township]]</definedName>
    <definedName name="Township_start">SiteDB6[[#Headers],[Township]]</definedName>
    <definedName name="TSps">Lookup!$AC$3:$AC$84</definedName>
    <definedName name="wrn.MUSA._.TRUCKS." localSheetId="5" hidden="1">{#N/A,#N/A,FALSE,"Truck Rent"}</definedName>
    <definedName name="wrn.MUSA._.TRUCKS." localSheetId="3" hidden="1">{#N/A,#N/A,FALSE,"Truck Rent"}</definedName>
    <definedName name="wrn.MUSA._.TRUCKS." hidden="1">{#N/A,#N/A,FALSE,"Truck Rent"}</definedName>
  </definedNames>
  <calcPr calcId="191029"/>
  <pivotCaches>
    <pivotCache cacheId="0" r:id="rId19"/>
  </pivotCaches>
  <extLst>
    <ext xmlns:x14="http://schemas.microsoft.com/office/spreadsheetml/2009/9/main" uri="{BBE1A952-AA13-448e-AADC-164F8A28A991}">
      <x14:slicerCaches>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 r:id="rId3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6" i="127" l="1"/>
  <c r="N35" i="92"/>
  <c r="N36" i="92"/>
  <c r="N34" i="92"/>
  <c r="F29" i="89" l="1"/>
  <c r="E29" i="89"/>
  <c r="F22" i="89"/>
  <c r="E22" i="89"/>
  <c r="G409" i="25"/>
  <c r="G408" i="25"/>
  <c r="G407" i="25"/>
  <c r="G406" i="25"/>
  <c r="G405" i="25"/>
  <c r="G404" i="25"/>
  <c r="G403" i="25"/>
  <c r="G402" i="25"/>
  <c r="G401" i="25"/>
  <c r="G400" i="25"/>
  <c r="G399" i="25"/>
  <c r="G398" i="25"/>
  <c r="G397" i="25"/>
  <c r="G396" i="25"/>
  <c r="G395" i="25"/>
  <c r="G394" i="25"/>
  <c r="G393" i="25"/>
  <c r="G392" i="25"/>
  <c r="G391" i="25"/>
  <c r="G390" i="25"/>
  <c r="G389" i="25"/>
  <c r="AT389" i="25"/>
  <c r="AU389" i="25" s="1"/>
  <c r="AT390" i="25"/>
  <c r="AU390" i="25" s="1"/>
  <c r="AT391" i="25"/>
  <c r="AU391" i="25" s="1"/>
  <c r="AT392" i="25"/>
  <c r="AU392" i="25" s="1"/>
  <c r="AT393" i="25"/>
  <c r="AU393" i="25" s="1"/>
  <c r="AT394" i="25"/>
  <c r="AU394" i="25" s="1"/>
  <c r="AT395" i="25"/>
  <c r="AU395" i="25" s="1"/>
  <c r="AT396" i="25"/>
  <c r="AU396" i="25" s="1"/>
  <c r="AT397" i="25"/>
  <c r="AU397" i="25" s="1"/>
  <c r="AT398" i="25"/>
  <c r="AU398" i="25" s="1"/>
  <c r="AT399" i="25"/>
  <c r="AU399" i="25" s="1"/>
  <c r="AT400" i="25"/>
  <c r="AU400" i="25" s="1"/>
  <c r="AT401" i="25"/>
  <c r="AU401" i="25" s="1"/>
  <c r="AT402" i="25"/>
  <c r="AU402" i="25" s="1"/>
  <c r="AT403" i="25"/>
  <c r="AU403" i="25" s="1"/>
  <c r="AT404" i="25"/>
  <c r="AU404" i="25" s="1"/>
  <c r="AT405" i="25"/>
  <c r="AU405" i="25" s="1"/>
  <c r="AT406" i="25"/>
  <c r="AU406" i="25" s="1"/>
  <c r="AT407" i="25"/>
  <c r="AU407" i="25" s="1"/>
  <c r="AT408" i="25"/>
  <c r="AU408" i="25" s="1"/>
  <c r="AT409" i="25"/>
  <c r="AU409" i="25" s="1"/>
  <c r="AV389" i="25"/>
  <c r="AV390" i="25"/>
  <c r="AW390" i="25" s="1"/>
  <c r="AV391" i="25"/>
  <c r="AW391" i="25" s="1"/>
  <c r="AV392" i="25"/>
  <c r="AW392" i="25" s="1"/>
  <c r="AV393" i="25"/>
  <c r="AV394" i="25"/>
  <c r="AW394" i="25" s="1"/>
  <c r="AV395" i="25"/>
  <c r="AW395" i="25" s="1"/>
  <c r="AV396" i="25"/>
  <c r="AW396" i="25" s="1"/>
  <c r="AV397" i="25"/>
  <c r="AW397" i="25" s="1"/>
  <c r="AV398" i="25"/>
  <c r="AW398" i="25" s="1"/>
  <c r="AV399" i="25"/>
  <c r="AV400" i="25"/>
  <c r="AW400" i="25" s="1"/>
  <c r="AV401" i="25"/>
  <c r="AV402" i="25"/>
  <c r="AW402" i="25" s="1"/>
  <c r="AV403" i="25"/>
  <c r="AW403" i="25" s="1"/>
  <c r="AV404" i="25"/>
  <c r="AW404" i="25" s="1"/>
  <c r="AV405" i="25"/>
  <c r="AW405" i="25" s="1"/>
  <c r="AV406" i="25"/>
  <c r="AW406" i="25" s="1"/>
  <c r="AV407" i="25"/>
  <c r="AW407" i="25" s="1"/>
  <c r="AV408" i="25"/>
  <c r="AW408" i="25" s="1"/>
  <c r="AV409" i="25"/>
  <c r="BD389" i="25"/>
  <c r="BD390" i="25"/>
  <c r="BD391" i="25"/>
  <c r="BD392" i="25"/>
  <c r="BD393" i="25"/>
  <c r="BD394" i="25"/>
  <c r="BD395" i="25"/>
  <c r="BD396" i="25"/>
  <c r="BD397" i="25"/>
  <c r="BD398" i="25"/>
  <c r="BD399" i="25"/>
  <c r="BD400" i="25"/>
  <c r="BD401" i="25"/>
  <c r="BD402" i="25"/>
  <c r="BD403" i="25"/>
  <c r="BD404" i="25"/>
  <c r="BD405" i="25"/>
  <c r="BD406" i="25"/>
  <c r="BD407" i="25"/>
  <c r="BD408" i="25"/>
  <c r="BD409" i="25"/>
  <c r="BE389" i="25"/>
  <c r="BJ389" i="25" s="1"/>
  <c r="BE390" i="25"/>
  <c r="BJ390" i="25" s="1"/>
  <c r="BE391" i="25"/>
  <c r="BJ391" i="25" s="1"/>
  <c r="BE392" i="25"/>
  <c r="BF392" i="25" s="1"/>
  <c r="BE393" i="25"/>
  <c r="BF393" i="25" s="1"/>
  <c r="BE394" i="25"/>
  <c r="BJ394" i="25" s="1"/>
  <c r="BE395" i="25"/>
  <c r="BF395" i="25" s="1"/>
  <c r="BE396" i="25"/>
  <c r="BF396" i="25" s="1"/>
  <c r="BE397" i="25"/>
  <c r="BJ397" i="25" s="1"/>
  <c r="BE398" i="25"/>
  <c r="BF398" i="25" s="1"/>
  <c r="BE399" i="25"/>
  <c r="BJ399" i="25" s="1"/>
  <c r="BE400" i="25"/>
  <c r="BJ400" i="25" s="1"/>
  <c r="BE401" i="25"/>
  <c r="BF401" i="25" s="1"/>
  <c r="BE402" i="25"/>
  <c r="BJ402" i="25" s="1"/>
  <c r="BE403" i="25"/>
  <c r="BF403" i="25" s="1"/>
  <c r="BE404" i="25"/>
  <c r="BF404" i="25" s="1"/>
  <c r="BE405" i="25"/>
  <c r="BF405" i="25" s="1"/>
  <c r="BE406" i="25"/>
  <c r="BJ406" i="25" s="1"/>
  <c r="BE407" i="25"/>
  <c r="BJ407" i="25" s="1"/>
  <c r="BE408" i="25"/>
  <c r="BJ408" i="25" s="1"/>
  <c r="BE409" i="25"/>
  <c r="BF409" i="25" s="1"/>
  <c r="BG389" i="25"/>
  <c r="BG390" i="25"/>
  <c r="BG391" i="25"/>
  <c r="BG392" i="25"/>
  <c r="BG393" i="25"/>
  <c r="BG394" i="25"/>
  <c r="BG395" i="25"/>
  <c r="BG396" i="25"/>
  <c r="BG397" i="25"/>
  <c r="BG398" i="25"/>
  <c r="BG399" i="25"/>
  <c r="BG400" i="25"/>
  <c r="BG401" i="25"/>
  <c r="BG402" i="25"/>
  <c r="BG403" i="25"/>
  <c r="BG404" i="25"/>
  <c r="BG405" i="25"/>
  <c r="BG406" i="25"/>
  <c r="BG407" i="25"/>
  <c r="BG408" i="25"/>
  <c r="BG409" i="25"/>
  <c r="BH389" i="25"/>
  <c r="BI389" i="25" s="1"/>
  <c r="BH390" i="25"/>
  <c r="BI390" i="25" s="1"/>
  <c r="BH391" i="25"/>
  <c r="BI391" i="25" s="1"/>
  <c r="BH392" i="25"/>
  <c r="BI392" i="25" s="1"/>
  <c r="BH393" i="25"/>
  <c r="BI393" i="25" s="1"/>
  <c r="BH394" i="25"/>
  <c r="BI394" i="25" s="1"/>
  <c r="BH395" i="25"/>
  <c r="BI395" i="25" s="1"/>
  <c r="BH396" i="25"/>
  <c r="BI396" i="25" s="1"/>
  <c r="BH397" i="25"/>
  <c r="BI397" i="25" s="1"/>
  <c r="BH398" i="25"/>
  <c r="BI398" i="25" s="1"/>
  <c r="BH399" i="25"/>
  <c r="BI399" i="25" s="1"/>
  <c r="BH400" i="25"/>
  <c r="BI400" i="25" s="1"/>
  <c r="BH401" i="25"/>
  <c r="BI401" i="25" s="1"/>
  <c r="BH402" i="25"/>
  <c r="BI402" i="25" s="1"/>
  <c r="BH403" i="25"/>
  <c r="BI403" i="25" s="1"/>
  <c r="BH404" i="25"/>
  <c r="BI404" i="25" s="1"/>
  <c r="BH405" i="25"/>
  <c r="BI405" i="25" s="1"/>
  <c r="BH406" i="25"/>
  <c r="BI406" i="25" s="1"/>
  <c r="BH407" i="25"/>
  <c r="BI407" i="25" s="1"/>
  <c r="BH408" i="25"/>
  <c r="BI408" i="25" s="1"/>
  <c r="BH409" i="25"/>
  <c r="BI409" i="25" s="1"/>
  <c r="BK389" i="25"/>
  <c r="BK390" i="25"/>
  <c r="BK391" i="25"/>
  <c r="BP391" i="25" s="1"/>
  <c r="BK392" i="25"/>
  <c r="BP392" i="25" s="1"/>
  <c r="BK393" i="25"/>
  <c r="BP393" i="25" s="1"/>
  <c r="BK394" i="25"/>
  <c r="BP394" i="25" s="1"/>
  <c r="BK395" i="25"/>
  <c r="BP395" i="25" s="1"/>
  <c r="BK396" i="25"/>
  <c r="BP396" i="25" s="1"/>
  <c r="BK397" i="25"/>
  <c r="BK398" i="25"/>
  <c r="BK399" i="25"/>
  <c r="BK400" i="25"/>
  <c r="BP400" i="25" s="1"/>
  <c r="BK401" i="25"/>
  <c r="BP401" i="25" s="1"/>
  <c r="BK402" i="25"/>
  <c r="BP402" i="25" s="1"/>
  <c r="BK403" i="25"/>
  <c r="BP403" i="25" s="1"/>
  <c r="BK404" i="25"/>
  <c r="BP404" i="25" s="1"/>
  <c r="BK405" i="25"/>
  <c r="BK406" i="25"/>
  <c r="BK407" i="25"/>
  <c r="BP407" i="25" s="1"/>
  <c r="BK408" i="25"/>
  <c r="BP408" i="25" s="1"/>
  <c r="BK409" i="25"/>
  <c r="BP409" i="25" s="1"/>
  <c r="BL389" i="25"/>
  <c r="BL390" i="25"/>
  <c r="BL391" i="25"/>
  <c r="BL392" i="25"/>
  <c r="BL393" i="25"/>
  <c r="BL394" i="25"/>
  <c r="BL395" i="25"/>
  <c r="BL396" i="25"/>
  <c r="BL397" i="25"/>
  <c r="BL398" i="25"/>
  <c r="BL399" i="25"/>
  <c r="BL400" i="25"/>
  <c r="BL401" i="25"/>
  <c r="BL402" i="25"/>
  <c r="BL403" i="25"/>
  <c r="BL404" i="25"/>
  <c r="BL405" i="25"/>
  <c r="BL406" i="25"/>
  <c r="BL407" i="25"/>
  <c r="BL408" i="25"/>
  <c r="BL409" i="25"/>
  <c r="BP399" i="25"/>
  <c r="BQ389" i="25"/>
  <c r="BQ390" i="25"/>
  <c r="BQ391" i="25"/>
  <c r="BQ392" i="25"/>
  <c r="BQ393" i="25"/>
  <c r="BQ394" i="25"/>
  <c r="BQ395" i="25"/>
  <c r="BQ396" i="25"/>
  <c r="BQ397" i="25"/>
  <c r="BQ398" i="25"/>
  <c r="BQ399" i="25"/>
  <c r="BQ400" i="25"/>
  <c r="BQ401" i="25"/>
  <c r="BQ402" i="25"/>
  <c r="BQ403" i="25"/>
  <c r="BQ404" i="25"/>
  <c r="BQ405" i="25"/>
  <c r="BQ406" i="25"/>
  <c r="BQ407" i="25"/>
  <c r="BQ408" i="25"/>
  <c r="BQ409" i="25"/>
  <c r="BR389" i="25"/>
  <c r="BR390" i="25"/>
  <c r="BR391" i="25"/>
  <c r="BR392" i="25"/>
  <c r="BR393" i="25"/>
  <c r="BR394" i="25"/>
  <c r="BR395" i="25"/>
  <c r="BR396" i="25"/>
  <c r="BR397" i="25"/>
  <c r="BR398" i="25"/>
  <c r="BR399" i="25"/>
  <c r="BR400" i="25"/>
  <c r="BR401" i="25"/>
  <c r="BR402" i="25"/>
  <c r="BR403" i="25"/>
  <c r="BR404" i="25"/>
  <c r="BR405" i="25"/>
  <c r="BR406" i="25"/>
  <c r="BR407" i="25"/>
  <c r="BR408" i="25"/>
  <c r="BR409" i="25"/>
  <c r="BT389" i="25"/>
  <c r="BT390" i="25"/>
  <c r="BT391" i="25"/>
  <c r="BT392" i="25"/>
  <c r="BT393" i="25"/>
  <c r="BT394" i="25"/>
  <c r="BT395" i="25"/>
  <c r="BT396" i="25"/>
  <c r="BT397" i="25"/>
  <c r="BT398" i="25"/>
  <c r="BT399" i="25"/>
  <c r="BT400" i="25"/>
  <c r="BT401" i="25"/>
  <c r="BT402" i="25"/>
  <c r="BT403" i="25"/>
  <c r="BT404" i="25"/>
  <c r="BT405" i="25"/>
  <c r="BT406" i="25"/>
  <c r="BT407" i="25"/>
  <c r="BT408" i="25"/>
  <c r="BT409" i="25"/>
  <c r="BU389" i="25"/>
  <c r="BU390" i="25"/>
  <c r="BU391" i="25"/>
  <c r="BU392" i="25"/>
  <c r="BU393" i="25"/>
  <c r="BU394" i="25"/>
  <c r="BU395" i="25"/>
  <c r="BU396" i="25"/>
  <c r="BU397" i="25"/>
  <c r="BU398" i="25"/>
  <c r="BU399" i="25"/>
  <c r="BU400" i="25"/>
  <c r="BU401" i="25"/>
  <c r="BU402" i="25"/>
  <c r="BU403" i="25"/>
  <c r="BU404" i="25"/>
  <c r="BU405" i="25"/>
  <c r="BU406" i="25"/>
  <c r="BU407" i="25"/>
  <c r="BU408" i="25"/>
  <c r="BU409" i="25"/>
  <c r="BV389" i="25"/>
  <c r="BV390" i="25"/>
  <c r="BV391" i="25"/>
  <c r="BV392" i="25"/>
  <c r="BV393" i="25"/>
  <c r="BV394" i="25"/>
  <c r="BV395" i="25"/>
  <c r="BV396" i="25"/>
  <c r="BV397" i="25"/>
  <c r="BV398" i="25"/>
  <c r="BV399" i="25"/>
  <c r="BV400" i="25"/>
  <c r="BV401" i="25"/>
  <c r="BV402" i="25"/>
  <c r="BV403" i="25"/>
  <c r="BV404" i="25"/>
  <c r="BV405" i="25"/>
  <c r="BV406" i="25"/>
  <c r="BV407" i="25"/>
  <c r="BV408" i="25"/>
  <c r="BV409" i="25"/>
  <c r="BW389" i="25"/>
  <c r="BW390" i="25"/>
  <c r="BW391" i="25"/>
  <c r="BW392" i="25"/>
  <c r="BW393" i="25"/>
  <c r="BW394" i="25"/>
  <c r="BW395" i="25"/>
  <c r="BW396" i="25"/>
  <c r="BW397" i="25"/>
  <c r="BW398" i="25"/>
  <c r="BW399" i="25"/>
  <c r="BW400" i="25"/>
  <c r="BW401" i="25"/>
  <c r="BW402" i="25"/>
  <c r="BW403" i="25"/>
  <c r="BW404" i="25"/>
  <c r="BW405" i="25"/>
  <c r="BW406" i="25"/>
  <c r="BW407" i="25"/>
  <c r="BW408" i="25"/>
  <c r="BW409" i="25"/>
  <c r="BX389" i="25"/>
  <c r="BX390" i="25"/>
  <c r="BX391" i="25"/>
  <c r="BX392" i="25"/>
  <c r="BX393" i="25"/>
  <c r="BX394" i="25"/>
  <c r="BX395" i="25"/>
  <c r="BX396" i="25"/>
  <c r="BX397" i="25"/>
  <c r="BX398" i="25"/>
  <c r="BX399" i="25"/>
  <c r="BX400" i="25"/>
  <c r="BX401" i="25"/>
  <c r="BX402" i="25"/>
  <c r="BX403" i="25"/>
  <c r="BX404" i="25"/>
  <c r="BX405" i="25"/>
  <c r="BX406" i="25"/>
  <c r="BX407" i="25"/>
  <c r="BX408" i="25"/>
  <c r="BX409" i="25"/>
  <c r="BY389" i="25"/>
  <c r="BY390" i="25"/>
  <c r="BY391" i="25"/>
  <c r="BY392" i="25"/>
  <c r="BY393" i="25"/>
  <c r="BY394" i="25"/>
  <c r="BY395" i="25"/>
  <c r="BY396" i="25"/>
  <c r="BY397" i="25"/>
  <c r="BY398" i="25"/>
  <c r="BY399" i="25"/>
  <c r="BY400" i="25"/>
  <c r="BY401" i="25"/>
  <c r="BY402" i="25"/>
  <c r="BY403" i="25"/>
  <c r="BY404" i="25"/>
  <c r="BY405" i="25"/>
  <c r="BY406" i="25"/>
  <c r="BY407" i="25"/>
  <c r="BY408" i="25"/>
  <c r="BY409" i="25"/>
  <c r="BZ389" i="25"/>
  <c r="BZ390" i="25"/>
  <c r="BZ391" i="25"/>
  <c r="BZ392" i="25"/>
  <c r="BZ393" i="25"/>
  <c r="BZ394" i="25"/>
  <c r="BZ395" i="25"/>
  <c r="BZ396" i="25"/>
  <c r="BZ397" i="25"/>
  <c r="BZ398" i="25"/>
  <c r="BZ399" i="25"/>
  <c r="BZ400" i="25"/>
  <c r="BZ401" i="25"/>
  <c r="BZ402" i="25"/>
  <c r="BZ403" i="25"/>
  <c r="BZ404" i="25"/>
  <c r="BZ405" i="25"/>
  <c r="BZ406" i="25"/>
  <c r="BZ407" i="25"/>
  <c r="BZ408" i="25"/>
  <c r="BZ409" i="25"/>
  <c r="CA389" i="25"/>
  <c r="CA390" i="25"/>
  <c r="CA391" i="25"/>
  <c r="CA392" i="25"/>
  <c r="CA393" i="25"/>
  <c r="CA394" i="25"/>
  <c r="CA395" i="25"/>
  <c r="CA396" i="25"/>
  <c r="CA397" i="25"/>
  <c r="CA398" i="25"/>
  <c r="CA399" i="25"/>
  <c r="CA400" i="25"/>
  <c r="CA401" i="25"/>
  <c r="CA402" i="25"/>
  <c r="CA403" i="25"/>
  <c r="CA404" i="25"/>
  <c r="CA405" i="25"/>
  <c r="CA406" i="25"/>
  <c r="CA407" i="25"/>
  <c r="CA408" i="25"/>
  <c r="CA409" i="25"/>
  <c r="G202" i="25"/>
  <c r="G203" i="25"/>
  <c r="G204" i="25"/>
  <c r="G205" i="25"/>
  <c r="G206" i="25"/>
  <c r="G207" i="25"/>
  <c r="G208" i="25"/>
  <c r="G209" i="25"/>
  <c r="G210" i="25"/>
  <c r="G211" i="25"/>
  <c r="G212" i="25"/>
  <c r="G213" i="25"/>
  <c r="G214" i="25"/>
  <c r="G215" i="25"/>
  <c r="G216" i="25"/>
  <c r="G217" i="25"/>
  <c r="G218" i="25"/>
  <c r="G219" i="25"/>
  <c r="G220" i="25"/>
  <c r="G221" i="25"/>
  <c r="G222" i="25"/>
  <c r="G223" i="25"/>
  <c r="G224" i="25"/>
  <c r="G225" i="25"/>
  <c r="G226" i="25"/>
  <c r="G227" i="25"/>
  <c r="G228" i="25"/>
  <c r="G229" i="25"/>
  <c r="G30" i="89"/>
  <c r="G16" i="89"/>
  <c r="BS409" i="25" l="1"/>
  <c r="BM409" i="25" s="1"/>
  <c r="BN409" i="25" s="1"/>
  <c r="BO409" i="25" s="1"/>
  <c r="AX399" i="25"/>
  <c r="BA399" i="25" s="1"/>
  <c r="BB399" i="25" s="1"/>
  <c r="BF406" i="25"/>
  <c r="BJ395" i="25"/>
  <c r="AX389" i="25"/>
  <c r="BA389" i="25" s="1"/>
  <c r="BB389" i="25" s="1"/>
  <c r="BS402" i="25"/>
  <c r="BM402" i="25" s="1"/>
  <c r="BN402" i="25" s="1"/>
  <c r="BO402" i="25" s="1"/>
  <c r="BS394" i="25"/>
  <c r="BM394" i="25" s="1"/>
  <c r="BN394" i="25" s="1"/>
  <c r="BO394" i="25" s="1"/>
  <c r="BJ392" i="25"/>
  <c r="AX407" i="25"/>
  <c r="BA407" i="25" s="1"/>
  <c r="BB407" i="25" s="1"/>
  <c r="AY395" i="25"/>
  <c r="AZ395" i="25" s="1"/>
  <c r="BC395" i="25" s="1"/>
  <c r="AX404" i="25"/>
  <c r="BA404" i="25" s="1"/>
  <c r="BB404" i="25" s="1"/>
  <c r="BF408" i="25"/>
  <c r="AX391" i="25"/>
  <c r="BA391" i="25" s="1"/>
  <c r="BB391" i="25" s="1"/>
  <c r="BS406" i="25"/>
  <c r="BM406" i="25" s="1"/>
  <c r="BN406" i="25" s="1"/>
  <c r="BO406" i="25" s="1"/>
  <c r="BS398" i="25"/>
  <c r="BM398" i="25" s="1"/>
  <c r="BN398" i="25" s="1"/>
  <c r="BO398" i="25" s="1"/>
  <c r="BS390" i="25"/>
  <c r="BM390" i="25" s="1"/>
  <c r="BN390" i="25" s="1"/>
  <c r="BO390" i="25" s="1"/>
  <c r="BF400" i="25"/>
  <c r="AW399" i="25"/>
  <c r="AY399" i="25" s="1"/>
  <c r="AZ399" i="25" s="1"/>
  <c r="BC399" i="25" s="1"/>
  <c r="AY407" i="25"/>
  <c r="AZ407" i="25" s="1"/>
  <c r="BC407" i="25" s="1"/>
  <c r="BS405" i="25"/>
  <c r="BM405" i="25" s="1"/>
  <c r="BN405" i="25" s="1"/>
  <c r="BO405" i="25" s="1"/>
  <c r="BS397" i="25"/>
  <c r="BM397" i="25" s="1"/>
  <c r="BN397" i="25" s="1"/>
  <c r="BO397" i="25" s="1"/>
  <c r="BS389" i="25"/>
  <c r="BM389" i="25" s="1"/>
  <c r="BN389" i="25" s="1"/>
  <c r="BO389" i="25" s="1"/>
  <c r="BS404" i="25"/>
  <c r="BM404" i="25" s="1"/>
  <c r="BN404" i="25" s="1"/>
  <c r="BO404" i="25" s="1"/>
  <c r="BS396" i="25"/>
  <c r="BM396" i="25" s="1"/>
  <c r="BN396" i="25" s="1"/>
  <c r="BO396" i="25" s="1"/>
  <c r="AX402" i="25"/>
  <c r="BA402" i="25" s="1"/>
  <c r="BB402" i="25" s="1"/>
  <c r="AY403" i="25"/>
  <c r="AZ403" i="25" s="1"/>
  <c r="BC403" i="25" s="1"/>
  <c r="BF397" i="25"/>
  <c r="AX397" i="25"/>
  <c r="BA397" i="25" s="1"/>
  <c r="BB397" i="25" s="1"/>
  <c r="AY390" i="25"/>
  <c r="AZ390" i="25" s="1"/>
  <c r="BC390" i="25" s="1"/>
  <c r="AY394" i="25"/>
  <c r="AZ394" i="25" s="1"/>
  <c r="BC394" i="25" s="1"/>
  <c r="AX396" i="25"/>
  <c r="BA396" i="25" s="1"/>
  <c r="BB396" i="25" s="1"/>
  <c r="BJ405" i="25"/>
  <c r="BF389" i="25"/>
  <c r="AW389" i="25"/>
  <c r="AY389" i="25" s="1"/>
  <c r="AZ389" i="25" s="1"/>
  <c r="BC389" i="25" s="1"/>
  <c r="BS401" i="25"/>
  <c r="BM401" i="25" s="1"/>
  <c r="BN401" i="25" s="1"/>
  <c r="BO401" i="25" s="1"/>
  <c r="BS393" i="25"/>
  <c r="BM393" i="25" s="1"/>
  <c r="BN393" i="25" s="1"/>
  <c r="BO393" i="25" s="1"/>
  <c r="AX409" i="25"/>
  <c r="BA409" i="25" s="1"/>
  <c r="BB409" i="25" s="1"/>
  <c r="AX401" i="25"/>
  <c r="BA401" i="25" s="1"/>
  <c r="BB401" i="25" s="1"/>
  <c r="AX393" i="25"/>
  <c r="BA393" i="25" s="1"/>
  <c r="BB393" i="25" s="1"/>
  <c r="BJ398" i="25"/>
  <c r="AY391" i="25"/>
  <c r="AZ391" i="25" s="1"/>
  <c r="BC391" i="25" s="1"/>
  <c r="AY397" i="25"/>
  <c r="AZ397" i="25" s="1"/>
  <c r="BC397" i="25" s="1"/>
  <c r="BP397" i="25"/>
  <c r="BF407" i="25"/>
  <c r="BF394" i="25"/>
  <c r="AX394" i="25"/>
  <c r="BA394" i="25" s="1"/>
  <c r="BB394" i="25" s="1"/>
  <c r="BF391" i="25"/>
  <c r="AY396" i="25"/>
  <c r="AZ396" i="25" s="1"/>
  <c r="BC396" i="25" s="1"/>
  <c r="AY402" i="25"/>
  <c r="AZ402" i="25" s="1"/>
  <c r="BC402" i="25" s="1"/>
  <c r="BP405" i="25"/>
  <c r="BF402" i="25"/>
  <c r="BF390" i="25"/>
  <c r="AX405" i="25"/>
  <c r="BA405" i="25" s="1"/>
  <c r="BB405" i="25" s="1"/>
  <c r="AY392" i="25"/>
  <c r="AZ392" i="25" s="1"/>
  <c r="BC392" i="25" s="1"/>
  <c r="BS403" i="25"/>
  <c r="BM403" i="25" s="1"/>
  <c r="BN403" i="25" s="1"/>
  <c r="BO403" i="25" s="1"/>
  <c r="BS395" i="25"/>
  <c r="BM395" i="25" s="1"/>
  <c r="BN395" i="25" s="1"/>
  <c r="BO395" i="25" s="1"/>
  <c r="BS408" i="25"/>
  <c r="BM408" i="25" s="1"/>
  <c r="BN408" i="25" s="1"/>
  <c r="BO408" i="25" s="1"/>
  <c r="BS400" i="25"/>
  <c r="BM400" i="25" s="1"/>
  <c r="BN400" i="25" s="1"/>
  <c r="BO400" i="25" s="1"/>
  <c r="BS392" i="25"/>
  <c r="BM392" i="25" s="1"/>
  <c r="BN392" i="25" s="1"/>
  <c r="BO392" i="25" s="1"/>
  <c r="BP389" i="25"/>
  <c r="BJ403" i="25"/>
  <c r="BF399" i="25"/>
  <c r="AY404" i="25"/>
  <c r="AZ404" i="25" s="1"/>
  <c r="BC404" i="25" s="1"/>
  <c r="BS407" i="25"/>
  <c r="BM407" i="25" s="1"/>
  <c r="BN407" i="25" s="1"/>
  <c r="BO407" i="25" s="1"/>
  <c r="BS399" i="25"/>
  <c r="BM399" i="25" s="1"/>
  <c r="BN399" i="25" s="1"/>
  <c r="BO399" i="25" s="1"/>
  <c r="BS391" i="25"/>
  <c r="BM391" i="25" s="1"/>
  <c r="BN391" i="25" s="1"/>
  <c r="BO391" i="25" s="1"/>
  <c r="AX403" i="25"/>
  <c r="BA403" i="25" s="1"/>
  <c r="BB403" i="25" s="1"/>
  <c r="AX395" i="25"/>
  <c r="BA395" i="25" s="1"/>
  <c r="BB395" i="25" s="1"/>
  <c r="AY398" i="25"/>
  <c r="AZ398" i="25" s="1"/>
  <c r="BC398" i="25" s="1"/>
  <c r="AY408" i="25"/>
  <c r="AZ408" i="25" s="1"/>
  <c r="BC408" i="25" s="1"/>
  <c r="AY400" i="25"/>
  <c r="AZ400" i="25" s="1"/>
  <c r="BC400" i="25" s="1"/>
  <c r="AY406" i="25"/>
  <c r="AZ406" i="25" s="1"/>
  <c r="BC406" i="25" s="1"/>
  <c r="AY405" i="25"/>
  <c r="AZ405" i="25" s="1"/>
  <c r="BC405" i="25" s="1"/>
  <c r="BP406" i="25"/>
  <c r="BP398" i="25"/>
  <c r="BP390" i="25"/>
  <c r="BJ404" i="25"/>
  <c r="BJ396" i="25"/>
  <c r="AX408" i="25"/>
  <c r="BA408" i="25" s="1"/>
  <c r="BB408" i="25" s="1"/>
  <c r="AX400" i="25"/>
  <c r="BA400" i="25" s="1"/>
  <c r="BB400" i="25" s="1"/>
  <c r="AX392" i="25"/>
  <c r="BA392" i="25" s="1"/>
  <c r="BB392" i="25" s="1"/>
  <c r="AX406" i="25"/>
  <c r="BA406" i="25" s="1"/>
  <c r="BB406" i="25" s="1"/>
  <c r="AX398" i="25"/>
  <c r="BA398" i="25" s="1"/>
  <c r="BB398" i="25" s="1"/>
  <c r="AX390" i="25"/>
  <c r="BA390" i="25" s="1"/>
  <c r="BB390" i="25" s="1"/>
  <c r="BJ409" i="25"/>
  <c r="BJ401" i="25"/>
  <c r="BJ393" i="25"/>
  <c r="AW409" i="25"/>
  <c r="AY409" i="25" s="1"/>
  <c r="AZ409" i="25" s="1"/>
  <c r="BC409" i="25" s="1"/>
  <c r="AW401" i="25"/>
  <c r="AY401" i="25" s="1"/>
  <c r="AZ401" i="25" s="1"/>
  <c r="BC401" i="25" s="1"/>
  <c r="AW393" i="25"/>
  <c r="AY393" i="25" s="1"/>
  <c r="AZ393" i="25" s="1"/>
  <c r="BC393" i="25" s="1"/>
  <c r="G369" i="25" l="1"/>
  <c r="G370" i="25"/>
  <c r="G371" i="25"/>
  <c r="G372" i="25"/>
  <c r="G373" i="25"/>
  <c r="G374" i="25"/>
  <c r="G375" i="25"/>
  <c r="G376" i="25"/>
  <c r="G377" i="25"/>
  <c r="G378" i="25"/>
  <c r="G379" i="25"/>
  <c r="G380" i="25"/>
  <c r="G381" i="25"/>
  <c r="G382" i="25"/>
  <c r="G383" i="25"/>
  <c r="G384" i="25"/>
  <c r="G385" i="25"/>
  <c r="G386" i="25"/>
  <c r="G387" i="25"/>
  <c r="G388" i="25"/>
  <c r="AT369" i="25"/>
  <c r="AU369" i="25" s="1"/>
  <c r="AT370" i="25"/>
  <c r="AU370" i="25" s="1"/>
  <c r="AT371" i="25"/>
  <c r="AU371" i="25" s="1"/>
  <c r="AT372" i="25"/>
  <c r="AU372" i="25" s="1"/>
  <c r="AT373" i="25"/>
  <c r="AU373" i="25" s="1"/>
  <c r="AT374" i="25"/>
  <c r="AU374" i="25" s="1"/>
  <c r="AT375" i="25"/>
  <c r="AU375" i="25" s="1"/>
  <c r="AT376" i="25"/>
  <c r="AU376" i="25" s="1"/>
  <c r="AT377" i="25"/>
  <c r="AU377" i="25" s="1"/>
  <c r="AT378" i="25"/>
  <c r="AT379" i="25"/>
  <c r="AU379" i="25" s="1"/>
  <c r="AT380" i="25"/>
  <c r="AU380" i="25" s="1"/>
  <c r="AT381" i="25"/>
  <c r="AU381" i="25" s="1"/>
  <c r="AT382" i="25"/>
  <c r="AU382" i="25" s="1"/>
  <c r="AT383" i="25"/>
  <c r="AU383" i="25" s="1"/>
  <c r="AT384" i="25"/>
  <c r="AU384" i="25" s="1"/>
  <c r="AT385" i="25"/>
  <c r="AU385" i="25" s="1"/>
  <c r="AT386" i="25"/>
  <c r="AT387" i="25"/>
  <c r="AU387" i="25" s="1"/>
  <c r="AT388" i="25"/>
  <c r="AU388" i="25" s="1"/>
  <c r="AV369" i="25"/>
  <c r="AW369" i="25" s="1"/>
  <c r="AV370" i="25"/>
  <c r="AW370" i="25" s="1"/>
  <c r="AV371" i="25"/>
  <c r="AW371" i="25" s="1"/>
  <c r="AV372" i="25"/>
  <c r="AW372" i="25" s="1"/>
  <c r="AV373" i="25"/>
  <c r="AW373" i="25" s="1"/>
  <c r="AV374" i="25"/>
  <c r="AW374" i="25" s="1"/>
  <c r="AV375" i="25"/>
  <c r="AW375" i="25" s="1"/>
  <c r="AV376" i="25"/>
  <c r="AW376" i="25" s="1"/>
  <c r="AV377" i="25"/>
  <c r="AW377" i="25" s="1"/>
  <c r="AV378" i="25"/>
  <c r="AW378" i="25" s="1"/>
  <c r="AV379" i="25"/>
  <c r="AW379" i="25" s="1"/>
  <c r="AV380" i="25"/>
  <c r="AW380" i="25" s="1"/>
  <c r="AV381" i="25"/>
  <c r="AW381" i="25" s="1"/>
  <c r="AV382" i="25"/>
  <c r="AW382" i="25" s="1"/>
  <c r="AV383" i="25"/>
  <c r="AW383" i="25" s="1"/>
  <c r="AV384" i="25"/>
  <c r="AW384" i="25" s="1"/>
  <c r="AV385" i="25"/>
  <c r="AW385" i="25" s="1"/>
  <c r="AV386" i="25"/>
  <c r="AW386" i="25" s="1"/>
  <c r="AV387" i="25"/>
  <c r="AV388" i="25"/>
  <c r="BD369" i="25"/>
  <c r="BD370" i="25"/>
  <c r="BD371" i="25"/>
  <c r="BD372" i="25"/>
  <c r="BD373" i="25"/>
  <c r="BD374" i="25"/>
  <c r="BD375" i="25"/>
  <c r="BD376" i="25"/>
  <c r="BD377" i="25"/>
  <c r="BD378" i="25"/>
  <c r="BD379" i="25"/>
  <c r="BD380" i="25"/>
  <c r="BD381" i="25"/>
  <c r="BD382" i="25"/>
  <c r="BD383" i="25"/>
  <c r="BD384" i="25"/>
  <c r="BD385" i="25"/>
  <c r="BD386" i="25"/>
  <c r="BD387" i="25"/>
  <c r="BD388" i="25"/>
  <c r="BE369" i="25"/>
  <c r="BF369" i="25" s="1"/>
  <c r="BE370" i="25"/>
  <c r="BF370" i="25" s="1"/>
  <c r="BE371" i="25"/>
  <c r="BF371" i="25" s="1"/>
  <c r="BE372" i="25"/>
  <c r="BF372" i="25" s="1"/>
  <c r="BE373" i="25"/>
  <c r="BF373" i="25" s="1"/>
  <c r="BE374" i="25"/>
  <c r="BJ374" i="25" s="1"/>
  <c r="BE375" i="25"/>
  <c r="BJ375" i="25" s="1"/>
  <c r="BE376" i="25"/>
  <c r="BF376" i="25" s="1"/>
  <c r="BE377" i="25"/>
  <c r="BF377" i="25" s="1"/>
  <c r="BE378" i="25"/>
  <c r="BF378" i="25" s="1"/>
  <c r="BE379" i="25"/>
  <c r="BF379" i="25" s="1"/>
  <c r="BE380" i="25"/>
  <c r="BF380" i="25" s="1"/>
  <c r="BE381" i="25"/>
  <c r="BF381" i="25" s="1"/>
  <c r="BE382" i="25"/>
  <c r="BF382" i="25" s="1"/>
  <c r="BE383" i="25"/>
  <c r="BF383" i="25" s="1"/>
  <c r="BE384" i="25"/>
  <c r="BF384" i="25" s="1"/>
  <c r="BE385" i="25"/>
  <c r="BJ385" i="25" s="1"/>
  <c r="BE386" i="25"/>
  <c r="BF386" i="25" s="1"/>
  <c r="BE387" i="25"/>
  <c r="BF387" i="25" s="1"/>
  <c r="BE388" i="25"/>
  <c r="BF388" i="25" s="1"/>
  <c r="BG369" i="25"/>
  <c r="BG370" i="25"/>
  <c r="BG371" i="25"/>
  <c r="BG372" i="25"/>
  <c r="BG373" i="25"/>
  <c r="BG374" i="25"/>
  <c r="BG375" i="25"/>
  <c r="BG376" i="25"/>
  <c r="BG377" i="25"/>
  <c r="BG378" i="25"/>
  <c r="BG379" i="25"/>
  <c r="BG380" i="25"/>
  <c r="BG381" i="25"/>
  <c r="BG382" i="25"/>
  <c r="BG383" i="25"/>
  <c r="BG384" i="25"/>
  <c r="BG385" i="25"/>
  <c r="BG386" i="25"/>
  <c r="BG387" i="25"/>
  <c r="BG388" i="25"/>
  <c r="BH369" i="25"/>
  <c r="BI369" i="25" s="1"/>
  <c r="BH370" i="25"/>
  <c r="BI370" i="25" s="1"/>
  <c r="BH371" i="25"/>
  <c r="BI371" i="25" s="1"/>
  <c r="BH372" i="25"/>
  <c r="BI372" i="25" s="1"/>
  <c r="BH373" i="25"/>
  <c r="BI373" i="25" s="1"/>
  <c r="BH374" i="25"/>
  <c r="BI374" i="25" s="1"/>
  <c r="BH375" i="25"/>
  <c r="BI375" i="25" s="1"/>
  <c r="BH376" i="25"/>
  <c r="BI376" i="25" s="1"/>
  <c r="BH377" i="25"/>
  <c r="BI377" i="25" s="1"/>
  <c r="BH378" i="25"/>
  <c r="BI378" i="25" s="1"/>
  <c r="BH379" i="25"/>
  <c r="BI379" i="25" s="1"/>
  <c r="BH380" i="25"/>
  <c r="BI380" i="25" s="1"/>
  <c r="BH381" i="25"/>
  <c r="BI381" i="25" s="1"/>
  <c r="BH382" i="25"/>
  <c r="BI382" i="25" s="1"/>
  <c r="BH383" i="25"/>
  <c r="BI383" i="25" s="1"/>
  <c r="BH384" i="25"/>
  <c r="BI384" i="25" s="1"/>
  <c r="BH385" i="25"/>
  <c r="BI385" i="25" s="1"/>
  <c r="BH386" i="25"/>
  <c r="BI386" i="25" s="1"/>
  <c r="BH387" i="25"/>
  <c r="BI387" i="25" s="1"/>
  <c r="BH388" i="25"/>
  <c r="BI388" i="25" s="1"/>
  <c r="BK369" i="25"/>
  <c r="BK370" i="25"/>
  <c r="BP370" i="25" s="1"/>
  <c r="BK371" i="25"/>
  <c r="BP371" i="25" s="1"/>
  <c r="BK372" i="25"/>
  <c r="BP372" i="25" s="1"/>
  <c r="BK373" i="25"/>
  <c r="BP373" i="25" s="1"/>
  <c r="BK374" i="25"/>
  <c r="BP374" i="25" s="1"/>
  <c r="BK375" i="25"/>
  <c r="BP375" i="25" s="1"/>
  <c r="BK376" i="25"/>
  <c r="BP376" i="25" s="1"/>
  <c r="BK377" i="25"/>
  <c r="BP377" i="25" s="1"/>
  <c r="BK378" i="25"/>
  <c r="BP378" i="25" s="1"/>
  <c r="BK379" i="25"/>
  <c r="BP379" i="25" s="1"/>
  <c r="BK380" i="25"/>
  <c r="BP380" i="25" s="1"/>
  <c r="BK381" i="25"/>
  <c r="BP381" i="25" s="1"/>
  <c r="BK382" i="25"/>
  <c r="BP382" i="25" s="1"/>
  <c r="BK383" i="25"/>
  <c r="BP383" i="25" s="1"/>
  <c r="BK384" i="25"/>
  <c r="BP384" i="25" s="1"/>
  <c r="BK385" i="25"/>
  <c r="BP385" i="25" s="1"/>
  <c r="BK386" i="25"/>
  <c r="BP386" i="25" s="1"/>
  <c r="BK387" i="25"/>
  <c r="BP387" i="25" s="1"/>
  <c r="BK388" i="25"/>
  <c r="BP388" i="25" s="1"/>
  <c r="BL369" i="25"/>
  <c r="BL370" i="25"/>
  <c r="BL371" i="25"/>
  <c r="BL372" i="25"/>
  <c r="BL373" i="25"/>
  <c r="BL374" i="25"/>
  <c r="BL375" i="25"/>
  <c r="BL376" i="25"/>
  <c r="BL377" i="25"/>
  <c r="BL378" i="25"/>
  <c r="BL379" i="25"/>
  <c r="BL380" i="25"/>
  <c r="BL381" i="25"/>
  <c r="BL382" i="25"/>
  <c r="BL383" i="25"/>
  <c r="BL384" i="25"/>
  <c r="BL385" i="25"/>
  <c r="BL386" i="25"/>
  <c r="BL387" i="25"/>
  <c r="BL388" i="25"/>
  <c r="BP369" i="25"/>
  <c r="BQ369" i="25"/>
  <c r="BQ370" i="25"/>
  <c r="BQ371" i="25"/>
  <c r="BQ372" i="25"/>
  <c r="BQ373" i="25"/>
  <c r="BQ374" i="25"/>
  <c r="BQ375" i="25"/>
  <c r="BQ376" i="25"/>
  <c r="BQ377" i="25"/>
  <c r="BQ378" i="25"/>
  <c r="BQ379" i="25"/>
  <c r="BQ380" i="25"/>
  <c r="BQ381" i="25"/>
  <c r="BQ382" i="25"/>
  <c r="BQ383" i="25"/>
  <c r="BQ384" i="25"/>
  <c r="BQ385" i="25"/>
  <c r="BQ386" i="25"/>
  <c r="BQ387" i="25"/>
  <c r="BQ388" i="25"/>
  <c r="BR369" i="25"/>
  <c r="BR370" i="25"/>
  <c r="BR371" i="25"/>
  <c r="BR372" i="25"/>
  <c r="BR373" i="25"/>
  <c r="BR374" i="25"/>
  <c r="BR375" i="25"/>
  <c r="BR376" i="25"/>
  <c r="BR377" i="25"/>
  <c r="BR378" i="25"/>
  <c r="BR379" i="25"/>
  <c r="BR380" i="25"/>
  <c r="BR381" i="25"/>
  <c r="BR382" i="25"/>
  <c r="BR383" i="25"/>
  <c r="BR384" i="25"/>
  <c r="BR385" i="25"/>
  <c r="BR386" i="25"/>
  <c r="BR387" i="25"/>
  <c r="BR388" i="25"/>
  <c r="BT369" i="25"/>
  <c r="BT370" i="25"/>
  <c r="BT371" i="25"/>
  <c r="BT372" i="25"/>
  <c r="BT373" i="25"/>
  <c r="BT374" i="25"/>
  <c r="BT375" i="25"/>
  <c r="BT376" i="25"/>
  <c r="BT377" i="25"/>
  <c r="BT378" i="25"/>
  <c r="BT379" i="25"/>
  <c r="BT380" i="25"/>
  <c r="BT381" i="25"/>
  <c r="BT382" i="25"/>
  <c r="BT383" i="25"/>
  <c r="BT384" i="25"/>
  <c r="BT385" i="25"/>
  <c r="BT386" i="25"/>
  <c r="BT387" i="25"/>
  <c r="BT388" i="25"/>
  <c r="BU369" i="25"/>
  <c r="BU370" i="25"/>
  <c r="BU371" i="25"/>
  <c r="BU372" i="25"/>
  <c r="BU373" i="25"/>
  <c r="BU374" i="25"/>
  <c r="BU375" i="25"/>
  <c r="BU376" i="25"/>
  <c r="BU377" i="25"/>
  <c r="BU378" i="25"/>
  <c r="BU379" i="25"/>
  <c r="BU380" i="25"/>
  <c r="BU381" i="25"/>
  <c r="BU382" i="25"/>
  <c r="BU383" i="25"/>
  <c r="BU384" i="25"/>
  <c r="BU385" i="25"/>
  <c r="BU386" i="25"/>
  <c r="BU387" i="25"/>
  <c r="BU388" i="25"/>
  <c r="BV369" i="25"/>
  <c r="BV370" i="25"/>
  <c r="BV371" i="25"/>
  <c r="BV372" i="25"/>
  <c r="BV373" i="25"/>
  <c r="BV374" i="25"/>
  <c r="BV375" i="25"/>
  <c r="BV376" i="25"/>
  <c r="BV377" i="25"/>
  <c r="BV378" i="25"/>
  <c r="BV379" i="25"/>
  <c r="BV380" i="25"/>
  <c r="BV381" i="25"/>
  <c r="BV382" i="25"/>
  <c r="BV383" i="25"/>
  <c r="BV384" i="25"/>
  <c r="BV385" i="25"/>
  <c r="BV386" i="25"/>
  <c r="BV387" i="25"/>
  <c r="BV388" i="25"/>
  <c r="BW369" i="25"/>
  <c r="BW370" i="25"/>
  <c r="BW371" i="25"/>
  <c r="BW372" i="25"/>
  <c r="BW373" i="25"/>
  <c r="BW374" i="25"/>
  <c r="BW375" i="25"/>
  <c r="BW376" i="25"/>
  <c r="BW377" i="25"/>
  <c r="BW378" i="25"/>
  <c r="BW379" i="25"/>
  <c r="BW380" i="25"/>
  <c r="BW381" i="25"/>
  <c r="BW382" i="25"/>
  <c r="BW383" i="25"/>
  <c r="BW384" i="25"/>
  <c r="BW385" i="25"/>
  <c r="BW386" i="25"/>
  <c r="BW387" i="25"/>
  <c r="BW388" i="25"/>
  <c r="BX369" i="25"/>
  <c r="BX370" i="25"/>
  <c r="BX371" i="25"/>
  <c r="BX372" i="25"/>
  <c r="BX373" i="25"/>
  <c r="BX374" i="25"/>
  <c r="BX375" i="25"/>
  <c r="BX376" i="25"/>
  <c r="BX377" i="25"/>
  <c r="BX378" i="25"/>
  <c r="BX379" i="25"/>
  <c r="BX380" i="25"/>
  <c r="BX381" i="25"/>
  <c r="BX382" i="25"/>
  <c r="BX383" i="25"/>
  <c r="BX384" i="25"/>
  <c r="BX385" i="25"/>
  <c r="BX386" i="25"/>
  <c r="BX387" i="25"/>
  <c r="BX388" i="25"/>
  <c r="BY369" i="25"/>
  <c r="BY370" i="25"/>
  <c r="BY371" i="25"/>
  <c r="BY372" i="25"/>
  <c r="BY373" i="25"/>
  <c r="BY374" i="25"/>
  <c r="BY375" i="25"/>
  <c r="BY376" i="25"/>
  <c r="BY377" i="25"/>
  <c r="BY378" i="25"/>
  <c r="BY379" i="25"/>
  <c r="BY380" i="25"/>
  <c r="BY381" i="25"/>
  <c r="BY382" i="25"/>
  <c r="BY383" i="25"/>
  <c r="BY384" i="25"/>
  <c r="BY385" i="25"/>
  <c r="BY386" i="25"/>
  <c r="BY387" i="25"/>
  <c r="BY388" i="25"/>
  <c r="BZ369" i="25"/>
  <c r="BZ370" i="25"/>
  <c r="BZ371" i="25"/>
  <c r="BZ372" i="25"/>
  <c r="BZ373" i="25"/>
  <c r="BZ374" i="25"/>
  <c r="BZ375" i="25"/>
  <c r="BZ376" i="25"/>
  <c r="BZ377" i="25"/>
  <c r="BZ378" i="25"/>
  <c r="BZ379" i="25"/>
  <c r="BZ380" i="25"/>
  <c r="BZ381" i="25"/>
  <c r="BZ382" i="25"/>
  <c r="BZ383" i="25"/>
  <c r="BZ384" i="25"/>
  <c r="BZ385" i="25"/>
  <c r="BZ386" i="25"/>
  <c r="BZ387" i="25"/>
  <c r="BZ388" i="25"/>
  <c r="CA369" i="25"/>
  <c r="CA370" i="25"/>
  <c r="CA371" i="25"/>
  <c r="CA372" i="25"/>
  <c r="CA373" i="25"/>
  <c r="CA374" i="25"/>
  <c r="CA375" i="25"/>
  <c r="CA376" i="25"/>
  <c r="CA377" i="25"/>
  <c r="CA378" i="25"/>
  <c r="CA379" i="25"/>
  <c r="CA380" i="25"/>
  <c r="CA381" i="25"/>
  <c r="CA382" i="25"/>
  <c r="CA383" i="25"/>
  <c r="CA384" i="25"/>
  <c r="CA385" i="25"/>
  <c r="CA386" i="25"/>
  <c r="CA387" i="25"/>
  <c r="CA388" i="25"/>
  <c r="AY376" i="25" l="1"/>
  <c r="AZ376" i="25" s="1"/>
  <c r="BC376" i="25" s="1"/>
  <c r="BF375" i="25"/>
  <c r="BJ377" i="25"/>
  <c r="BS385" i="25"/>
  <c r="BM385" i="25" s="1"/>
  <c r="BN385" i="25" s="1"/>
  <c r="BO385" i="25" s="1"/>
  <c r="BS377" i="25"/>
  <c r="BM377" i="25" s="1"/>
  <c r="BN377" i="25" s="1"/>
  <c r="BO377" i="25" s="1"/>
  <c r="BS369" i="25"/>
  <c r="BM369" i="25" s="1"/>
  <c r="BN369" i="25" s="1"/>
  <c r="BO369" i="25" s="1"/>
  <c r="BJ369" i="25"/>
  <c r="BF385" i="25"/>
  <c r="BS386" i="25"/>
  <c r="BM386" i="25" s="1"/>
  <c r="BN386" i="25" s="1"/>
  <c r="BO386" i="25" s="1"/>
  <c r="AX384" i="25"/>
  <c r="BA384" i="25" s="1"/>
  <c r="BB384" i="25" s="1"/>
  <c r="AX387" i="25"/>
  <c r="BA387" i="25" s="1"/>
  <c r="BB387" i="25" s="1"/>
  <c r="BF374" i="25"/>
  <c r="AX382" i="25"/>
  <c r="BA382" i="25" s="1"/>
  <c r="BB382" i="25" s="1"/>
  <c r="BS384" i="25"/>
  <c r="BM384" i="25" s="1"/>
  <c r="BN384" i="25" s="1"/>
  <c r="BO384" i="25" s="1"/>
  <c r="BS376" i="25"/>
  <c r="BM376" i="25" s="1"/>
  <c r="BN376" i="25" s="1"/>
  <c r="BO376" i="25" s="1"/>
  <c r="BS388" i="25"/>
  <c r="BM388" i="25" s="1"/>
  <c r="BN388" i="25" s="1"/>
  <c r="BO388" i="25" s="1"/>
  <c r="BS380" i="25"/>
  <c r="BM380" i="25" s="1"/>
  <c r="BN380" i="25" s="1"/>
  <c r="BO380" i="25" s="1"/>
  <c r="BS372" i="25"/>
  <c r="BM372" i="25" s="1"/>
  <c r="BN372" i="25" s="1"/>
  <c r="BO372" i="25" s="1"/>
  <c r="BJ383" i="25"/>
  <c r="AX379" i="25"/>
  <c r="BA379" i="25" s="1"/>
  <c r="BB379" i="25" s="1"/>
  <c r="AY371" i="25"/>
  <c r="AZ371" i="25" s="1"/>
  <c r="BC371" i="25" s="1"/>
  <c r="BS387" i="25"/>
  <c r="BM387" i="25" s="1"/>
  <c r="BN387" i="25" s="1"/>
  <c r="BO387" i="25" s="1"/>
  <c r="BJ380" i="25"/>
  <c r="AX371" i="25"/>
  <c r="BA371" i="25" s="1"/>
  <c r="BB371" i="25" s="1"/>
  <c r="AX376" i="25"/>
  <c r="BA376" i="25" s="1"/>
  <c r="BB376" i="25" s="1"/>
  <c r="BS382" i="25"/>
  <c r="BM382" i="25" s="1"/>
  <c r="BN382" i="25" s="1"/>
  <c r="BO382" i="25" s="1"/>
  <c r="BS374" i="25"/>
  <c r="BM374" i="25" s="1"/>
  <c r="BN374" i="25" s="1"/>
  <c r="BO374" i="25" s="1"/>
  <c r="BS378" i="25"/>
  <c r="BM378" i="25" s="1"/>
  <c r="BN378" i="25" s="1"/>
  <c r="BO378" i="25" s="1"/>
  <c r="BS370" i="25"/>
  <c r="BM370" i="25" s="1"/>
  <c r="BN370" i="25" s="1"/>
  <c r="BO370" i="25" s="1"/>
  <c r="AW387" i="25"/>
  <c r="AY387" i="25" s="1"/>
  <c r="AZ387" i="25" s="1"/>
  <c r="BC387" i="25" s="1"/>
  <c r="BJ373" i="25"/>
  <c r="BJ376" i="25"/>
  <c r="AX374" i="25"/>
  <c r="BA374" i="25" s="1"/>
  <c r="BB374" i="25" s="1"/>
  <c r="AX381" i="25"/>
  <c r="BA381" i="25" s="1"/>
  <c r="BB381" i="25" s="1"/>
  <c r="AX386" i="25"/>
  <c r="BA386" i="25" s="1"/>
  <c r="BB386" i="25" s="1"/>
  <c r="AX378" i="25"/>
  <c r="BA378" i="25" s="1"/>
  <c r="BB378" i="25" s="1"/>
  <c r="AY370" i="25"/>
  <c r="AZ370" i="25" s="1"/>
  <c r="BC370" i="25" s="1"/>
  <c r="BS371" i="25"/>
  <c r="BM371" i="25" s="1"/>
  <c r="BN371" i="25" s="1"/>
  <c r="BO371" i="25" s="1"/>
  <c r="AX372" i="25"/>
  <c r="BA372" i="25" s="1"/>
  <c r="BB372" i="25" s="1"/>
  <c r="AX388" i="25"/>
  <c r="BA388" i="25" s="1"/>
  <c r="BB388" i="25" s="1"/>
  <c r="AY380" i="25"/>
  <c r="AZ380" i="25" s="1"/>
  <c r="BC380" i="25" s="1"/>
  <c r="AY372" i="25"/>
  <c r="AZ372" i="25" s="1"/>
  <c r="BC372" i="25" s="1"/>
  <c r="BJ382" i="25"/>
  <c r="AY381" i="25"/>
  <c r="AZ381" i="25" s="1"/>
  <c r="BC381" i="25" s="1"/>
  <c r="AY384" i="25"/>
  <c r="AZ384" i="25" s="1"/>
  <c r="BC384" i="25" s="1"/>
  <c r="AY379" i="25"/>
  <c r="AZ379" i="25" s="1"/>
  <c r="BC379" i="25" s="1"/>
  <c r="BS381" i="25"/>
  <c r="BM381" i="25" s="1"/>
  <c r="BN381" i="25" s="1"/>
  <c r="BO381" i="25" s="1"/>
  <c r="BS373" i="25"/>
  <c r="BM373" i="25" s="1"/>
  <c r="BN373" i="25" s="1"/>
  <c r="BO373" i="25" s="1"/>
  <c r="BS383" i="25"/>
  <c r="BM383" i="25" s="1"/>
  <c r="BN383" i="25" s="1"/>
  <c r="BO383" i="25" s="1"/>
  <c r="BS375" i="25"/>
  <c r="BM375" i="25" s="1"/>
  <c r="BN375" i="25" s="1"/>
  <c r="BO375" i="25" s="1"/>
  <c r="BS379" i="25"/>
  <c r="BM379" i="25" s="1"/>
  <c r="BN379" i="25" s="1"/>
  <c r="BO379" i="25" s="1"/>
  <c r="AX383" i="25"/>
  <c r="BA383" i="25" s="1"/>
  <c r="BB383" i="25" s="1"/>
  <c r="AX370" i="25"/>
  <c r="BA370" i="25" s="1"/>
  <c r="BB370" i="25" s="1"/>
  <c r="AX380" i="25"/>
  <c r="BA380" i="25" s="1"/>
  <c r="BB380" i="25" s="1"/>
  <c r="AW388" i="25"/>
  <c r="AY388" i="25" s="1"/>
  <c r="AZ388" i="25" s="1"/>
  <c r="BC388" i="25" s="1"/>
  <c r="AY373" i="25"/>
  <c r="AZ373" i="25" s="1"/>
  <c r="BC373" i="25" s="1"/>
  <c r="AX375" i="25"/>
  <c r="BA375" i="25" s="1"/>
  <c r="BB375" i="25" s="1"/>
  <c r="AU378" i="25"/>
  <c r="AY378" i="25" s="1"/>
  <c r="AZ378" i="25" s="1"/>
  <c r="BC378" i="25" s="1"/>
  <c r="BJ388" i="25"/>
  <c r="AX373" i="25"/>
  <c r="BA373" i="25" s="1"/>
  <c r="BB373" i="25" s="1"/>
  <c r="AU386" i="25"/>
  <c r="AY386" i="25" s="1"/>
  <c r="AZ386" i="25" s="1"/>
  <c r="BC386" i="25" s="1"/>
  <c r="BJ384" i="25"/>
  <c r="BJ372" i="25"/>
  <c r="AX385" i="25"/>
  <c r="BA385" i="25" s="1"/>
  <c r="BB385" i="25" s="1"/>
  <c r="AX377" i="25"/>
  <c r="BA377" i="25" s="1"/>
  <c r="BB377" i="25" s="1"/>
  <c r="AX369" i="25"/>
  <c r="BA369" i="25" s="1"/>
  <c r="BB369" i="25" s="1"/>
  <c r="AY385" i="25"/>
  <c r="AZ385" i="25" s="1"/>
  <c r="BC385" i="25" s="1"/>
  <c r="AY377" i="25"/>
  <c r="AZ377" i="25" s="1"/>
  <c r="BC377" i="25" s="1"/>
  <c r="AY369" i="25"/>
  <c r="AZ369" i="25" s="1"/>
  <c r="BC369" i="25" s="1"/>
  <c r="AY383" i="25"/>
  <c r="AZ383" i="25" s="1"/>
  <c r="BC383" i="25" s="1"/>
  <c r="AY382" i="25"/>
  <c r="AZ382" i="25" s="1"/>
  <c r="BC382" i="25" s="1"/>
  <c r="AY374" i="25"/>
  <c r="AZ374" i="25" s="1"/>
  <c r="BC374" i="25" s="1"/>
  <c r="AY375" i="25"/>
  <c r="AZ375" i="25" s="1"/>
  <c r="BC375" i="25" s="1"/>
  <c r="BJ381" i="25"/>
  <c r="BJ387" i="25"/>
  <c r="BJ379" i="25"/>
  <c r="BJ371" i="25"/>
  <c r="BJ386" i="25"/>
  <c r="BJ378" i="25"/>
  <c r="BJ370" i="25"/>
  <c r="G250" i="25" l="1"/>
  <c r="G251" i="25"/>
  <c r="G252" i="25"/>
  <c r="G253" i="25"/>
  <c r="G254" i="25"/>
  <c r="G255" i="25"/>
  <c r="G256" i="25"/>
  <c r="G257" i="25"/>
  <c r="G258" i="25"/>
  <c r="G259" i="25"/>
  <c r="G260" i="25"/>
  <c r="G261" i="25"/>
  <c r="G262" i="25"/>
  <c r="G263" i="25"/>
  <c r="G264" i="25"/>
  <c r="G265" i="25"/>
  <c r="G266" i="25"/>
  <c r="G267" i="25"/>
  <c r="G268" i="25"/>
  <c r="G269" i="25"/>
  <c r="G270" i="25"/>
  <c r="G271" i="25"/>
  <c r="G272" i="25"/>
  <c r="G273" i="25"/>
  <c r="G274" i="25"/>
  <c r="G275" i="25"/>
  <c r="G276" i="25"/>
  <c r="G277" i="25"/>
  <c r="G278" i="25"/>
  <c r="G279" i="25"/>
  <c r="G280" i="25"/>
  <c r="G281" i="25"/>
  <c r="G282" i="25"/>
  <c r="G283" i="25"/>
  <c r="G284" i="25"/>
  <c r="G285" i="25"/>
  <c r="G286" i="25"/>
  <c r="G287" i="25"/>
  <c r="G288" i="25"/>
  <c r="G289" i="25"/>
  <c r="G290" i="25"/>
  <c r="G291" i="25"/>
  <c r="G292" i="25"/>
  <c r="G293" i="25"/>
  <c r="G294" i="25"/>
  <c r="G295" i="25"/>
  <c r="G296" i="25"/>
  <c r="G297" i="25"/>
  <c r="G298" i="25"/>
  <c r="G299" i="25"/>
  <c r="G300" i="25"/>
  <c r="G301" i="25"/>
  <c r="G302" i="25"/>
  <c r="G303" i="25"/>
  <c r="G304" i="25"/>
  <c r="G305" i="25"/>
  <c r="G306" i="25"/>
  <c r="G307" i="25"/>
  <c r="G308" i="25"/>
  <c r="G309" i="25"/>
  <c r="G310" i="25"/>
  <c r="G311" i="25"/>
  <c r="G312" i="25"/>
  <c r="G313" i="25"/>
  <c r="G314" i="25"/>
  <c r="G315" i="25"/>
  <c r="G316" i="25"/>
  <c r="G317" i="25"/>
  <c r="G318" i="25"/>
  <c r="G319" i="25"/>
  <c r="G320" i="25"/>
  <c r="G321" i="25"/>
  <c r="G322" i="25"/>
  <c r="G323" i="25"/>
  <c r="G324" i="25"/>
  <c r="G325" i="25"/>
  <c r="G326" i="25"/>
  <c r="G327" i="25"/>
  <c r="G328" i="25"/>
  <c r="G329" i="25"/>
  <c r="G330" i="25"/>
  <c r="G331" i="25"/>
  <c r="G332" i="25"/>
  <c r="G333" i="25"/>
  <c r="G334" i="25"/>
  <c r="G335" i="25"/>
  <c r="G336" i="25"/>
  <c r="G337" i="25"/>
  <c r="G338" i="25"/>
  <c r="G339" i="25"/>
  <c r="G340" i="25"/>
  <c r="G341" i="25"/>
  <c r="G342" i="25"/>
  <c r="G343" i="25"/>
  <c r="G344" i="25"/>
  <c r="G345" i="25"/>
  <c r="G346" i="25"/>
  <c r="G347" i="25"/>
  <c r="G348" i="25"/>
  <c r="G349" i="25"/>
  <c r="G350" i="25"/>
  <c r="G351" i="25"/>
  <c r="G352" i="25"/>
  <c r="G353" i="25"/>
  <c r="G354" i="25"/>
  <c r="G355" i="25"/>
  <c r="G356" i="25"/>
  <c r="G357" i="25"/>
  <c r="G358" i="25"/>
  <c r="G359" i="25"/>
  <c r="G360" i="25"/>
  <c r="G361" i="25"/>
  <c r="G362" i="25"/>
  <c r="G363" i="25"/>
  <c r="G364" i="25"/>
  <c r="G365" i="25"/>
  <c r="G366" i="25"/>
  <c r="G367" i="25"/>
  <c r="G368" i="25"/>
  <c r="AT352" i="25"/>
  <c r="AU352" i="25" s="1"/>
  <c r="AT353" i="25"/>
  <c r="AU353" i="25" s="1"/>
  <c r="AT354" i="25"/>
  <c r="AU354" i="25" s="1"/>
  <c r="AT355" i="25"/>
  <c r="AU355" i="25" s="1"/>
  <c r="AT356" i="25"/>
  <c r="AU356" i="25" s="1"/>
  <c r="AT357" i="25"/>
  <c r="AU357" i="25" s="1"/>
  <c r="AT358" i="25"/>
  <c r="AU358" i="25" s="1"/>
  <c r="AT359" i="25"/>
  <c r="AU359" i="25" s="1"/>
  <c r="AT360" i="25"/>
  <c r="AU360" i="25" s="1"/>
  <c r="AT361" i="25"/>
  <c r="AU361" i="25" s="1"/>
  <c r="AT362" i="25"/>
  <c r="AU362" i="25" s="1"/>
  <c r="AT363" i="25"/>
  <c r="AU363" i="25" s="1"/>
  <c r="AT364" i="25"/>
  <c r="AU364" i="25" s="1"/>
  <c r="AT365" i="25"/>
  <c r="AU365" i="25" s="1"/>
  <c r="AT366" i="25"/>
  <c r="AU366" i="25" s="1"/>
  <c r="AT367" i="25"/>
  <c r="AU367" i="25" s="1"/>
  <c r="AT368" i="25"/>
  <c r="AU368" i="25" s="1"/>
  <c r="AV352" i="25"/>
  <c r="AW352" i="25" s="1"/>
  <c r="AV353" i="25"/>
  <c r="AW353" i="25" s="1"/>
  <c r="AV354" i="25"/>
  <c r="AW354" i="25" s="1"/>
  <c r="AV355" i="25"/>
  <c r="AW355" i="25" s="1"/>
  <c r="AV356" i="25"/>
  <c r="AV357" i="25"/>
  <c r="AW357" i="25" s="1"/>
  <c r="AV358" i="25"/>
  <c r="AW358" i="25" s="1"/>
  <c r="AV359" i="25"/>
  <c r="AW359" i="25" s="1"/>
  <c r="AV360" i="25"/>
  <c r="AV361" i="25"/>
  <c r="AW361" i="25" s="1"/>
  <c r="AV362" i="25"/>
  <c r="AW362" i="25" s="1"/>
  <c r="AV363" i="25"/>
  <c r="AW363" i="25" s="1"/>
  <c r="AV364" i="25"/>
  <c r="AW364" i="25" s="1"/>
  <c r="AV365" i="25"/>
  <c r="AW365" i="25" s="1"/>
  <c r="AV366" i="25"/>
  <c r="AW366" i="25" s="1"/>
  <c r="AV367" i="25"/>
  <c r="AW367" i="25" s="1"/>
  <c r="AV368" i="25"/>
  <c r="AW368" i="25" s="1"/>
  <c r="BD352" i="25"/>
  <c r="BD353" i="25"/>
  <c r="BD354" i="25"/>
  <c r="BD355" i="25"/>
  <c r="BD356" i="25"/>
  <c r="BD357" i="25"/>
  <c r="BD358" i="25"/>
  <c r="BD359" i="25"/>
  <c r="BD360" i="25"/>
  <c r="BD361" i="25"/>
  <c r="BD362" i="25"/>
  <c r="BD363" i="25"/>
  <c r="BD364" i="25"/>
  <c r="BD365" i="25"/>
  <c r="BD366" i="25"/>
  <c r="BD367" i="25"/>
  <c r="BD368" i="25"/>
  <c r="BE352" i="25"/>
  <c r="BF352" i="25" s="1"/>
  <c r="BE353" i="25"/>
  <c r="BF353" i="25" s="1"/>
  <c r="BE354" i="25"/>
  <c r="BJ354" i="25" s="1"/>
  <c r="BE355" i="25"/>
  <c r="BJ355" i="25" s="1"/>
  <c r="BE356" i="25"/>
  <c r="BF356" i="25" s="1"/>
  <c r="BE357" i="25"/>
  <c r="BJ357" i="25" s="1"/>
  <c r="BE358" i="25"/>
  <c r="BF358" i="25" s="1"/>
  <c r="BE359" i="25"/>
  <c r="BF359" i="25" s="1"/>
  <c r="BE360" i="25"/>
  <c r="BF360" i="25" s="1"/>
  <c r="BE361" i="25"/>
  <c r="BF361" i="25" s="1"/>
  <c r="BE362" i="25"/>
  <c r="BF362" i="25" s="1"/>
  <c r="BE363" i="25"/>
  <c r="BF363" i="25" s="1"/>
  <c r="BE364" i="25"/>
  <c r="BF364" i="25" s="1"/>
  <c r="BE365" i="25"/>
  <c r="BF365" i="25" s="1"/>
  <c r="BE366" i="25"/>
  <c r="BJ366" i="25" s="1"/>
  <c r="BE367" i="25"/>
  <c r="BF367" i="25" s="1"/>
  <c r="BE368" i="25"/>
  <c r="BF368" i="25" s="1"/>
  <c r="BG352" i="25"/>
  <c r="BG353" i="25"/>
  <c r="BG354" i="25"/>
  <c r="BG355" i="25"/>
  <c r="BG356" i="25"/>
  <c r="BG357" i="25"/>
  <c r="BG358" i="25"/>
  <c r="BG359" i="25"/>
  <c r="BG360" i="25"/>
  <c r="BG361" i="25"/>
  <c r="BG362" i="25"/>
  <c r="BG363" i="25"/>
  <c r="BG364" i="25"/>
  <c r="BG365" i="25"/>
  <c r="BG366" i="25"/>
  <c r="BG367" i="25"/>
  <c r="BG368" i="25"/>
  <c r="BH352" i="25"/>
  <c r="BI352" i="25" s="1"/>
  <c r="BH353" i="25"/>
  <c r="BI353" i="25" s="1"/>
  <c r="BH354" i="25"/>
  <c r="BI354" i="25" s="1"/>
  <c r="BH355" i="25"/>
  <c r="BI355" i="25" s="1"/>
  <c r="BH356" i="25"/>
  <c r="BI356" i="25" s="1"/>
  <c r="BH357" i="25"/>
  <c r="BI357" i="25" s="1"/>
  <c r="BH358" i="25"/>
  <c r="BI358" i="25" s="1"/>
  <c r="BH359" i="25"/>
  <c r="BI359" i="25" s="1"/>
  <c r="BH360" i="25"/>
  <c r="BI360" i="25" s="1"/>
  <c r="BH361" i="25"/>
  <c r="BI361" i="25" s="1"/>
  <c r="BH362" i="25"/>
  <c r="BI362" i="25" s="1"/>
  <c r="BH363" i="25"/>
  <c r="BI363" i="25" s="1"/>
  <c r="BH364" i="25"/>
  <c r="BI364" i="25" s="1"/>
  <c r="BH365" i="25"/>
  <c r="BI365" i="25" s="1"/>
  <c r="BH366" i="25"/>
  <c r="BI366" i="25" s="1"/>
  <c r="BH367" i="25"/>
  <c r="BI367" i="25" s="1"/>
  <c r="BH368" i="25"/>
  <c r="BI368" i="25" s="1"/>
  <c r="BK352" i="25"/>
  <c r="BP352" i="25" s="1"/>
  <c r="BK353" i="25"/>
  <c r="BP353" i="25" s="1"/>
  <c r="BK354" i="25"/>
  <c r="BP354" i="25" s="1"/>
  <c r="BK355" i="25"/>
  <c r="BP355" i="25" s="1"/>
  <c r="BK356" i="25"/>
  <c r="BP356" i="25" s="1"/>
  <c r="BK357" i="25"/>
  <c r="BP357" i="25" s="1"/>
  <c r="BK358" i="25"/>
  <c r="BP358" i="25" s="1"/>
  <c r="BK359" i="25"/>
  <c r="BP359" i="25" s="1"/>
  <c r="BK360" i="25"/>
  <c r="BP360" i="25" s="1"/>
  <c r="BK361" i="25"/>
  <c r="BP361" i="25" s="1"/>
  <c r="BK362" i="25"/>
  <c r="BP362" i="25" s="1"/>
  <c r="BK363" i="25"/>
  <c r="BP363" i="25" s="1"/>
  <c r="BK364" i="25"/>
  <c r="BP364" i="25" s="1"/>
  <c r="BK365" i="25"/>
  <c r="BP365" i="25" s="1"/>
  <c r="BK366" i="25"/>
  <c r="BP366" i="25" s="1"/>
  <c r="BK367" i="25"/>
  <c r="BP367" i="25" s="1"/>
  <c r="BK368" i="25"/>
  <c r="BP368" i="25" s="1"/>
  <c r="BL352" i="25"/>
  <c r="BL353" i="25"/>
  <c r="BL354" i="25"/>
  <c r="BL355" i="25"/>
  <c r="BL356" i="25"/>
  <c r="BL357" i="25"/>
  <c r="BL358" i="25"/>
  <c r="BL359" i="25"/>
  <c r="BL360" i="25"/>
  <c r="BL361" i="25"/>
  <c r="BL362" i="25"/>
  <c r="BL363" i="25"/>
  <c r="BL364" i="25"/>
  <c r="BL365" i="25"/>
  <c r="BL366" i="25"/>
  <c r="BL367" i="25"/>
  <c r="BL368" i="25"/>
  <c r="BQ352" i="25"/>
  <c r="BQ353" i="25"/>
  <c r="BQ354" i="25"/>
  <c r="BQ355" i="25"/>
  <c r="BQ356" i="25"/>
  <c r="BQ357" i="25"/>
  <c r="BQ358" i="25"/>
  <c r="BQ359" i="25"/>
  <c r="BQ360" i="25"/>
  <c r="BQ361" i="25"/>
  <c r="BQ362" i="25"/>
  <c r="BQ363" i="25"/>
  <c r="BQ364" i="25"/>
  <c r="BQ365" i="25"/>
  <c r="BQ366" i="25"/>
  <c r="BQ367" i="25"/>
  <c r="BQ368" i="25"/>
  <c r="BR352" i="25"/>
  <c r="BR353" i="25"/>
  <c r="BR354" i="25"/>
  <c r="BR355" i="25"/>
  <c r="BR356" i="25"/>
  <c r="BR357" i="25"/>
  <c r="BR358" i="25"/>
  <c r="BR359" i="25"/>
  <c r="BR360" i="25"/>
  <c r="BR361" i="25"/>
  <c r="BR362" i="25"/>
  <c r="BR363" i="25"/>
  <c r="BR364" i="25"/>
  <c r="BR365" i="25"/>
  <c r="BR366" i="25"/>
  <c r="BR367" i="25"/>
  <c r="BR368" i="25"/>
  <c r="BT352" i="25"/>
  <c r="BT353" i="25"/>
  <c r="BT354" i="25"/>
  <c r="BT355" i="25"/>
  <c r="BT356" i="25"/>
  <c r="BT357" i="25"/>
  <c r="BT358" i="25"/>
  <c r="BT359" i="25"/>
  <c r="BT360" i="25"/>
  <c r="BT361" i="25"/>
  <c r="BT362" i="25"/>
  <c r="BT363" i="25"/>
  <c r="BT364" i="25"/>
  <c r="BT365" i="25"/>
  <c r="BT366" i="25"/>
  <c r="BT367" i="25"/>
  <c r="BT368" i="25"/>
  <c r="BU352" i="25"/>
  <c r="BU353" i="25"/>
  <c r="BU354" i="25"/>
  <c r="BU355" i="25"/>
  <c r="BU356" i="25"/>
  <c r="BU357" i="25"/>
  <c r="BU358" i="25"/>
  <c r="BU359" i="25"/>
  <c r="BU360" i="25"/>
  <c r="BU361" i="25"/>
  <c r="BU362" i="25"/>
  <c r="BU363" i="25"/>
  <c r="BU364" i="25"/>
  <c r="BU365" i="25"/>
  <c r="BU366" i="25"/>
  <c r="BU367" i="25"/>
  <c r="BU368" i="25"/>
  <c r="BV352" i="25"/>
  <c r="BV353" i="25"/>
  <c r="BV354" i="25"/>
  <c r="BV355" i="25"/>
  <c r="BV356" i="25"/>
  <c r="BV357" i="25"/>
  <c r="BV358" i="25"/>
  <c r="BV359" i="25"/>
  <c r="BV360" i="25"/>
  <c r="BV361" i="25"/>
  <c r="BV362" i="25"/>
  <c r="BV363" i="25"/>
  <c r="BV364" i="25"/>
  <c r="BV365" i="25"/>
  <c r="BV366" i="25"/>
  <c r="BV367" i="25"/>
  <c r="BV368" i="25"/>
  <c r="BW352" i="25"/>
  <c r="BW353" i="25"/>
  <c r="BW354" i="25"/>
  <c r="BW355" i="25"/>
  <c r="BW356" i="25"/>
  <c r="BW357" i="25"/>
  <c r="BW358" i="25"/>
  <c r="BW359" i="25"/>
  <c r="BW360" i="25"/>
  <c r="BW361" i="25"/>
  <c r="BW362" i="25"/>
  <c r="BW363" i="25"/>
  <c r="BW364" i="25"/>
  <c r="BW365" i="25"/>
  <c r="BW366" i="25"/>
  <c r="BW367" i="25"/>
  <c r="BW368" i="25"/>
  <c r="BX352" i="25"/>
  <c r="BX353" i="25"/>
  <c r="BX354" i="25"/>
  <c r="BX355" i="25"/>
  <c r="BX356" i="25"/>
  <c r="BX357" i="25"/>
  <c r="BX358" i="25"/>
  <c r="BX359" i="25"/>
  <c r="BX360" i="25"/>
  <c r="BX361" i="25"/>
  <c r="BX362" i="25"/>
  <c r="BX363" i="25"/>
  <c r="BX364" i="25"/>
  <c r="BX365" i="25"/>
  <c r="BX366" i="25"/>
  <c r="BX367" i="25"/>
  <c r="BX368" i="25"/>
  <c r="BY352" i="25"/>
  <c r="BY353" i="25"/>
  <c r="BY354" i="25"/>
  <c r="BY355" i="25"/>
  <c r="BY356" i="25"/>
  <c r="BY357" i="25"/>
  <c r="BY358" i="25"/>
  <c r="BY359" i="25"/>
  <c r="BY360" i="25"/>
  <c r="BY361" i="25"/>
  <c r="BY362" i="25"/>
  <c r="BY363" i="25"/>
  <c r="BY364" i="25"/>
  <c r="BY365" i="25"/>
  <c r="BY366" i="25"/>
  <c r="BY367" i="25"/>
  <c r="BY368" i="25"/>
  <c r="BZ352" i="25"/>
  <c r="BZ353" i="25"/>
  <c r="BZ354" i="25"/>
  <c r="BZ355" i="25"/>
  <c r="BZ356" i="25"/>
  <c r="BZ357" i="25"/>
  <c r="BZ358" i="25"/>
  <c r="BZ359" i="25"/>
  <c r="BZ360" i="25"/>
  <c r="BZ361" i="25"/>
  <c r="BZ362" i="25"/>
  <c r="BZ363" i="25"/>
  <c r="BZ364" i="25"/>
  <c r="BZ365" i="25"/>
  <c r="BZ366" i="25"/>
  <c r="BZ367" i="25"/>
  <c r="BZ368" i="25"/>
  <c r="CA352" i="25"/>
  <c r="CA353" i="25"/>
  <c r="CA354" i="25"/>
  <c r="CA355" i="25"/>
  <c r="CA356" i="25"/>
  <c r="CA357" i="25"/>
  <c r="CA358" i="25"/>
  <c r="CA359" i="25"/>
  <c r="CA360" i="25"/>
  <c r="CA361" i="25"/>
  <c r="CA362" i="25"/>
  <c r="CA363" i="25"/>
  <c r="CA364" i="25"/>
  <c r="CA365" i="25"/>
  <c r="CA366" i="25"/>
  <c r="CA367" i="25"/>
  <c r="CA368" i="25"/>
  <c r="G249" i="25"/>
  <c r="G248" i="25"/>
  <c r="G247" i="25"/>
  <c r="G246" i="25"/>
  <c r="G245" i="25"/>
  <c r="G244" i="25"/>
  <c r="G243" i="25"/>
  <c r="G180" i="25"/>
  <c r="AT243" i="25"/>
  <c r="AU243" i="25" s="1"/>
  <c r="AT244" i="25"/>
  <c r="AU244" i="25" s="1"/>
  <c r="AT245" i="25"/>
  <c r="AU245" i="25" s="1"/>
  <c r="AT246" i="25"/>
  <c r="AT247" i="25"/>
  <c r="AU247" i="25" s="1"/>
  <c r="AT248" i="25"/>
  <c r="AU248" i="25" s="1"/>
  <c r="AT249" i="25"/>
  <c r="AT250" i="25"/>
  <c r="AU250" i="25" s="1"/>
  <c r="AT251" i="25"/>
  <c r="AT252" i="25"/>
  <c r="AT253" i="25"/>
  <c r="AT254" i="25"/>
  <c r="AU254" i="25" s="1"/>
  <c r="AT255" i="25"/>
  <c r="AT256" i="25"/>
  <c r="AU256" i="25" s="1"/>
  <c r="AT257" i="25"/>
  <c r="AU257" i="25" s="1"/>
  <c r="AT258" i="25"/>
  <c r="AU258" i="25" s="1"/>
  <c r="AT259" i="25"/>
  <c r="AU259" i="25" s="1"/>
  <c r="AT260" i="25"/>
  <c r="AT261" i="25"/>
  <c r="AT262" i="25"/>
  <c r="AU262" i="25" s="1"/>
  <c r="AT263" i="25"/>
  <c r="AU263" i="25" s="1"/>
  <c r="AT264" i="25"/>
  <c r="AU264" i="25" s="1"/>
  <c r="AT265" i="25"/>
  <c r="AT266" i="25"/>
  <c r="AU266" i="25" s="1"/>
  <c r="AT267" i="25"/>
  <c r="AT268" i="25"/>
  <c r="AT269" i="25"/>
  <c r="AU269" i="25" s="1"/>
  <c r="AT270" i="25"/>
  <c r="AU270" i="25" s="1"/>
  <c r="AT271" i="25"/>
  <c r="AU271" i="25" s="1"/>
  <c r="AT272" i="25"/>
  <c r="AU272" i="25" s="1"/>
  <c r="AT273" i="25"/>
  <c r="AT274" i="25"/>
  <c r="AU274" i="25" s="1"/>
  <c r="AT275" i="25"/>
  <c r="AT276" i="25"/>
  <c r="AT277" i="25"/>
  <c r="AT278" i="25"/>
  <c r="AU278" i="25" s="1"/>
  <c r="AT279" i="25"/>
  <c r="AU279" i="25" s="1"/>
  <c r="AT280" i="25"/>
  <c r="AU280" i="25" s="1"/>
  <c r="AT281" i="25"/>
  <c r="AU281" i="25" s="1"/>
  <c r="AT282" i="25"/>
  <c r="AU282" i="25" s="1"/>
  <c r="AT283" i="25"/>
  <c r="AT284" i="25"/>
  <c r="AT285" i="25"/>
  <c r="AT286" i="25"/>
  <c r="AU286" i="25" s="1"/>
  <c r="AT287" i="25"/>
  <c r="AU287" i="25" s="1"/>
  <c r="AT288" i="25"/>
  <c r="AU288" i="25" s="1"/>
  <c r="AT289" i="25"/>
  <c r="AU289" i="25" s="1"/>
  <c r="AT290" i="25"/>
  <c r="AU290" i="25" s="1"/>
  <c r="AT291" i="25"/>
  <c r="AU291" i="25" s="1"/>
  <c r="AT292" i="25"/>
  <c r="AT293" i="25"/>
  <c r="AU293" i="25" s="1"/>
  <c r="AT294" i="25"/>
  <c r="AU294" i="25" s="1"/>
  <c r="AT295" i="25"/>
  <c r="AU295" i="25" s="1"/>
  <c r="AT296" i="25"/>
  <c r="AU296" i="25" s="1"/>
  <c r="AT297" i="25"/>
  <c r="AT298" i="25"/>
  <c r="AU298" i="25" s="1"/>
  <c r="AT299" i="25"/>
  <c r="AT300" i="25"/>
  <c r="AT301" i="25"/>
  <c r="AU301" i="25" s="1"/>
  <c r="AT302" i="25"/>
  <c r="AU302" i="25" s="1"/>
  <c r="AT303" i="25"/>
  <c r="AU303" i="25" s="1"/>
  <c r="AT304" i="25"/>
  <c r="AU304" i="25" s="1"/>
  <c r="AT305" i="25"/>
  <c r="AU305" i="25" s="1"/>
  <c r="AT306" i="25"/>
  <c r="AU306" i="25" s="1"/>
  <c r="AT307" i="25"/>
  <c r="AU307" i="25" s="1"/>
  <c r="AT308" i="25"/>
  <c r="AT309" i="25"/>
  <c r="AT310" i="25"/>
  <c r="AU310" i="25" s="1"/>
  <c r="AT311" i="25"/>
  <c r="AU311" i="25" s="1"/>
  <c r="AT312" i="25"/>
  <c r="AU312" i="25" s="1"/>
  <c r="AT313" i="25"/>
  <c r="AU313" i="25" s="1"/>
  <c r="AT314" i="25"/>
  <c r="AU314" i="25" s="1"/>
  <c r="AT315" i="25"/>
  <c r="AU315" i="25" s="1"/>
  <c r="AT316" i="25"/>
  <c r="AT317" i="25"/>
  <c r="AU317" i="25" s="1"/>
  <c r="AT318" i="25"/>
  <c r="AU318" i="25" s="1"/>
  <c r="AT319" i="25"/>
  <c r="AT320" i="25"/>
  <c r="AU320" i="25" s="1"/>
  <c r="AT321" i="25"/>
  <c r="AU321" i="25" s="1"/>
  <c r="AT322" i="25"/>
  <c r="AU322" i="25" s="1"/>
  <c r="AT323" i="25"/>
  <c r="AU323" i="25" s="1"/>
  <c r="AT324" i="25"/>
  <c r="AU324" i="25" s="1"/>
  <c r="AT325" i="25"/>
  <c r="AU325" i="25" s="1"/>
  <c r="AT326" i="25"/>
  <c r="AT327" i="25"/>
  <c r="AT328" i="25"/>
  <c r="AT337" i="25"/>
  <c r="AU337" i="25" s="1"/>
  <c r="AT331" i="25"/>
  <c r="AU331" i="25" s="1"/>
  <c r="AT330" i="25"/>
  <c r="AU330" i="25" s="1"/>
  <c r="AT334" i="25"/>
  <c r="AU334" i="25" s="1"/>
  <c r="AT336" i="25"/>
  <c r="AU336" i="25" s="1"/>
  <c r="AT333" i="25"/>
  <c r="AT332" i="25"/>
  <c r="AT335" i="25"/>
  <c r="AU335" i="25" s="1"/>
  <c r="AT329" i="25"/>
  <c r="AU329" i="25" s="1"/>
  <c r="AT338" i="25"/>
  <c r="AU338" i="25" s="1"/>
  <c r="AT339" i="25"/>
  <c r="AU339" i="25" s="1"/>
  <c r="AT340" i="25"/>
  <c r="AU340" i="25" s="1"/>
  <c r="AT341" i="25"/>
  <c r="AU341" i="25" s="1"/>
  <c r="AT342" i="25"/>
  <c r="AU342" i="25" s="1"/>
  <c r="AT343" i="25"/>
  <c r="AT344" i="25"/>
  <c r="AU344" i="25" s="1"/>
  <c r="AT345" i="25"/>
  <c r="AU345" i="25" s="1"/>
  <c r="AT346" i="25"/>
  <c r="AU346" i="25" s="1"/>
  <c r="AT347" i="25"/>
  <c r="AU347" i="25" s="1"/>
  <c r="AT348" i="25"/>
  <c r="AU348" i="25" s="1"/>
  <c r="AT349" i="25"/>
  <c r="AU349" i="25" s="1"/>
  <c r="AT350" i="25"/>
  <c r="AU350" i="25" s="1"/>
  <c r="AT351" i="25"/>
  <c r="AV243" i="25"/>
  <c r="AV244" i="25"/>
  <c r="AV245" i="25"/>
  <c r="AW245" i="25" s="1"/>
  <c r="AV246" i="25"/>
  <c r="AW246" i="25" s="1"/>
  <c r="AV247" i="25"/>
  <c r="AV248" i="25"/>
  <c r="AW248" i="25" s="1"/>
  <c r="AV249" i="25"/>
  <c r="AW249" i="25" s="1"/>
  <c r="AV250" i="25"/>
  <c r="AV251" i="25"/>
  <c r="AW251" i="25" s="1"/>
  <c r="AV252" i="25"/>
  <c r="AW252" i="25" s="1"/>
  <c r="AV253" i="25"/>
  <c r="AW253" i="25" s="1"/>
  <c r="AV254" i="25"/>
  <c r="AV255" i="25"/>
  <c r="AW255" i="25" s="1"/>
  <c r="AV256" i="25"/>
  <c r="AV257" i="25"/>
  <c r="AV258" i="25"/>
  <c r="AV259" i="25"/>
  <c r="AW259" i="25" s="1"/>
  <c r="AV260" i="25"/>
  <c r="AW260" i="25" s="1"/>
  <c r="AV261" i="25"/>
  <c r="AW261" i="25" s="1"/>
  <c r="AV262" i="25"/>
  <c r="AV263" i="25"/>
  <c r="AW263" i="25" s="1"/>
  <c r="AV264" i="25"/>
  <c r="AW264" i="25" s="1"/>
  <c r="AV265" i="25"/>
  <c r="AW265" i="25" s="1"/>
  <c r="AV266" i="25"/>
  <c r="AV267" i="25"/>
  <c r="AW267" i="25" s="1"/>
  <c r="AV268" i="25"/>
  <c r="AW268" i="25" s="1"/>
  <c r="AV269" i="25"/>
  <c r="AW269" i="25" s="1"/>
  <c r="AV270" i="25"/>
  <c r="AV271" i="25"/>
  <c r="AW271" i="25" s="1"/>
  <c r="AV272" i="25"/>
  <c r="AW272" i="25" s="1"/>
  <c r="AV273" i="25"/>
  <c r="AW273" i="25" s="1"/>
  <c r="AV274" i="25"/>
  <c r="AW274" i="25" s="1"/>
  <c r="AV275" i="25"/>
  <c r="AW275" i="25" s="1"/>
  <c r="AV276" i="25"/>
  <c r="AW276" i="25" s="1"/>
  <c r="AV277" i="25"/>
  <c r="AW277" i="25" s="1"/>
  <c r="AV278" i="25"/>
  <c r="AV279" i="25"/>
  <c r="AW279" i="25" s="1"/>
  <c r="AV280" i="25"/>
  <c r="AW280" i="25" s="1"/>
  <c r="AV281" i="25"/>
  <c r="AV282" i="25"/>
  <c r="AV283" i="25"/>
  <c r="AW283" i="25" s="1"/>
  <c r="AV284" i="25"/>
  <c r="AW284" i="25" s="1"/>
  <c r="AV285" i="25"/>
  <c r="AW285" i="25" s="1"/>
  <c r="AV286" i="25"/>
  <c r="AV287" i="25"/>
  <c r="AW287" i="25" s="1"/>
  <c r="AV288" i="25"/>
  <c r="AW288" i="25" s="1"/>
  <c r="AV289" i="25"/>
  <c r="AW289" i="25" s="1"/>
  <c r="AV290" i="25"/>
  <c r="AV291" i="25"/>
  <c r="AW291" i="25" s="1"/>
  <c r="AV292" i="25"/>
  <c r="AW292" i="25" s="1"/>
  <c r="AV293" i="25"/>
  <c r="AW293" i="25" s="1"/>
  <c r="AV294" i="25"/>
  <c r="AV295" i="25"/>
  <c r="AW295" i="25" s="1"/>
  <c r="AV296" i="25"/>
  <c r="AW296" i="25" s="1"/>
  <c r="AV297" i="25"/>
  <c r="AW297" i="25" s="1"/>
  <c r="AV298" i="25"/>
  <c r="AW298" i="25" s="1"/>
  <c r="AV299" i="25"/>
  <c r="AW299" i="25" s="1"/>
  <c r="AV300" i="25"/>
  <c r="AW300" i="25" s="1"/>
  <c r="AV301" i="25"/>
  <c r="AW301" i="25" s="1"/>
  <c r="AV302" i="25"/>
  <c r="AV303" i="25"/>
  <c r="AV304" i="25"/>
  <c r="AW304" i="25" s="1"/>
  <c r="AV305" i="25"/>
  <c r="AW305" i="25" s="1"/>
  <c r="AV306" i="25"/>
  <c r="AV307" i="25"/>
  <c r="AW307" i="25" s="1"/>
  <c r="AV308" i="25"/>
  <c r="AW308" i="25" s="1"/>
  <c r="AV309" i="25"/>
  <c r="AW309" i="25" s="1"/>
  <c r="AV310" i="25"/>
  <c r="AV311" i="25"/>
  <c r="AW311" i="25" s="1"/>
  <c r="AV312" i="25"/>
  <c r="AW312" i="25" s="1"/>
  <c r="AV313" i="25"/>
  <c r="AV314" i="25"/>
  <c r="AV315" i="25"/>
  <c r="AW315" i="25" s="1"/>
  <c r="AV316" i="25"/>
  <c r="AW316" i="25" s="1"/>
  <c r="AV317" i="25"/>
  <c r="AW317" i="25" s="1"/>
  <c r="AV318" i="25"/>
  <c r="AV319" i="25"/>
  <c r="AW319" i="25" s="1"/>
  <c r="AV320" i="25"/>
  <c r="AV321" i="25"/>
  <c r="AV322" i="25"/>
  <c r="AV323" i="25"/>
  <c r="AW323" i="25" s="1"/>
  <c r="AV324" i="25"/>
  <c r="AW324" i="25" s="1"/>
  <c r="AV325" i="25"/>
  <c r="AV326" i="25"/>
  <c r="AW326" i="25" s="1"/>
  <c r="AV327" i="25"/>
  <c r="AW327" i="25" s="1"/>
  <c r="AV328" i="25"/>
  <c r="AW328" i="25" s="1"/>
  <c r="AV337" i="25"/>
  <c r="AV331" i="25"/>
  <c r="AW331" i="25" s="1"/>
  <c r="AV330" i="25"/>
  <c r="AW330" i="25" s="1"/>
  <c r="AV334" i="25"/>
  <c r="AW334" i="25" s="1"/>
  <c r="AV336" i="25"/>
  <c r="AV333" i="25"/>
  <c r="AW333" i="25" s="1"/>
  <c r="AV332" i="25"/>
  <c r="AW332" i="25" s="1"/>
  <c r="AV335" i="25"/>
  <c r="AW335" i="25" s="1"/>
  <c r="AV329" i="25"/>
  <c r="AV338" i="25"/>
  <c r="AW338" i="25" s="1"/>
  <c r="AV339" i="25"/>
  <c r="AW339" i="25" s="1"/>
  <c r="AV340" i="25"/>
  <c r="AW340" i="25" s="1"/>
  <c r="AV341" i="25"/>
  <c r="AV342" i="25"/>
  <c r="AW342" i="25" s="1"/>
  <c r="AV343" i="25"/>
  <c r="AW343" i="25" s="1"/>
  <c r="AV344" i="25"/>
  <c r="AW344" i="25" s="1"/>
  <c r="AV345" i="25"/>
  <c r="AV346" i="25"/>
  <c r="AV347" i="25"/>
  <c r="AW347" i="25" s="1"/>
  <c r="AV348" i="25"/>
  <c r="AW348" i="25" s="1"/>
  <c r="AV349" i="25"/>
  <c r="AW349" i="25" s="1"/>
  <c r="AV350" i="25"/>
  <c r="AW350" i="25" s="1"/>
  <c r="AV351" i="25"/>
  <c r="AW351" i="25" s="1"/>
  <c r="BD243" i="25"/>
  <c r="BD244" i="25"/>
  <c r="BD245" i="25"/>
  <c r="BD246" i="25"/>
  <c r="BD247" i="25"/>
  <c r="BD248" i="25"/>
  <c r="BD249" i="25"/>
  <c r="BD250" i="25"/>
  <c r="BD251" i="25"/>
  <c r="BD252" i="25"/>
  <c r="BD253" i="25"/>
  <c r="BD254" i="25"/>
  <c r="BD255" i="25"/>
  <c r="BD256" i="25"/>
  <c r="BD257" i="25"/>
  <c r="BD258" i="25"/>
  <c r="BD259" i="25"/>
  <c r="BD260" i="25"/>
  <c r="BD261" i="25"/>
  <c r="BD262" i="25"/>
  <c r="BD263" i="25"/>
  <c r="BD264" i="25"/>
  <c r="BD265" i="25"/>
  <c r="BD266" i="25"/>
  <c r="BD267" i="25"/>
  <c r="BD268" i="25"/>
  <c r="BD269" i="25"/>
  <c r="BD270" i="25"/>
  <c r="BD271" i="25"/>
  <c r="BD272" i="25"/>
  <c r="BD273" i="25"/>
  <c r="BD274" i="25"/>
  <c r="BD275" i="25"/>
  <c r="BD276" i="25"/>
  <c r="BD277" i="25"/>
  <c r="BD278" i="25"/>
  <c r="BD279" i="25"/>
  <c r="BD280" i="25"/>
  <c r="BD281" i="25"/>
  <c r="BD282" i="25"/>
  <c r="BD283" i="25"/>
  <c r="BD284" i="25"/>
  <c r="BD285" i="25"/>
  <c r="BD286" i="25"/>
  <c r="BD287" i="25"/>
  <c r="BD288" i="25"/>
  <c r="BD289" i="25"/>
  <c r="BD290" i="25"/>
  <c r="BD291" i="25"/>
  <c r="BD292" i="25"/>
  <c r="BD293" i="25"/>
  <c r="BD294" i="25"/>
  <c r="BD295" i="25"/>
  <c r="BD296" i="25"/>
  <c r="BD297" i="25"/>
  <c r="BD298" i="25"/>
  <c r="BD299" i="25"/>
  <c r="BD300" i="25"/>
  <c r="BD301" i="25"/>
  <c r="BD302" i="25"/>
  <c r="BD303" i="25"/>
  <c r="BD304" i="25"/>
  <c r="BD305" i="25"/>
  <c r="BD306" i="25"/>
  <c r="BD307" i="25"/>
  <c r="BD308" i="25"/>
  <c r="BD309" i="25"/>
  <c r="BD310" i="25"/>
  <c r="BD311" i="25"/>
  <c r="BD312" i="25"/>
  <c r="BD313" i="25"/>
  <c r="BD314" i="25"/>
  <c r="BD315" i="25"/>
  <c r="BD316" i="25"/>
  <c r="BD317" i="25"/>
  <c r="BD318" i="25"/>
  <c r="BD319" i="25"/>
  <c r="BD320" i="25"/>
  <c r="BD321" i="25"/>
  <c r="BD322" i="25"/>
  <c r="BD323" i="25"/>
  <c r="BD324" i="25"/>
  <c r="BD325" i="25"/>
  <c r="BD326" i="25"/>
  <c r="BD327" i="25"/>
  <c r="BD328" i="25"/>
  <c r="BD337" i="25"/>
  <c r="BD331" i="25"/>
  <c r="BD330" i="25"/>
  <c r="BD334" i="25"/>
  <c r="BD336" i="25"/>
  <c r="BD333" i="25"/>
  <c r="BD332" i="25"/>
  <c r="BD335" i="25"/>
  <c r="BD329" i="25"/>
  <c r="BD338" i="25"/>
  <c r="BD339" i="25"/>
  <c r="BD340" i="25"/>
  <c r="BD341" i="25"/>
  <c r="BD342" i="25"/>
  <c r="BD343" i="25"/>
  <c r="BD344" i="25"/>
  <c r="BD345" i="25"/>
  <c r="BD346" i="25"/>
  <c r="BD347" i="25"/>
  <c r="BD348" i="25"/>
  <c r="BD349" i="25"/>
  <c r="BD350" i="25"/>
  <c r="BD351" i="25"/>
  <c r="BE243" i="25"/>
  <c r="BE244" i="25"/>
  <c r="BF244" i="25" s="1"/>
  <c r="BE245" i="25"/>
  <c r="BF245" i="25" s="1"/>
  <c r="BE246" i="25"/>
  <c r="BF246" i="25" s="1"/>
  <c r="BE247" i="25"/>
  <c r="BE248" i="25"/>
  <c r="BF248" i="25" s="1"/>
  <c r="BE249" i="25"/>
  <c r="BE250" i="25"/>
  <c r="BJ250" i="25" s="1"/>
  <c r="BE251" i="25"/>
  <c r="BF251" i="25" s="1"/>
  <c r="BE252" i="25"/>
  <c r="BE253" i="25"/>
  <c r="BF253" i="25" s="1"/>
  <c r="BE254" i="25"/>
  <c r="BE255" i="25"/>
  <c r="BF255" i="25" s="1"/>
  <c r="BE256" i="25"/>
  <c r="BF256" i="25" s="1"/>
  <c r="BE257" i="25"/>
  <c r="BJ257" i="25" s="1"/>
  <c r="BE258" i="25"/>
  <c r="BJ258" i="25" s="1"/>
  <c r="BE259" i="25"/>
  <c r="BF259" i="25" s="1"/>
  <c r="BE260" i="25"/>
  <c r="BJ260" i="25" s="1"/>
  <c r="BE261" i="25"/>
  <c r="BF261" i="25" s="1"/>
  <c r="BE262" i="25"/>
  <c r="BE263" i="25"/>
  <c r="BF263" i="25" s="1"/>
  <c r="BE264" i="25"/>
  <c r="BJ264" i="25" s="1"/>
  <c r="BE265" i="25"/>
  <c r="BJ265" i="25" s="1"/>
  <c r="BE266" i="25"/>
  <c r="BJ266" i="25" s="1"/>
  <c r="BE267" i="25"/>
  <c r="BJ267" i="25" s="1"/>
  <c r="BE268" i="25"/>
  <c r="BJ268" i="25" s="1"/>
  <c r="BE269" i="25"/>
  <c r="BF269" i="25" s="1"/>
  <c r="BE270" i="25"/>
  <c r="BE271" i="25"/>
  <c r="BF271" i="25" s="1"/>
  <c r="BE272" i="25"/>
  <c r="BJ272" i="25" s="1"/>
  <c r="BE273" i="25"/>
  <c r="BJ273" i="25" s="1"/>
  <c r="BE274" i="25"/>
  <c r="BE275" i="25"/>
  <c r="BJ275" i="25" s="1"/>
  <c r="BE276" i="25"/>
  <c r="BJ276" i="25" s="1"/>
  <c r="BE277" i="25"/>
  <c r="BF277" i="25" s="1"/>
  <c r="BE278" i="25"/>
  <c r="BJ278" i="25" s="1"/>
  <c r="BE279" i="25"/>
  <c r="BF279" i="25" s="1"/>
  <c r="BE280" i="25"/>
  <c r="BF280" i="25" s="1"/>
  <c r="BE281" i="25"/>
  <c r="BJ281" i="25" s="1"/>
  <c r="BE282" i="25"/>
  <c r="BJ282" i="25" s="1"/>
  <c r="BE283" i="25"/>
  <c r="BF283" i="25" s="1"/>
  <c r="BE284" i="25"/>
  <c r="BE285" i="25"/>
  <c r="BJ285" i="25" s="1"/>
  <c r="BE286" i="25"/>
  <c r="BJ286" i="25" s="1"/>
  <c r="BE287" i="25"/>
  <c r="BF287" i="25" s="1"/>
  <c r="BE288" i="25"/>
  <c r="BF288" i="25" s="1"/>
  <c r="BE289" i="25"/>
  <c r="BF289" i="25" s="1"/>
  <c r="BE290" i="25"/>
  <c r="BE291" i="25"/>
  <c r="BJ291" i="25" s="1"/>
  <c r="BE292" i="25"/>
  <c r="BE293" i="25"/>
  <c r="BF293" i="25" s="1"/>
  <c r="BE294" i="25"/>
  <c r="BE295" i="25"/>
  <c r="BF295" i="25" s="1"/>
  <c r="BE296" i="25"/>
  <c r="BJ296" i="25" s="1"/>
  <c r="BE297" i="25"/>
  <c r="BJ297" i="25" s="1"/>
  <c r="BE298" i="25"/>
  <c r="BE299" i="25"/>
  <c r="BF299" i="25" s="1"/>
  <c r="BE300" i="25"/>
  <c r="BJ300" i="25" s="1"/>
  <c r="BE301" i="25"/>
  <c r="BJ301" i="25" s="1"/>
  <c r="BE302" i="25"/>
  <c r="BE303" i="25"/>
  <c r="BF303" i="25" s="1"/>
  <c r="BE304" i="25"/>
  <c r="BF304" i="25" s="1"/>
  <c r="BE305" i="25"/>
  <c r="BF305" i="25" s="1"/>
  <c r="BE306" i="25"/>
  <c r="BE307" i="25"/>
  <c r="BF307" i="25" s="1"/>
  <c r="BE308" i="25"/>
  <c r="BJ308" i="25" s="1"/>
  <c r="BE309" i="25"/>
  <c r="BF309" i="25" s="1"/>
  <c r="BE310" i="25"/>
  <c r="BE311" i="25"/>
  <c r="BF311" i="25" s="1"/>
  <c r="BE312" i="25"/>
  <c r="BF312" i="25" s="1"/>
  <c r="BE313" i="25"/>
  <c r="BF313" i="25" s="1"/>
  <c r="BE314" i="25"/>
  <c r="BE315" i="25"/>
  <c r="BF315" i="25" s="1"/>
  <c r="BE316" i="25"/>
  <c r="BE317" i="25"/>
  <c r="BF317" i="25" s="1"/>
  <c r="BE318" i="25"/>
  <c r="BE319" i="25"/>
  <c r="BF319" i="25" s="1"/>
  <c r="BE320" i="25"/>
  <c r="BF320" i="25" s="1"/>
  <c r="BE321" i="25"/>
  <c r="BJ321" i="25" s="1"/>
  <c r="BE322" i="25"/>
  <c r="BF322" i="25" s="1"/>
  <c r="BE323" i="25"/>
  <c r="BF323" i="25" s="1"/>
  <c r="BE324" i="25"/>
  <c r="BF324" i="25" s="1"/>
  <c r="BE325" i="25"/>
  <c r="BE326" i="25"/>
  <c r="BJ326" i="25" s="1"/>
  <c r="BE327" i="25"/>
  <c r="BE328" i="25"/>
  <c r="BF328" i="25" s="1"/>
  <c r="BE337" i="25"/>
  <c r="BE331" i="25"/>
  <c r="BF331" i="25" s="1"/>
  <c r="BE330" i="25"/>
  <c r="BJ330" i="25" s="1"/>
  <c r="BE334" i="25"/>
  <c r="BJ334" i="25" s="1"/>
  <c r="BE336" i="25"/>
  <c r="BJ336" i="25" s="1"/>
  <c r="BE333" i="25"/>
  <c r="BJ333" i="25" s="1"/>
  <c r="BE332" i="25"/>
  <c r="BE335" i="25"/>
  <c r="BJ335" i="25" s="1"/>
  <c r="BE329" i="25"/>
  <c r="BE338" i="25"/>
  <c r="BF338" i="25" s="1"/>
  <c r="BE339" i="25"/>
  <c r="BF339" i="25" s="1"/>
  <c r="BE340" i="25"/>
  <c r="BF340" i="25" s="1"/>
  <c r="BE341" i="25"/>
  <c r="BE342" i="25"/>
  <c r="BF342" i="25" s="1"/>
  <c r="BE343" i="25"/>
  <c r="BE344" i="25"/>
  <c r="BF344" i="25" s="1"/>
  <c r="BE345" i="25"/>
  <c r="BE346" i="25"/>
  <c r="BF346" i="25" s="1"/>
  <c r="BE347" i="25"/>
  <c r="BF347" i="25" s="1"/>
  <c r="BE348" i="25"/>
  <c r="BF348" i="25" s="1"/>
  <c r="BE349" i="25"/>
  <c r="BE350" i="25"/>
  <c r="BF350" i="25" s="1"/>
  <c r="BE351" i="25"/>
  <c r="BG243" i="25"/>
  <c r="BG244" i="25"/>
  <c r="BG245" i="25"/>
  <c r="BG246" i="25"/>
  <c r="BG247" i="25"/>
  <c r="BG248" i="25"/>
  <c r="BG249" i="25"/>
  <c r="BG250" i="25"/>
  <c r="BG251" i="25"/>
  <c r="BG252" i="25"/>
  <c r="BG253" i="25"/>
  <c r="BG254" i="25"/>
  <c r="BG255" i="25"/>
  <c r="BG256" i="25"/>
  <c r="BG257" i="25"/>
  <c r="BG258" i="25"/>
  <c r="BG259" i="25"/>
  <c r="BG260" i="25"/>
  <c r="BG261" i="25"/>
  <c r="BG262" i="25"/>
  <c r="BG263" i="25"/>
  <c r="BG264" i="25"/>
  <c r="BG265" i="25"/>
  <c r="BG266" i="25"/>
  <c r="BG267" i="25"/>
  <c r="BG268" i="25"/>
  <c r="BG269" i="25"/>
  <c r="BG270" i="25"/>
  <c r="BG271" i="25"/>
  <c r="BG272" i="25"/>
  <c r="BG273" i="25"/>
  <c r="BG274" i="25"/>
  <c r="BG275" i="25"/>
  <c r="BG276" i="25"/>
  <c r="BG277" i="25"/>
  <c r="BG278" i="25"/>
  <c r="BG279" i="25"/>
  <c r="BG280" i="25"/>
  <c r="BG281" i="25"/>
  <c r="BG282" i="25"/>
  <c r="BG283" i="25"/>
  <c r="BG284" i="25"/>
  <c r="BG285" i="25"/>
  <c r="BG286" i="25"/>
  <c r="BG287" i="25"/>
  <c r="BG288" i="25"/>
  <c r="BG289" i="25"/>
  <c r="BG290" i="25"/>
  <c r="BG291" i="25"/>
  <c r="BG292" i="25"/>
  <c r="BG293" i="25"/>
  <c r="BG294" i="25"/>
  <c r="BG295" i="25"/>
  <c r="BG296" i="25"/>
  <c r="BG297" i="25"/>
  <c r="BG298" i="25"/>
  <c r="BG299" i="25"/>
  <c r="BG300" i="25"/>
  <c r="BG301" i="25"/>
  <c r="BG302" i="25"/>
  <c r="BG303" i="25"/>
  <c r="BG304" i="25"/>
  <c r="BG305" i="25"/>
  <c r="BG306" i="25"/>
  <c r="BG307" i="25"/>
  <c r="BG308" i="25"/>
  <c r="BG309" i="25"/>
  <c r="BG310" i="25"/>
  <c r="BG311" i="25"/>
  <c r="BG312" i="25"/>
  <c r="BG313" i="25"/>
  <c r="BG314" i="25"/>
  <c r="BG315" i="25"/>
  <c r="BG316" i="25"/>
  <c r="BG317" i="25"/>
  <c r="BG318" i="25"/>
  <c r="BG319" i="25"/>
  <c r="BG320" i="25"/>
  <c r="BG321" i="25"/>
  <c r="BG322" i="25"/>
  <c r="BG323" i="25"/>
  <c r="BG324" i="25"/>
  <c r="BG325" i="25"/>
  <c r="BG326" i="25"/>
  <c r="BG327" i="25"/>
  <c r="BG328" i="25"/>
  <c r="BG337" i="25"/>
  <c r="BG331" i="25"/>
  <c r="BG330" i="25"/>
  <c r="BG334" i="25"/>
  <c r="BG336" i="25"/>
  <c r="BG333" i="25"/>
  <c r="BG332" i="25"/>
  <c r="BG335" i="25"/>
  <c r="BG329" i="25"/>
  <c r="BG338" i="25"/>
  <c r="BG339" i="25"/>
  <c r="BG340" i="25"/>
  <c r="BG341" i="25"/>
  <c r="BG342" i="25"/>
  <c r="BG343" i="25"/>
  <c r="BG344" i="25"/>
  <c r="BG345" i="25"/>
  <c r="BG346" i="25"/>
  <c r="BG347" i="25"/>
  <c r="BG348" i="25"/>
  <c r="BG349" i="25"/>
  <c r="BG350" i="25"/>
  <c r="BG351" i="25"/>
  <c r="BH243" i="25"/>
  <c r="BI243" i="25" s="1"/>
  <c r="BH244" i="25"/>
  <c r="BI244" i="25" s="1"/>
  <c r="BH245" i="25"/>
  <c r="BI245" i="25" s="1"/>
  <c r="BH246" i="25"/>
  <c r="BI246" i="25" s="1"/>
  <c r="BH247" i="25"/>
  <c r="BI247" i="25" s="1"/>
  <c r="BH248" i="25"/>
  <c r="BI248" i="25" s="1"/>
  <c r="BH249" i="25"/>
  <c r="BI249" i="25" s="1"/>
  <c r="BH250" i="25"/>
  <c r="BI250" i="25" s="1"/>
  <c r="BH251" i="25"/>
  <c r="BI251" i="25" s="1"/>
  <c r="BH252" i="25"/>
  <c r="BI252" i="25" s="1"/>
  <c r="BH253" i="25"/>
  <c r="BI253" i="25" s="1"/>
  <c r="BH254" i="25"/>
  <c r="BI254" i="25" s="1"/>
  <c r="BH255" i="25"/>
  <c r="BI255" i="25" s="1"/>
  <c r="BH256" i="25"/>
  <c r="BI256" i="25" s="1"/>
  <c r="BH257" i="25"/>
  <c r="BI257" i="25" s="1"/>
  <c r="BH258" i="25"/>
  <c r="BI258" i="25" s="1"/>
  <c r="BH259" i="25"/>
  <c r="BI259" i="25" s="1"/>
  <c r="BH260" i="25"/>
  <c r="BI260" i="25" s="1"/>
  <c r="BH261" i="25"/>
  <c r="BI261" i="25" s="1"/>
  <c r="BH262" i="25"/>
  <c r="BI262" i="25" s="1"/>
  <c r="BH263" i="25"/>
  <c r="BI263" i="25" s="1"/>
  <c r="BH264" i="25"/>
  <c r="BI264" i="25" s="1"/>
  <c r="BH265" i="25"/>
  <c r="BI265" i="25" s="1"/>
  <c r="BH266" i="25"/>
  <c r="BI266" i="25" s="1"/>
  <c r="BH267" i="25"/>
  <c r="BI267" i="25" s="1"/>
  <c r="BH268" i="25"/>
  <c r="BI268" i="25" s="1"/>
  <c r="BH269" i="25"/>
  <c r="BI269" i="25" s="1"/>
  <c r="BH270" i="25"/>
  <c r="BI270" i="25" s="1"/>
  <c r="BH271" i="25"/>
  <c r="BI271" i="25" s="1"/>
  <c r="BH272" i="25"/>
  <c r="BI272" i="25" s="1"/>
  <c r="BH273" i="25"/>
  <c r="BI273" i="25" s="1"/>
  <c r="BH274" i="25"/>
  <c r="BI274" i="25" s="1"/>
  <c r="BH275" i="25"/>
  <c r="BI275" i="25" s="1"/>
  <c r="BH276" i="25"/>
  <c r="BI276" i="25" s="1"/>
  <c r="BH277" i="25"/>
  <c r="BI277" i="25" s="1"/>
  <c r="BH278" i="25"/>
  <c r="BI278" i="25" s="1"/>
  <c r="BH279" i="25"/>
  <c r="BI279" i="25" s="1"/>
  <c r="BH280" i="25"/>
  <c r="BI280" i="25" s="1"/>
  <c r="BH281" i="25"/>
  <c r="BI281" i="25" s="1"/>
  <c r="BH282" i="25"/>
  <c r="BI282" i="25" s="1"/>
  <c r="BH283" i="25"/>
  <c r="BI283" i="25" s="1"/>
  <c r="BH284" i="25"/>
  <c r="BI284" i="25" s="1"/>
  <c r="BH285" i="25"/>
  <c r="BI285" i="25" s="1"/>
  <c r="BH286" i="25"/>
  <c r="BI286" i="25" s="1"/>
  <c r="BH287" i="25"/>
  <c r="BI287" i="25" s="1"/>
  <c r="BH288" i="25"/>
  <c r="BI288" i="25" s="1"/>
  <c r="BH289" i="25"/>
  <c r="BI289" i="25" s="1"/>
  <c r="BH290" i="25"/>
  <c r="BI290" i="25" s="1"/>
  <c r="BH291" i="25"/>
  <c r="BI291" i="25" s="1"/>
  <c r="BH292" i="25"/>
  <c r="BI292" i="25" s="1"/>
  <c r="BH293" i="25"/>
  <c r="BI293" i="25" s="1"/>
  <c r="BH294" i="25"/>
  <c r="BI294" i="25" s="1"/>
  <c r="BH295" i="25"/>
  <c r="BI295" i="25" s="1"/>
  <c r="BH296" i="25"/>
  <c r="BI296" i="25" s="1"/>
  <c r="BH297" i="25"/>
  <c r="BI297" i="25" s="1"/>
  <c r="BH298" i="25"/>
  <c r="BI298" i="25" s="1"/>
  <c r="BH299" i="25"/>
  <c r="BI299" i="25" s="1"/>
  <c r="BH300" i="25"/>
  <c r="BI300" i="25" s="1"/>
  <c r="BH301" i="25"/>
  <c r="BI301" i="25" s="1"/>
  <c r="BH302" i="25"/>
  <c r="BI302" i="25" s="1"/>
  <c r="BH303" i="25"/>
  <c r="BI303" i="25" s="1"/>
  <c r="BH304" i="25"/>
  <c r="BI304" i="25" s="1"/>
  <c r="BH305" i="25"/>
  <c r="BI305" i="25" s="1"/>
  <c r="BH306" i="25"/>
  <c r="BI306" i="25" s="1"/>
  <c r="BH307" i="25"/>
  <c r="BI307" i="25" s="1"/>
  <c r="BH308" i="25"/>
  <c r="BI308" i="25" s="1"/>
  <c r="BH309" i="25"/>
  <c r="BI309" i="25" s="1"/>
  <c r="BH310" i="25"/>
  <c r="BI310" i="25" s="1"/>
  <c r="BH311" i="25"/>
  <c r="BI311" i="25" s="1"/>
  <c r="BH312" i="25"/>
  <c r="BI312" i="25" s="1"/>
  <c r="BH313" i="25"/>
  <c r="BI313" i="25" s="1"/>
  <c r="BH314" i="25"/>
  <c r="BI314" i="25" s="1"/>
  <c r="BH315" i="25"/>
  <c r="BI315" i="25" s="1"/>
  <c r="BH316" i="25"/>
  <c r="BI316" i="25" s="1"/>
  <c r="BH317" i="25"/>
  <c r="BI317" i="25" s="1"/>
  <c r="BH318" i="25"/>
  <c r="BI318" i="25" s="1"/>
  <c r="BH319" i="25"/>
  <c r="BI319" i="25" s="1"/>
  <c r="BH320" i="25"/>
  <c r="BI320" i="25" s="1"/>
  <c r="BH321" i="25"/>
  <c r="BI321" i="25" s="1"/>
  <c r="BH322" i="25"/>
  <c r="BI322" i="25" s="1"/>
  <c r="BH323" i="25"/>
  <c r="BI323" i="25" s="1"/>
  <c r="BH324" i="25"/>
  <c r="BI324" i="25" s="1"/>
  <c r="BH325" i="25"/>
  <c r="BI325" i="25" s="1"/>
  <c r="BH326" i="25"/>
  <c r="BI326" i="25" s="1"/>
  <c r="BH327" i="25"/>
  <c r="BI327" i="25" s="1"/>
  <c r="BH328" i="25"/>
  <c r="BI328" i="25" s="1"/>
  <c r="BH337" i="25"/>
  <c r="BI337" i="25" s="1"/>
  <c r="BH331" i="25"/>
  <c r="BI331" i="25" s="1"/>
  <c r="BH330" i="25"/>
  <c r="BI330" i="25" s="1"/>
  <c r="BH334" i="25"/>
  <c r="BI334" i="25" s="1"/>
  <c r="BH336" i="25"/>
  <c r="BI336" i="25" s="1"/>
  <c r="BH333" i="25"/>
  <c r="BI333" i="25" s="1"/>
  <c r="BH332" i="25"/>
  <c r="BI332" i="25" s="1"/>
  <c r="BH335" i="25"/>
  <c r="BI335" i="25" s="1"/>
  <c r="BH329" i="25"/>
  <c r="BI329" i="25" s="1"/>
  <c r="BH338" i="25"/>
  <c r="BI338" i="25" s="1"/>
  <c r="BH339" i="25"/>
  <c r="BI339" i="25" s="1"/>
  <c r="BH340" i="25"/>
  <c r="BI340" i="25" s="1"/>
  <c r="BH341" i="25"/>
  <c r="BI341" i="25" s="1"/>
  <c r="BH342" i="25"/>
  <c r="BI342" i="25" s="1"/>
  <c r="BH343" i="25"/>
  <c r="BI343" i="25" s="1"/>
  <c r="BH344" i="25"/>
  <c r="BI344" i="25" s="1"/>
  <c r="BH345" i="25"/>
  <c r="BI345" i="25" s="1"/>
  <c r="BH346" i="25"/>
  <c r="BI346" i="25" s="1"/>
  <c r="BH347" i="25"/>
  <c r="BI347" i="25" s="1"/>
  <c r="BH348" i="25"/>
  <c r="BI348" i="25" s="1"/>
  <c r="BH349" i="25"/>
  <c r="BI349" i="25" s="1"/>
  <c r="BH350" i="25"/>
  <c r="BI350" i="25" s="1"/>
  <c r="BH351" i="25"/>
  <c r="BI351" i="25" s="1"/>
  <c r="BK243" i="25"/>
  <c r="BP243" i="25" s="1"/>
  <c r="BK244" i="25"/>
  <c r="BP244" i="25" s="1"/>
  <c r="BK245" i="25"/>
  <c r="BP245" i="25" s="1"/>
  <c r="BK246" i="25"/>
  <c r="BK247" i="25"/>
  <c r="BP247" i="25" s="1"/>
  <c r="BK248" i="25"/>
  <c r="BP248" i="25" s="1"/>
  <c r="BK249" i="25"/>
  <c r="BP249" i="25" s="1"/>
  <c r="BK250" i="25"/>
  <c r="BP250" i="25" s="1"/>
  <c r="BK251" i="25"/>
  <c r="BP251" i="25" s="1"/>
  <c r="BK252" i="25"/>
  <c r="BP252" i="25" s="1"/>
  <c r="BK253" i="25"/>
  <c r="BP253" i="25" s="1"/>
  <c r="BK254" i="25"/>
  <c r="BP254" i="25" s="1"/>
  <c r="BK255" i="25"/>
  <c r="BP255" i="25" s="1"/>
  <c r="BK256" i="25"/>
  <c r="BP256" i="25" s="1"/>
  <c r="BK257" i="25"/>
  <c r="BK258" i="25"/>
  <c r="BP258" i="25" s="1"/>
  <c r="BK259" i="25"/>
  <c r="BP259" i="25" s="1"/>
  <c r="BK260" i="25"/>
  <c r="BP260" i="25" s="1"/>
  <c r="BK261" i="25"/>
  <c r="BP261" i="25" s="1"/>
  <c r="BK262" i="25"/>
  <c r="BP262" i="25" s="1"/>
  <c r="BK263" i="25"/>
  <c r="BP263" i="25" s="1"/>
  <c r="BK264" i="25"/>
  <c r="BP264" i="25" s="1"/>
  <c r="BK265" i="25"/>
  <c r="BK266" i="25"/>
  <c r="BP266" i="25" s="1"/>
  <c r="BK267" i="25"/>
  <c r="BP267" i="25" s="1"/>
  <c r="BK268" i="25"/>
  <c r="BP268" i="25" s="1"/>
  <c r="BK269" i="25"/>
  <c r="BP269" i="25" s="1"/>
  <c r="BK270" i="25"/>
  <c r="BP270" i="25" s="1"/>
  <c r="BK271" i="25"/>
  <c r="BP271" i="25" s="1"/>
  <c r="BK272" i="25"/>
  <c r="BP272" i="25" s="1"/>
  <c r="BK273" i="25"/>
  <c r="BK274" i="25"/>
  <c r="BP274" i="25" s="1"/>
  <c r="BK275" i="25"/>
  <c r="BP275" i="25" s="1"/>
  <c r="BK276" i="25"/>
  <c r="BP276" i="25" s="1"/>
  <c r="BK277" i="25"/>
  <c r="BP277" i="25" s="1"/>
  <c r="BK278" i="25"/>
  <c r="BP278" i="25" s="1"/>
  <c r="BK279" i="25"/>
  <c r="BP279" i="25" s="1"/>
  <c r="BK280" i="25"/>
  <c r="BP280" i="25" s="1"/>
  <c r="BK281" i="25"/>
  <c r="BK282" i="25"/>
  <c r="BP282" i="25" s="1"/>
  <c r="BK283" i="25"/>
  <c r="BP283" i="25" s="1"/>
  <c r="BK284" i="25"/>
  <c r="BP284" i="25" s="1"/>
  <c r="BK285" i="25"/>
  <c r="BP285" i="25" s="1"/>
  <c r="BK286" i="25"/>
  <c r="BP286" i="25" s="1"/>
  <c r="BK287" i="25"/>
  <c r="BP287" i="25" s="1"/>
  <c r="BK288" i="25"/>
  <c r="BP288" i="25" s="1"/>
  <c r="BK289" i="25"/>
  <c r="BK290" i="25"/>
  <c r="BP290" i="25" s="1"/>
  <c r="BK291" i="25"/>
  <c r="BP291" i="25" s="1"/>
  <c r="BK292" i="25"/>
  <c r="BP292" i="25" s="1"/>
  <c r="BK293" i="25"/>
  <c r="BP293" i="25" s="1"/>
  <c r="BK294" i="25"/>
  <c r="BP294" i="25" s="1"/>
  <c r="BK295" i="25"/>
  <c r="BP295" i="25" s="1"/>
  <c r="BK296" i="25"/>
  <c r="BP296" i="25" s="1"/>
  <c r="BK297" i="25"/>
  <c r="BK298" i="25"/>
  <c r="BP298" i="25" s="1"/>
  <c r="BK299" i="25"/>
  <c r="BP299" i="25" s="1"/>
  <c r="BK300" i="25"/>
  <c r="BP300" i="25" s="1"/>
  <c r="BK301" i="25"/>
  <c r="BP301" i="25" s="1"/>
  <c r="BK302" i="25"/>
  <c r="BP302" i="25" s="1"/>
  <c r="BK303" i="25"/>
  <c r="BP303" i="25" s="1"/>
  <c r="BK304" i="25"/>
  <c r="BP304" i="25" s="1"/>
  <c r="BK305" i="25"/>
  <c r="BK306" i="25"/>
  <c r="BP306" i="25" s="1"/>
  <c r="BK307" i="25"/>
  <c r="BP307" i="25" s="1"/>
  <c r="BK308" i="25"/>
  <c r="BP308" i="25" s="1"/>
  <c r="BK309" i="25"/>
  <c r="BP309" i="25" s="1"/>
  <c r="BK310" i="25"/>
  <c r="BP310" i="25" s="1"/>
  <c r="BK311" i="25"/>
  <c r="BP311" i="25" s="1"/>
  <c r="BK312" i="25"/>
  <c r="BP312" i="25" s="1"/>
  <c r="BK313" i="25"/>
  <c r="BK314" i="25"/>
  <c r="BP314" i="25" s="1"/>
  <c r="BK315" i="25"/>
  <c r="BP315" i="25" s="1"/>
  <c r="BK316" i="25"/>
  <c r="BP316" i="25" s="1"/>
  <c r="BK317" i="25"/>
  <c r="BP317" i="25" s="1"/>
  <c r="BK318" i="25"/>
  <c r="BP318" i="25" s="1"/>
  <c r="BK319" i="25"/>
  <c r="BP319" i="25" s="1"/>
  <c r="BK320" i="25"/>
  <c r="BP320" i="25" s="1"/>
  <c r="BK321" i="25"/>
  <c r="BK322" i="25"/>
  <c r="BP322" i="25" s="1"/>
  <c r="BK323" i="25"/>
  <c r="BP323" i="25" s="1"/>
  <c r="BK324" i="25"/>
  <c r="BK325" i="25"/>
  <c r="BP325" i="25" s="1"/>
  <c r="BK326" i="25"/>
  <c r="BP326" i="25" s="1"/>
  <c r="BK327" i="25"/>
  <c r="BP327" i="25" s="1"/>
  <c r="BK328" i="25"/>
  <c r="BP328" i="25" s="1"/>
  <c r="BK337" i="25"/>
  <c r="BP337" i="25" s="1"/>
  <c r="BK331" i="25"/>
  <c r="BP331" i="25" s="1"/>
  <c r="BK330" i="25"/>
  <c r="BP330" i="25" s="1"/>
  <c r="BK334" i="25"/>
  <c r="BK336" i="25"/>
  <c r="BP336" i="25" s="1"/>
  <c r="BK333" i="25"/>
  <c r="BP333" i="25" s="1"/>
  <c r="BK332" i="25"/>
  <c r="BP332" i="25" s="1"/>
  <c r="BK335" i="25"/>
  <c r="BP335" i="25" s="1"/>
  <c r="BK329" i="25"/>
  <c r="BP329" i="25" s="1"/>
  <c r="BK338" i="25"/>
  <c r="BP338" i="25" s="1"/>
  <c r="BK339" i="25"/>
  <c r="BP339" i="25" s="1"/>
  <c r="BK340" i="25"/>
  <c r="BK341" i="25"/>
  <c r="BP341" i="25" s="1"/>
  <c r="BK342" i="25"/>
  <c r="BP342" i="25" s="1"/>
  <c r="BK343" i="25"/>
  <c r="BP343" i="25" s="1"/>
  <c r="BK344" i="25"/>
  <c r="BP344" i="25" s="1"/>
  <c r="BK345" i="25"/>
  <c r="BP345" i="25" s="1"/>
  <c r="BK346" i="25"/>
  <c r="BP346" i="25" s="1"/>
  <c r="BK347" i="25"/>
  <c r="BP347" i="25" s="1"/>
  <c r="BK348" i="25"/>
  <c r="BK349" i="25"/>
  <c r="BP349" i="25" s="1"/>
  <c r="BK350" i="25"/>
  <c r="BP350" i="25" s="1"/>
  <c r="BK351" i="25"/>
  <c r="BP351" i="25" s="1"/>
  <c r="BL243" i="25"/>
  <c r="BL244" i="25"/>
  <c r="BL245" i="25"/>
  <c r="BL246" i="25"/>
  <c r="BL247" i="25"/>
  <c r="BL248" i="25"/>
  <c r="BL249" i="25"/>
  <c r="BL250" i="25"/>
  <c r="BL251" i="25"/>
  <c r="BL252" i="25"/>
  <c r="BL253" i="25"/>
  <c r="BL254" i="25"/>
  <c r="BL255" i="25"/>
  <c r="BL256" i="25"/>
  <c r="BL257" i="25"/>
  <c r="BL258" i="25"/>
  <c r="BL259" i="25"/>
  <c r="BL260" i="25"/>
  <c r="BL261" i="25"/>
  <c r="BL262" i="25"/>
  <c r="BL263" i="25"/>
  <c r="BL264" i="25"/>
  <c r="BL265" i="25"/>
  <c r="BL266" i="25"/>
  <c r="BL267" i="25"/>
  <c r="BL268" i="25"/>
  <c r="BL269" i="25"/>
  <c r="BL270" i="25"/>
  <c r="BL271" i="25"/>
  <c r="BL272" i="25"/>
  <c r="BL273" i="25"/>
  <c r="BL274" i="25"/>
  <c r="BL275" i="25"/>
  <c r="BL276" i="25"/>
  <c r="BL277" i="25"/>
  <c r="BL278" i="25"/>
  <c r="BL279" i="25"/>
  <c r="BL280" i="25"/>
  <c r="BL281" i="25"/>
  <c r="BL282" i="25"/>
  <c r="BL283" i="25"/>
  <c r="BL284" i="25"/>
  <c r="BL285" i="25"/>
  <c r="BL286" i="25"/>
  <c r="BL287" i="25"/>
  <c r="BL288" i="25"/>
  <c r="BL289" i="25"/>
  <c r="BL290" i="25"/>
  <c r="BL291" i="25"/>
  <c r="BL292" i="25"/>
  <c r="BL293" i="25"/>
  <c r="BL294" i="25"/>
  <c r="BL295" i="25"/>
  <c r="BL296" i="25"/>
  <c r="BL297" i="25"/>
  <c r="BL298" i="25"/>
  <c r="BL299" i="25"/>
  <c r="BL300" i="25"/>
  <c r="BL301" i="25"/>
  <c r="BL302" i="25"/>
  <c r="BL303" i="25"/>
  <c r="BL304" i="25"/>
  <c r="BL305" i="25"/>
  <c r="BL306" i="25"/>
  <c r="BL307" i="25"/>
  <c r="BL308" i="25"/>
  <c r="BL309" i="25"/>
  <c r="BL310" i="25"/>
  <c r="BL311" i="25"/>
  <c r="BL312" i="25"/>
  <c r="BL313" i="25"/>
  <c r="BL314" i="25"/>
  <c r="BL315" i="25"/>
  <c r="BL316" i="25"/>
  <c r="BL317" i="25"/>
  <c r="BL318" i="25"/>
  <c r="BL319" i="25"/>
  <c r="BL320" i="25"/>
  <c r="BL321" i="25"/>
  <c r="BL322" i="25"/>
  <c r="BL323" i="25"/>
  <c r="BL324" i="25"/>
  <c r="BL325" i="25"/>
  <c r="BL326" i="25"/>
  <c r="BL327" i="25"/>
  <c r="BL328" i="25"/>
  <c r="BL337" i="25"/>
  <c r="BL331" i="25"/>
  <c r="BL330" i="25"/>
  <c r="BL334" i="25"/>
  <c r="BL336" i="25"/>
  <c r="BL333" i="25"/>
  <c r="BL332" i="25"/>
  <c r="BL335" i="25"/>
  <c r="BL329" i="25"/>
  <c r="BL338" i="25"/>
  <c r="BL339" i="25"/>
  <c r="BL340" i="25"/>
  <c r="BL341" i="25"/>
  <c r="BL342" i="25"/>
  <c r="BL343" i="25"/>
  <c r="BL344" i="25"/>
  <c r="BL345" i="25"/>
  <c r="BL346" i="25"/>
  <c r="BL347" i="25"/>
  <c r="BL348" i="25"/>
  <c r="BL349" i="25"/>
  <c r="BL350" i="25"/>
  <c r="BL351" i="25"/>
  <c r="BQ243" i="25"/>
  <c r="BQ244" i="25"/>
  <c r="BQ245" i="25"/>
  <c r="BQ246" i="25"/>
  <c r="BQ247" i="25"/>
  <c r="BQ248" i="25"/>
  <c r="BQ249" i="25"/>
  <c r="BQ250" i="25"/>
  <c r="BQ251" i="25"/>
  <c r="BQ252" i="25"/>
  <c r="BQ253" i="25"/>
  <c r="BQ254" i="25"/>
  <c r="BQ255" i="25"/>
  <c r="BQ256" i="25"/>
  <c r="BQ257" i="25"/>
  <c r="BQ258" i="25"/>
  <c r="BQ259" i="25"/>
  <c r="BQ260" i="25"/>
  <c r="BQ261" i="25"/>
  <c r="BQ262" i="25"/>
  <c r="BQ263" i="25"/>
  <c r="BQ264" i="25"/>
  <c r="BQ265" i="25"/>
  <c r="BQ266" i="25"/>
  <c r="BQ267" i="25"/>
  <c r="BQ268" i="25"/>
  <c r="BQ269" i="25"/>
  <c r="BQ270" i="25"/>
  <c r="BQ271" i="25"/>
  <c r="BQ272" i="25"/>
  <c r="BQ273" i="25"/>
  <c r="BQ274" i="25"/>
  <c r="BQ275" i="25"/>
  <c r="BQ276" i="25"/>
  <c r="BQ277" i="25"/>
  <c r="BQ278" i="25"/>
  <c r="BQ279" i="25"/>
  <c r="BQ280" i="25"/>
  <c r="BQ281" i="25"/>
  <c r="BQ282" i="25"/>
  <c r="BQ283" i="25"/>
  <c r="BQ284" i="25"/>
  <c r="BQ285" i="25"/>
  <c r="BQ286" i="25"/>
  <c r="BQ287" i="25"/>
  <c r="BQ288" i="25"/>
  <c r="BQ289" i="25"/>
  <c r="BQ290" i="25"/>
  <c r="BQ291" i="25"/>
  <c r="BQ292" i="25"/>
  <c r="BQ293" i="25"/>
  <c r="BQ294" i="25"/>
  <c r="BQ295" i="25"/>
  <c r="BQ296" i="25"/>
  <c r="BQ297" i="25"/>
  <c r="BQ298" i="25"/>
  <c r="BQ299" i="25"/>
  <c r="BQ300" i="25"/>
  <c r="BQ301" i="25"/>
  <c r="BQ302" i="25"/>
  <c r="BQ303" i="25"/>
  <c r="BQ304" i="25"/>
  <c r="BQ305" i="25"/>
  <c r="BQ306" i="25"/>
  <c r="BQ307" i="25"/>
  <c r="BQ308" i="25"/>
  <c r="BQ309" i="25"/>
  <c r="BQ310" i="25"/>
  <c r="BQ311" i="25"/>
  <c r="BQ312" i="25"/>
  <c r="BQ313" i="25"/>
  <c r="BQ314" i="25"/>
  <c r="BQ315" i="25"/>
  <c r="BQ316" i="25"/>
  <c r="BQ317" i="25"/>
  <c r="BQ318" i="25"/>
  <c r="BQ319" i="25"/>
  <c r="BQ320" i="25"/>
  <c r="BQ321" i="25"/>
  <c r="BQ322" i="25"/>
  <c r="BQ323" i="25"/>
  <c r="BQ324" i="25"/>
  <c r="BQ325" i="25"/>
  <c r="BQ326" i="25"/>
  <c r="BQ327" i="25"/>
  <c r="BQ328" i="25"/>
  <c r="BQ337" i="25"/>
  <c r="BQ331" i="25"/>
  <c r="BQ330" i="25"/>
  <c r="BQ334" i="25"/>
  <c r="BQ336" i="25"/>
  <c r="BQ333" i="25"/>
  <c r="BQ332" i="25"/>
  <c r="BQ335" i="25"/>
  <c r="BQ329" i="25"/>
  <c r="BQ338" i="25"/>
  <c r="BQ339" i="25"/>
  <c r="BQ340" i="25"/>
  <c r="BQ341" i="25"/>
  <c r="BQ342" i="25"/>
  <c r="BQ343" i="25"/>
  <c r="BQ344" i="25"/>
  <c r="BQ345" i="25"/>
  <c r="BQ346" i="25"/>
  <c r="BQ347" i="25"/>
  <c r="BQ348" i="25"/>
  <c r="BQ349" i="25"/>
  <c r="BQ350" i="25"/>
  <c r="BQ351" i="25"/>
  <c r="BR243" i="25"/>
  <c r="BR244" i="25"/>
  <c r="BR245" i="25"/>
  <c r="BR246" i="25"/>
  <c r="BR247" i="25"/>
  <c r="BR248" i="25"/>
  <c r="BR249" i="25"/>
  <c r="BR250" i="25"/>
  <c r="BR251" i="25"/>
  <c r="BR252" i="25"/>
  <c r="BR253" i="25"/>
  <c r="BR254" i="25"/>
  <c r="BR255" i="25"/>
  <c r="BR256" i="25"/>
  <c r="BR257" i="25"/>
  <c r="BR258" i="25"/>
  <c r="BR259" i="25"/>
  <c r="BR260" i="25"/>
  <c r="BR261" i="25"/>
  <c r="BR262" i="25"/>
  <c r="BR263" i="25"/>
  <c r="BR264" i="25"/>
  <c r="BR265" i="25"/>
  <c r="BR266" i="25"/>
  <c r="BR267" i="25"/>
  <c r="BR268" i="25"/>
  <c r="BR269" i="25"/>
  <c r="BR270" i="25"/>
  <c r="BR271" i="25"/>
  <c r="BR272" i="25"/>
  <c r="BR273" i="25"/>
  <c r="BR274" i="25"/>
  <c r="BR275" i="25"/>
  <c r="BR276" i="25"/>
  <c r="BR277" i="25"/>
  <c r="BR278" i="25"/>
  <c r="BR279" i="25"/>
  <c r="BR280" i="25"/>
  <c r="BR281" i="25"/>
  <c r="BR282" i="25"/>
  <c r="BR283" i="25"/>
  <c r="BR284" i="25"/>
  <c r="BR285" i="25"/>
  <c r="BR286" i="25"/>
  <c r="BR287" i="25"/>
  <c r="BR288" i="25"/>
  <c r="BR289" i="25"/>
  <c r="BR290" i="25"/>
  <c r="BR291" i="25"/>
  <c r="BR292" i="25"/>
  <c r="BR293" i="25"/>
  <c r="BR294" i="25"/>
  <c r="BR295" i="25"/>
  <c r="BR296" i="25"/>
  <c r="BR297" i="25"/>
  <c r="BR298" i="25"/>
  <c r="BR299" i="25"/>
  <c r="BR300" i="25"/>
  <c r="BR301" i="25"/>
  <c r="BR302" i="25"/>
  <c r="BR303" i="25"/>
  <c r="BR304" i="25"/>
  <c r="BR305" i="25"/>
  <c r="BR306" i="25"/>
  <c r="BR307" i="25"/>
  <c r="BR308" i="25"/>
  <c r="BR309" i="25"/>
  <c r="BR310" i="25"/>
  <c r="BR311" i="25"/>
  <c r="BR312" i="25"/>
  <c r="BR313" i="25"/>
  <c r="BR314" i="25"/>
  <c r="BR315" i="25"/>
  <c r="BR316" i="25"/>
  <c r="BR317" i="25"/>
  <c r="BR318" i="25"/>
  <c r="BR319" i="25"/>
  <c r="BR320" i="25"/>
  <c r="BR321" i="25"/>
  <c r="BR322" i="25"/>
  <c r="BR323" i="25"/>
  <c r="BR324" i="25"/>
  <c r="BR325" i="25"/>
  <c r="BR326" i="25"/>
  <c r="BR327" i="25"/>
  <c r="BR328" i="25"/>
  <c r="BR337" i="25"/>
  <c r="BR331" i="25"/>
  <c r="BR330" i="25"/>
  <c r="BR334" i="25"/>
  <c r="BR336" i="25"/>
  <c r="BR333" i="25"/>
  <c r="BR332" i="25"/>
  <c r="BR335" i="25"/>
  <c r="BR329" i="25"/>
  <c r="BR338" i="25"/>
  <c r="BR339" i="25"/>
  <c r="BR340" i="25"/>
  <c r="BR341" i="25"/>
  <c r="BR342" i="25"/>
  <c r="BR343" i="25"/>
  <c r="BR344" i="25"/>
  <c r="BR345" i="25"/>
  <c r="BR346" i="25"/>
  <c r="BR347" i="25"/>
  <c r="BR348" i="25"/>
  <c r="BR349" i="25"/>
  <c r="BR350" i="25"/>
  <c r="BR351" i="25"/>
  <c r="BT243" i="25"/>
  <c r="BT244" i="25"/>
  <c r="BT245" i="25"/>
  <c r="BT246" i="25"/>
  <c r="BT247" i="25"/>
  <c r="BT248" i="25"/>
  <c r="BT249" i="25"/>
  <c r="BT250" i="25"/>
  <c r="BT251" i="25"/>
  <c r="BT252" i="25"/>
  <c r="BT253" i="25"/>
  <c r="BT254" i="25"/>
  <c r="BT255" i="25"/>
  <c r="BT256" i="25"/>
  <c r="BT257" i="25"/>
  <c r="BT258" i="25"/>
  <c r="BT259" i="25"/>
  <c r="BT260" i="25"/>
  <c r="BT261" i="25"/>
  <c r="BT262" i="25"/>
  <c r="BT263" i="25"/>
  <c r="BT264" i="25"/>
  <c r="BT265" i="25"/>
  <c r="BT266" i="25"/>
  <c r="BT267" i="25"/>
  <c r="BT268" i="25"/>
  <c r="BT269" i="25"/>
  <c r="BT270" i="25"/>
  <c r="BT271" i="25"/>
  <c r="BT272" i="25"/>
  <c r="BT273" i="25"/>
  <c r="BT274" i="25"/>
  <c r="BT275" i="25"/>
  <c r="BT276" i="25"/>
  <c r="BT277" i="25"/>
  <c r="BT278" i="25"/>
  <c r="BT279" i="25"/>
  <c r="BT280" i="25"/>
  <c r="BT281" i="25"/>
  <c r="BT282" i="25"/>
  <c r="BT283" i="25"/>
  <c r="BT284" i="25"/>
  <c r="BT285" i="25"/>
  <c r="BT286" i="25"/>
  <c r="BT287" i="25"/>
  <c r="BT288" i="25"/>
  <c r="BT289" i="25"/>
  <c r="BT290" i="25"/>
  <c r="BT291" i="25"/>
  <c r="BT292" i="25"/>
  <c r="BT293" i="25"/>
  <c r="BT294" i="25"/>
  <c r="BT295" i="25"/>
  <c r="BT296" i="25"/>
  <c r="BT297" i="25"/>
  <c r="BT298" i="25"/>
  <c r="BT299" i="25"/>
  <c r="BT300" i="25"/>
  <c r="BT301" i="25"/>
  <c r="BT302" i="25"/>
  <c r="BT303" i="25"/>
  <c r="BT304" i="25"/>
  <c r="BT305" i="25"/>
  <c r="BT306" i="25"/>
  <c r="BT307" i="25"/>
  <c r="BT308" i="25"/>
  <c r="BT309" i="25"/>
  <c r="BT310" i="25"/>
  <c r="BT311" i="25"/>
  <c r="BT312" i="25"/>
  <c r="BT313" i="25"/>
  <c r="BT314" i="25"/>
  <c r="BT315" i="25"/>
  <c r="BT316" i="25"/>
  <c r="BT317" i="25"/>
  <c r="BT318" i="25"/>
  <c r="BT319" i="25"/>
  <c r="BT320" i="25"/>
  <c r="BT321" i="25"/>
  <c r="BT322" i="25"/>
  <c r="BT323" i="25"/>
  <c r="BT324" i="25"/>
  <c r="BT325" i="25"/>
  <c r="BT326" i="25"/>
  <c r="BT327" i="25"/>
  <c r="BT328" i="25"/>
  <c r="BT337" i="25"/>
  <c r="BT331" i="25"/>
  <c r="BT330" i="25"/>
  <c r="BT334" i="25"/>
  <c r="BT336" i="25"/>
  <c r="BT333" i="25"/>
  <c r="BT332" i="25"/>
  <c r="BT335" i="25"/>
  <c r="BT329" i="25"/>
  <c r="BT338" i="25"/>
  <c r="BT339" i="25"/>
  <c r="BT340" i="25"/>
  <c r="BT341" i="25"/>
  <c r="BT342" i="25"/>
  <c r="BT343" i="25"/>
  <c r="BT344" i="25"/>
  <c r="BT345" i="25"/>
  <c r="BT346" i="25"/>
  <c r="BT347" i="25"/>
  <c r="BT348" i="25"/>
  <c r="BT349" i="25"/>
  <c r="BT350" i="25"/>
  <c r="BT351" i="25"/>
  <c r="BU243" i="25"/>
  <c r="BU244" i="25"/>
  <c r="BU245" i="25"/>
  <c r="BU246" i="25"/>
  <c r="BU247" i="25"/>
  <c r="BU248" i="25"/>
  <c r="BU249" i="25"/>
  <c r="BU250" i="25"/>
  <c r="BU251" i="25"/>
  <c r="BU252" i="25"/>
  <c r="BU253" i="25"/>
  <c r="BU254" i="25"/>
  <c r="BU255" i="25"/>
  <c r="BU256" i="25"/>
  <c r="BU257" i="25"/>
  <c r="BU258" i="25"/>
  <c r="BU259" i="25"/>
  <c r="BU260" i="25"/>
  <c r="BU261" i="25"/>
  <c r="BU262" i="25"/>
  <c r="BU263" i="25"/>
  <c r="BU264" i="25"/>
  <c r="BU265" i="25"/>
  <c r="BU266" i="25"/>
  <c r="BU267" i="25"/>
  <c r="BU268" i="25"/>
  <c r="BU269" i="25"/>
  <c r="BU270" i="25"/>
  <c r="BU271" i="25"/>
  <c r="BU272" i="25"/>
  <c r="BU273" i="25"/>
  <c r="BU274" i="25"/>
  <c r="BU275" i="25"/>
  <c r="BU276" i="25"/>
  <c r="BU277" i="25"/>
  <c r="BU278" i="25"/>
  <c r="BU279" i="25"/>
  <c r="BU280" i="25"/>
  <c r="BU281" i="25"/>
  <c r="BU282" i="25"/>
  <c r="BU283" i="25"/>
  <c r="BU284" i="25"/>
  <c r="BU285" i="25"/>
  <c r="BU286" i="25"/>
  <c r="BU287" i="25"/>
  <c r="BU288" i="25"/>
  <c r="BU289" i="25"/>
  <c r="BU290" i="25"/>
  <c r="BU291" i="25"/>
  <c r="BU292" i="25"/>
  <c r="BU293" i="25"/>
  <c r="BU294" i="25"/>
  <c r="BU295" i="25"/>
  <c r="BU296" i="25"/>
  <c r="BU297" i="25"/>
  <c r="BU298" i="25"/>
  <c r="BU299" i="25"/>
  <c r="BU300" i="25"/>
  <c r="BU301" i="25"/>
  <c r="BU302" i="25"/>
  <c r="BU303" i="25"/>
  <c r="BU304" i="25"/>
  <c r="BU305" i="25"/>
  <c r="BU306" i="25"/>
  <c r="BU307" i="25"/>
  <c r="BU308" i="25"/>
  <c r="BU309" i="25"/>
  <c r="BU310" i="25"/>
  <c r="BU311" i="25"/>
  <c r="BU312" i="25"/>
  <c r="BU313" i="25"/>
  <c r="BU314" i="25"/>
  <c r="BU315" i="25"/>
  <c r="BU316" i="25"/>
  <c r="BU317" i="25"/>
  <c r="BU318" i="25"/>
  <c r="BU319" i="25"/>
  <c r="BU320" i="25"/>
  <c r="BU321" i="25"/>
  <c r="BU322" i="25"/>
  <c r="BU323" i="25"/>
  <c r="BU324" i="25"/>
  <c r="BU325" i="25"/>
  <c r="BU326" i="25"/>
  <c r="BU327" i="25"/>
  <c r="BU328" i="25"/>
  <c r="BU337" i="25"/>
  <c r="BU331" i="25"/>
  <c r="BU330" i="25"/>
  <c r="BU334" i="25"/>
  <c r="BU336" i="25"/>
  <c r="BU333" i="25"/>
  <c r="BU332" i="25"/>
  <c r="BU335" i="25"/>
  <c r="BU329" i="25"/>
  <c r="BU338" i="25"/>
  <c r="BU339" i="25"/>
  <c r="BU340" i="25"/>
  <c r="BU341" i="25"/>
  <c r="BU342" i="25"/>
  <c r="BU343" i="25"/>
  <c r="BU344" i="25"/>
  <c r="BU345" i="25"/>
  <c r="BU346" i="25"/>
  <c r="BU347" i="25"/>
  <c r="BU348" i="25"/>
  <c r="BU349" i="25"/>
  <c r="BU350" i="25"/>
  <c r="BU351" i="25"/>
  <c r="BV243" i="25"/>
  <c r="BV244" i="25"/>
  <c r="BV245" i="25"/>
  <c r="BV246" i="25"/>
  <c r="BV247" i="25"/>
  <c r="BV248" i="25"/>
  <c r="BV249" i="25"/>
  <c r="BV250" i="25"/>
  <c r="BV251" i="25"/>
  <c r="BV252" i="25"/>
  <c r="BV253" i="25"/>
  <c r="BV254" i="25"/>
  <c r="BV255" i="25"/>
  <c r="BV256" i="25"/>
  <c r="BV257" i="25"/>
  <c r="BV258" i="25"/>
  <c r="BV259" i="25"/>
  <c r="BV260" i="25"/>
  <c r="BV261" i="25"/>
  <c r="BV262" i="25"/>
  <c r="BV263" i="25"/>
  <c r="BV264" i="25"/>
  <c r="BV265" i="25"/>
  <c r="BV266" i="25"/>
  <c r="BV267" i="25"/>
  <c r="BV268" i="25"/>
  <c r="BV269" i="25"/>
  <c r="BV270" i="25"/>
  <c r="BV271" i="25"/>
  <c r="BV272" i="25"/>
  <c r="BV273" i="25"/>
  <c r="BV274" i="25"/>
  <c r="BV275" i="25"/>
  <c r="BV276" i="25"/>
  <c r="BV277" i="25"/>
  <c r="BV278" i="25"/>
  <c r="BV279" i="25"/>
  <c r="BV280" i="25"/>
  <c r="BV281" i="25"/>
  <c r="BV282" i="25"/>
  <c r="BV283" i="25"/>
  <c r="BV284" i="25"/>
  <c r="BV285" i="25"/>
  <c r="BV286" i="25"/>
  <c r="BV287" i="25"/>
  <c r="BV288" i="25"/>
  <c r="BV289" i="25"/>
  <c r="BV290" i="25"/>
  <c r="BV291" i="25"/>
  <c r="BV292" i="25"/>
  <c r="BV293" i="25"/>
  <c r="BV294" i="25"/>
  <c r="BV295" i="25"/>
  <c r="BV296" i="25"/>
  <c r="BV297" i="25"/>
  <c r="BV298" i="25"/>
  <c r="BV299" i="25"/>
  <c r="BV300" i="25"/>
  <c r="BV301" i="25"/>
  <c r="BV302" i="25"/>
  <c r="BV303" i="25"/>
  <c r="BV304" i="25"/>
  <c r="BV305" i="25"/>
  <c r="BV306" i="25"/>
  <c r="BV307" i="25"/>
  <c r="BV308" i="25"/>
  <c r="BV309" i="25"/>
  <c r="BV310" i="25"/>
  <c r="BV311" i="25"/>
  <c r="BV312" i="25"/>
  <c r="BV313" i="25"/>
  <c r="BV314" i="25"/>
  <c r="BV315" i="25"/>
  <c r="BV316" i="25"/>
  <c r="BV317" i="25"/>
  <c r="BV318" i="25"/>
  <c r="BV319" i="25"/>
  <c r="BV320" i="25"/>
  <c r="BV321" i="25"/>
  <c r="BV322" i="25"/>
  <c r="BV323" i="25"/>
  <c r="BV324" i="25"/>
  <c r="BV325" i="25"/>
  <c r="BV326" i="25"/>
  <c r="BV327" i="25"/>
  <c r="BV328" i="25"/>
  <c r="BV337" i="25"/>
  <c r="BV331" i="25"/>
  <c r="BV330" i="25"/>
  <c r="BV334" i="25"/>
  <c r="BV336" i="25"/>
  <c r="BV333" i="25"/>
  <c r="BV332" i="25"/>
  <c r="BV335" i="25"/>
  <c r="BV329" i="25"/>
  <c r="BV338" i="25"/>
  <c r="BV339" i="25"/>
  <c r="BV340" i="25"/>
  <c r="BV341" i="25"/>
  <c r="BV342" i="25"/>
  <c r="BV343" i="25"/>
  <c r="BV344" i="25"/>
  <c r="BV345" i="25"/>
  <c r="BV346" i="25"/>
  <c r="BV347" i="25"/>
  <c r="BV348" i="25"/>
  <c r="BV349" i="25"/>
  <c r="BV350" i="25"/>
  <c r="BV351" i="25"/>
  <c r="BW243" i="25"/>
  <c r="BW244" i="25"/>
  <c r="BW245" i="25"/>
  <c r="BW246" i="25"/>
  <c r="BW247" i="25"/>
  <c r="BW248" i="25"/>
  <c r="BW249" i="25"/>
  <c r="BW250" i="25"/>
  <c r="BW251" i="25"/>
  <c r="BW252" i="25"/>
  <c r="BW253" i="25"/>
  <c r="BW254" i="25"/>
  <c r="BW255" i="25"/>
  <c r="BW256" i="25"/>
  <c r="BW257" i="25"/>
  <c r="BW258" i="25"/>
  <c r="BW259" i="25"/>
  <c r="BW260" i="25"/>
  <c r="BW261" i="25"/>
  <c r="BW262" i="25"/>
  <c r="BW263" i="25"/>
  <c r="BW264" i="25"/>
  <c r="BW265" i="25"/>
  <c r="BW266" i="25"/>
  <c r="BW267" i="25"/>
  <c r="BW268" i="25"/>
  <c r="BW269" i="25"/>
  <c r="BW270" i="25"/>
  <c r="BW271" i="25"/>
  <c r="BW272" i="25"/>
  <c r="BW273" i="25"/>
  <c r="BW274" i="25"/>
  <c r="BW275" i="25"/>
  <c r="BW276" i="25"/>
  <c r="BW277" i="25"/>
  <c r="BW278" i="25"/>
  <c r="BW279" i="25"/>
  <c r="BW280" i="25"/>
  <c r="BW281" i="25"/>
  <c r="BW282" i="25"/>
  <c r="BW283" i="25"/>
  <c r="BW284" i="25"/>
  <c r="BW285" i="25"/>
  <c r="BW286" i="25"/>
  <c r="BW287" i="25"/>
  <c r="BW288" i="25"/>
  <c r="BW289" i="25"/>
  <c r="BW290" i="25"/>
  <c r="BW291" i="25"/>
  <c r="BW292" i="25"/>
  <c r="BW293" i="25"/>
  <c r="BW294" i="25"/>
  <c r="BW295" i="25"/>
  <c r="BW296" i="25"/>
  <c r="BW297" i="25"/>
  <c r="BW298" i="25"/>
  <c r="BW299" i="25"/>
  <c r="BW300" i="25"/>
  <c r="BW301" i="25"/>
  <c r="BW302" i="25"/>
  <c r="BW303" i="25"/>
  <c r="BW304" i="25"/>
  <c r="BW305" i="25"/>
  <c r="BW306" i="25"/>
  <c r="BW307" i="25"/>
  <c r="BW308" i="25"/>
  <c r="BW309" i="25"/>
  <c r="BW310" i="25"/>
  <c r="BW311" i="25"/>
  <c r="BW312" i="25"/>
  <c r="BW313" i="25"/>
  <c r="BW314" i="25"/>
  <c r="BW315" i="25"/>
  <c r="BW316" i="25"/>
  <c r="BW317" i="25"/>
  <c r="BW318" i="25"/>
  <c r="BW319" i="25"/>
  <c r="BW320" i="25"/>
  <c r="BW321" i="25"/>
  <c r="BW322" i="25"/>
  <c r="BW323" i="25"/>
  <c r="BW324" i="25"/>
  <c r="BW325" i="25"/>
  <c r="BW326" i="25"/>
  <c r="BW327" i="25"/>
  <c r="BW328" i="25"/>
  <c r="BW337" i="25"/>
  <c r="BW331" i="25"/>
  <c r="BW330" i="25"/>
  <c r="BW334" i="25"/>
  <c r="BW336" i="25"/>
  <c r="BW333" i="25"/>
  <c r="BW332" i="25"/>
  <c r="BW335" i="25"/>
  <c r="BW329" i="25"/>
  <c r="BW338" i="25"/>
  <c r="BW339" i="25"/>
  <c r="BW340" i="25"/>
  <c r="BW341" i="25"/>
  <c r="BW342" i="25"/>
  <c r="BW343" i="25"/>
  <c r="BW344" i="25"/>
  <c r="BW345" i="25"/>
  <c r="BW346" i="25"/>
  <c r="BW347" i="25"/>
  <c r="BW348" i="25"/>
  <c r="BW349" i="25"/>
  <c r="BW350" i="25"/>
  <c r="BW351" i="25"/>
  <c r="BX243" i="25"/>
  <c r="BX244" i="25"/>
  <c r="BX245" i="25"/>
  <c r="BX246" i="25"/>
  <c r="BX247" i="25"/>
  <c r="BX248" i="25"/>
  <c r="BX249" i="25"/>
  <c r="BX250" i="25"/>
  <c r="BX251" i="25"/>
  <c r="BX252" i="25"/>
  <c r="BX253" i="25"/>
  <c r="BX254" i="25"/>
  <c r="BX255" i="25"/>
  <c r="BX256" i="25"/>
  <c r="BX257" i="25"/>
  <c r="BX258" i="25"/>
  <c r="BX259" i="25"/>
  <c r="BX260" i="25"/>
  <c r="BX261" i="25"/>
  <c r="BX262" i="25"/>
  <c r="BX263" i="25"/>
  <c r="BX264" i="25"/>
  <c r="BX265" i="25"/>
  <c r="BX266" i="25"/>
  <c r="BX267" i="25"/>
  <c r="BX268" i="25"/>
  <c r="BX269" i="25"/>
  <c r="BX270" i="25"/>
  <c r="BX271" i="25"/>
  <c r="BX272" i="25"/>
  <c r="BX273" i="25"/>
  <c r="BX274" i="25"/>
  <c r="BX275" i="25"/>
  <c r="BX276" i="25"/>
  <c r="BX277" i="25"/>
  <c r="BX278" i="25"/>
  <c r="BX279" i="25"/>
  <c r="BX280" i="25"/>
  <c r="BX281" i="25"/>
  <c r="BX282" i="25"/>
  <c r="BX283" i="25"/>
  <c r="BX284" i="25"/>
  <c r="BX285" i="25"/>
  <c r="BX286" i="25"/>
  <c r="BX287" i="25"/>
  <c r="BX288" i="25"/>
  <c r="BX289" i="25"/>
  <c r="BX290" i="25"/>
  <c r="BX291" i="25"/>
  <c r="BX292" i="25"/>
  <c r="BX293" i="25"/>
  <c r="BX294" i="25"/>
  <c r="BX295" i="25"/>
  <c r="BX296" i="25"/>
  <c r="BX297" i="25"/>
  <c r="BX298" i="25"/>
  <c r="BX299" i="25"/>
  <c r="BX300" i="25"/>
  <c r="BX301" i="25"/>
  <c r="BX302" i="25"/>
  <c r="BX303" i="25"/>
  <c r="BX304" i="25"/>
  <c r="BX305" i="25"/>
  <c r="BX306" i="25"/>
  <c r="BX307" i="25"/>
  <c r="BX308" i="25"/>
  <c r="BX309" i="25"/>
  <c r="BX310" i="25"/>
  <c r="BX311" i="25"/>
  <c r="BX312" i="25"/>
  <c r="BX313" i="25"/>
  <c r="BX314" i="25"/>
  <c r="BX315" i="25"/>
  <c r="BX316" i="25"/>
  <c r="BX317" i="25"/>
  <c r="BX318" i="25"/>
  <c r="BX319" i="25"/>
  <c r="BX320" i="25"/>
  <c r="BX321" i="25"/>
  <c r="BX322" i="25"/>
  <c r="BX323" i="25"/>
  <c r="BX324" i="25"/>
  <c r="BX325" i="25"/>
  <c r="BX326" i="25"/>
  <c r="BX327" i="25"/>
  <c r="BX328" i="25"/>
  <c r="BX337" i="25"/>
  <c r="BX331" i="25"/>
  <c r="BX330" i="25"/>
  <c r="BX334" i="25"/>
  <c r="BX336" i="25"/>
  <c r="BX333" i="25"/>
  <c r="BX332" i="25"/>
  <c r="BX335" i="25"/>
  <c r="BX329" i="25"/>
  <c r="BX338" i="25"/>
  <c r="BX339" i="25"/>
  <c r="BX340" i="25"/>
  <c r="BX341" i="25"/>
  <c r="BX342" i="25"/>
  <c r="BX343" i="25"/>
  <c r="BX344" i="25"/>
  <c r="BX345" i="25"/>
  <c r="BX346" i="25"/>
  <c r="BX347" i="25"/>
  <c r="BX348" i="25"/>
  <c r="BX349" i="25"/>
  <c r="BX350" i="25"/>
  <c r="BX351" i="25"/>
  <c r="BY243" i="25"/>
  <c r="BY244" i="25"/>
  <c r="BY245" i="25"/>
  <c r="BY246" i="25"/>
  <c r="BY247" i="25"/>
  <c r="BY248" i="25"/>
  <c r="BY249" i="25"/>
  <c r="BY250" i="25"/>
  <c r="BY251" i="25"/>
  <c r="BY252" i="25"/>
  <c r="BY253" i="25"/>
  <c r="BY254" i="25"/>
  <c r="BY255" i="25"/>
  <c r="BY256" i="25"/>
  <c r="BY257" i="25"/>
  <c r="BY258" i="25"/>
  <c r="BY259" i="25"/>
  <c r="BY260" i="25"/>
  <c r="BY261" i="25"/>
  <c r="BY262" i="25"/>
  <c r="BY263" i="25"/>
  <c r="BY264" i="25"/>
  <c r="BY265" i="25"/>
  <c r="BY266" i="25"/>
  <c r="BY267" i="25"/>
  <c r="BY268" i="25"/>
  <c r="BY269" i="25"/>
  <c r="BY270" i="25"/>
  <c r="BY271" i="25"/>
  <c r="BY272" i="25"/>
  <c r="BY273" i="25"/>
  <c r="BY274" i="25"/>
  <c r="BY275" i="25"/>
  <c r="BY276" i="25"/>
  <c r="BY277" i="25"/>
  <c r="BY278" i="25"/>
  <c r="BY279" i="25"/>
  <c r="BY280" i="25"/>
  <c r="BY281" i="25"/>
  <c r="BY282" i="25"/>
  <c r="BY283" i="25"/>
  <c r="BY284" i="25"/>
  <c r="BY285" i="25"/>
  <c r="BY286" i="25"/>
  <c r="BY287" i="25"/>
  <c r="BY288" i="25"/>
  <c r="BY289" i="25"/>
  <c r="BY290" i="25"/>
  <c r="BY291" i="25"/>
  <c r="BY292" i="25"/>
  <c r="BY293" i="25"/>
  <c r="BY294" i="25"/>
  <c r="BY295" i="25"/>
  <c r="BY296" i="25"/>
  <c r="BY297" i="25"/>
  <c r="BY298" i="25"/>
  <c r="BY299" i="25"/>
  <c r="BY300" i="25"/>
  <c r="BY301" i="25"/>
  <c r="BY302" i="25"/>
  <c r="BY303" i="25"/>
  <c r="BY304" i="25"/>
  <c r="BY305" i="25"/>
  <c r="BY306" i="25"/>
  <c r="BY307" i="25"/>
  <c r="BY308" i="25"/>
  <c r="BY309" i="25"/>
  <c r="BY310" i="25"/>
  <c r="BY311" i="25"/>
  <c r="BY312" i="25"/>
  <c r="BY313" i="25"/>
  <c r="BY314" i="25"/>
  <c r="BY315" i="25"/>
  <c r="BY316" i="25"/>
  <c r="BY317" i="25"/>
  <c r="BY318" i="25"/>
  <c r="BY319" i="25"/>
  <c r="BY320" i="25"/>
  <c r="BY321" i="25"/>
  <c r="BY322" i="25"/>
  <c r="BY323" i="25"/>
  <c r="BY324" i="25"/>
  <c r="BY325" i="25"/>
  <c r="BY326" i="25"/>
  <c r="BY327" i="25"/>
  <c r="BY328" i="25"/>
  <c r="BY337" i="25"/>
  <c r="BY331" i="25"/>
  <c r="BY330" i="25"/>
  <c r="BY334" i="25"/>
  <c r="BY336" i="25"/>
  <c r="BY333" i="25"/>
  <c r="BY332" i="25"/>
  <c r="BY335" i="25"/>
  <c r="BY329" i="25"/>
  <c r="BY338" i="25"/>
  <c r="BY339" i="25"/>
  <c r="BY340" i="25"/>
  <c r="BY341" i="25"/>
  <c r="BY342" i="25"/>
  <c r="BY343" i="25"/>
  <c r="BY344" i="25"/>
  <c r="BY345" i="25"/>
  <c r="BY346" i="25"/>
  <c r="BY347" i="25"/>
  <c r="BY348" i="25"/>
  <c r="BY349" i="25"/>
  <c r="BY350" i="25"/>
  <c r="BY351" i="25"/>
  <c r="BZ243" i="25"/>
  <c r="BZ244" i="25"/>
  <c r="BZ245" i="25"/>
  <c r="BZ246" i="25"/>
  <c r="BZ247" i="25"/>
  <c r="BZ248" i="25"/>
  <c r="BZ249" i="25"/>
  <c r="BZ250" i="25"/>
  <c r="BZ251" i="25"/>
  <c r="BZ252" i="25"/>
  <c r="BZ253" i="25"/>
  <c r="BZ254" i="25"/>
  <c r="BZ255" i="25"/>
  <c r="BZ256" i="25"/>
  <c r="BZ257" i="25"/>
  <c r="BZ258" i="25"/>
  <c r="BZ259" i="25"/>
  <c r="BZ260" i="25"/>
  <c r="BZ261" i="25"/>
  <c r="BZ262" i="25"/>
  <c r="BZ263" i="25"/>
  <c r="BZ264" i="25"/>
  <c r="BZ265" i="25"/>
  <c r="BZ266" i="25"/>
  <c r="BZ267" i="25"/>
  <c r="BZ268" i="25"/>
  <c r="BZ269" i="25"/>
  <c r="BZ270" i="25"/>
  <c r="BZ271" i="25"/>
  <c r="BZ272" i="25"/>
  <c r="BZ273" i="25"/>
  <c r="BZ274" i="25"/>
  <c r="BZ275" i="25"/>
  <c r="BZ276" i="25"/>
  <c r="BZ277" i="25"/>
  <c r="BZ278" i="25"/>
  <c r="BZ279" i="25"/>
  <c r="BZ280" i="25"/>
  <c r="BZ281" i="25"/>
  <c r="BZ282" i="25"/>
  <c r="BZ283" i="25"/>
  <c r="BZ284" i="25"/>
  <c r="BZ285" i="25"/>
  <c r="BZ286" i="25"/>
  <c r="BZ287" i="25"/>
  <c r="BZ288" i="25"/>
  <c r="BZ289" i="25"/>
  <c r="BZ290" i="25"/>
  <c r="BZ291" i="25"/>
  <c r="BZ292" i="25"/>
  <c r="BZ293" i="25"/>
  <c r="BZ294" i="25"/>
  <c r="BZ295" i="25"/>
  <c r="BZ296" i="25"/>
  <c r="BZ297" i="25"/>
  <c r="BZ298" i="25"/>
  <c r="BZ299" i="25"/>
  <c r="BZ300" i="25"/>
  <c r="BZ301" i="25"/>
  <c r="BZ302" i="25"/>
  <c r="BZ303" i="25"/>
  <c r="BZ304" i="25"/>
  <c r="BZ305" i="25"/>
  <c r="BZ306" i="25"/>
  <c r="BZ307" i="25"/>
  <c r="BZ308" i="25"/>
  <c r="BZ309" i="25"/>
  <c r="BZ310" i="25"/>
  <c r="BZ311" i="25"/>
  <c r="BZ312" i="25"/>
  <c r="BZ313" i="25"/>
  <c r="BZ314" i="25"/>
  <c r="BZ315" i="25"/>
  <c r="BZ316" i="25"/>
  <c r="BZ317" i="25"/>
  <c r="BZ318" i="25"/>
  <c r="BZ319" i="25"/>
  <c r="BZ320" i="25"/>
  <c r="BZ321" i="25"/>
  <c r="BZ322" i="25"/>
  <c r="BZ323" i="25"/>
  <c r="BZ324" i="25"/>
  <c r="BZ325" i="25"/>
  <c r="BZ326" i="25"/>
  <c r="BZ327" i="25"/>
  <c r="BZ328" i="25"/>
  <c r="BZ337" i="25"/>
  <c r="BZ331" i="25"/>
  <c r="BZ330" i="25"/>
  <c r="BZ334" i="25"/>
  <c r="BZ336" i="25"/>
  <c r="BZ333" i="25"/>
  <c r="BZ332" i="25"/>
  <c r="BZ335" i="25"/>
  <c r="BZ329" i="25"/>
  <c r="BZ338" i="25"/>
  <c r="BZ339" i="25"/>
  <c r="BZ340" i="25"/>
  <c r="BZ341" i="25"/>
  <c r="BZ342" i="25"/>
  <c r="BZ343" i="25"/>
  <c r="BZ344" i="25"/>
  <c r="BZ345" i="25"/>
  <c r="BZ346" i="25"/>
  <c r="BZ347" i="25"/>
  <c r="BZ348" i="25"/>
  <c r="BZ349" i="25"/>
  <c r="BZ350" i="25"/>
  <c r="BZ351" i="25"/>
  <c r="CA243" i="25"/>
  <c r="CA244" i="25"/>
  <c r="CA245" i="25"/>
  <c r="CA246" i="25"/>
  <c r="CA247" i="25"/>
  <c r="CA248" i="25"/>
  <c r="CA249" i="25"/>
  <c r="CA250" i="25"/>
  <c r="CA251" i="25"/>
  <c r="CA252" i="25"/>
  <c r="CA253" i="25"/>
  <c r="CA254" i="25"/>
  <c r="CA255" i="25"/>
  <c r="CA256" i="25"/>
  <c r="CA257" i="25"/>
  <c r="CA258" i="25"/>
  <c r="CA259" i="25"/>
  <c r="CA260" i="25"/>
  <c r="CA261" i="25"/>
  <c r="CA262" i="25"/>
  <c r="CA263" i="25"/>
  <c r="CA264" i="25"/>
  <c r="CA265" i="25"/>
  <c r="CA266" i="25"/>
  <c r="CA267" i="25"/>
  <c r="CA268" i="25"/>
  <c r="CA269" i="25"/>
  <c r="CA270" i="25"/>
  <c r="CA271" i="25"/>
  <c r="CA272" i="25"/>
  <c r="CA273" i="25"/>
  <c r="CA274" i="25"/>
  <c r="CA275" i="25"/>
  <c r="CA276" i="25"/>
  <c r="CA277" i="25"/>
  <c r="CA278" i="25"/>
  <c r="CA279" i="25"/>
  <c r="CA280" i="25"/>
  <c r="CA281" i="25"/>
  <c r="CA282" i="25"/>
  <c r="CA283" i="25"/>
  <c r="CA284" i="25"/>
  <c r="CA285" i="25"/>
  <c r="CA286" i="25"/>
  <c r="CA287" i="25"/>
  <c r="CA288" i="25"/>
  <c r="CA289" i="25"/>
  <c r="CA290" i="25"/>
  <c r="CA291" i="25"/>
  <c r="CA292" i="25"/>
  <c r="CA293" i="25"/>
  <c r="CA294" i="25"/>
  <c r="CA295" i="25"/>
  <c r="CA296" i="25"/>
  <c r="CA297" i="25"/>
  <c r="CA298" i="25"/>
  <c r="CA299" i="25"/>
  <c r="CA300" i="25"/>
  <c r="CA301" i="25"/>
  <c r="CA302" i="25"/>
  <c r="CA303" i="25"/>
  <c r="CA304" i="25"/>
  <c r="CA305" i="25"/>
  <c r="CA306" i="25"/>
  <c r="CA307" i="25"/>
  <c r="CA308" i="25"/>
  <c r="CA309" i="25"/>
  <c r="CA310" i="25"/>
  <c r="CA311" i="25"/>
  <c r="CA312" i="25"/>
  <c r="CA313" i="25"/>
  <c r="CA314" i="25"/>
  <c r="CA315" i="25"/>
  <c r="CA316" i="25"/>
  <c r="CA317" i="25"/>
  <c r="CA318" i="25"/>
  <c r="CA319" i="25"/>
  <c r="CA320" i="25"/>
  <c r="CA321" i="25"/>
  <c r="CA322" i="25"/>
  <c r="CA323" i="25"/>
  <c r="CA324" i="25"/>
  <c r="CA325" i="25"/>
  <c r="CA326" i="25"/>
  <c r="CA327" i="25"/>
  <c r="CA328" i="25"/>
  <c r="CA337" i="25"/>
  <c r="CA331" i="25"/>
  <c r="CA330" i="25"/>
  <c r="CA334" i="25"/>
  <c r="CA336" i="25"/>
  <c r="CA333" i="25"/>
  <c r="CA332" i="25"/>
  <c r="CA335" i="25"/>
  <c r="CA329" i="25"/>
  <c r="CA338" i="25"/>
  <c r="CA339" i="25"/>
  <c r="CA340" i="25"/>
  <c r="CA341" i="25"/>
  <c r="CA342" i="25"/>
  <c r="CA343" i="25"/>
  <c r="CA344" i="25"/>
  <c r="CA345" i="25"/>
  <c r="CA346" i="25"/>
  <c r="CA347" i="25"/>
  <c r="CA348" i="25"/>
  <c r="CA349" i="25"/>
  <c r="CA350" i="25"/>
  <c r="CA351" i="25"/>
  <c r="BJ364" i="25" l="1"/>
  <c r="AX356" i="25"/>
  <c r="BA356" i="25" s="1"/>
  <c r="BB356" i="25" s="1"/>
  <c r="BS361" i="25"/>
  <c r="BM361" i="25" s="1"/>
  <c r="BN361" i="25" s="1"/>
  <c r="BO361" i="25" s="1"/>
  <c r="BS353" i="25"/>
  <c r="BM353" i="25" s="1"/>
  <c r="BN353" i="25" s="1"/>
  <c r="BO353" i="25" s="1"/>
  <c r="AY355" i="25"/>
  <c r="AZ355" i="25" s="1"/>
  <c r="BC355" i="25" s="1"/>
  <c r="AW356" i="25"/>
  <c r="AY356" i="25" s="1"/>
  <c r="AZ356" i="25" s="1"/>
  <c r="BC356" i="25" s="1"/>
  <c r="AY353" i="25"/>
  <c r="AZ353" i="25" s="1"/>
  <c r="BC353" i="25" s="1"/>
  <c r="BJ363" i="25"/>
  <c r="AY366" i="25"/>
  <c r="AZ366" i="25" s="1"/>
  <c r="BC366" i="25" s="1"/>
  <c r="BS368" i="25"/>
  <c r="BM368" i="25" s="1"/>
  <c r="BN368" i="25" s="1"/>
  <c r="BO368" i="25" s="1"/>
  <c r="BS360" i="25"/>
  <c r="BM360" i="25" s="1"/>
  <c r="BN360" i="25" s="1"/>
  <c r="BO360" i="25" s="1"/>
  <c r="BS352" i="25"/>
  <c r="BM352" i="25" s="1"/>
  <c r="BN352" i="25" s="1"/>
  <c r="BO352" i="25" s="1"/>
  <c r="BJ365" i="25"/>
  <c r="BF357" i="25"/>
  <c r="BS363" i="25"/>
  <c r="BM363" i="25" s="1"/>
  <c r="BN363" i="25" s="1"/>
  <c r="BO363" i="25" s="1"/>
  <c r="BS355" i="25"/>
  <c r="BM355" i="25" s="1"/>
  <c r="BN355" i="25" s="1"/>
  <c r="BO355" i="25" s="1"/>
  <c r="BF355" i="25"/>
  <c r="BS362" i="25"/>
  <c r="BM362" i="25" s="1"/>
  <c r="BN362" i="25" s="1"/>
  <c r="BO362" i="25" s="1"/>
  <c r="BS354" i="25"/>
  <c r="BM354" i="25" s="1"/>
  <c r="BN354" i="25" s="1"/>
  <c r="BO354" i="25" s="1"/>
  <c r="AY358" i="25"/>
  <c r="AZ358" i="25" s="1"/>
  <c r="BC358" i="25" s="1"/>
  <c r="BF366" i="25"/>
  <c r="AY364" i="25"/>
  <c r="AZ364" i="25" s="1"/>
  <c r="BC364" i="25" s="1"/>
  <c r="AY365" i="25"/>
  <c r="AZ365" i="25" s="1"/>
  <c r="BC365" i="25" s="1"/>
  <c r="AY357" i="25"/>
  <c r="AZ357" i="25" s="1"/>
  <c r="BC357" i="25" s="1"/>
  <c r="BJ358" i="25"/>
  <c r="AY362" i="25"/>
  <c r="AZ362" i="25" s="1"/>
  <c r="BC362" i="25" s="1"/>
  <c r="AY354" i="25"/>
  <c r="AZ354" i="25" s="1"/>
  <c r="BC354" i="25" s="1"/>
  <c r="AY361" i="25"/>
  <c r="AZ361" i="25" s="1"/>
  <c r="BC361" i="25" s="1"/>
  <c r="AX355" i="25"/>
  <c r="BA355" i="25" s="1"/>
  <c r="BB355" i="25" s="1"/>
  <c r="AX360" i="25"/>
  <c r="BA360" i="25" s="1"/>
  <c r="BB360" i="25" s="1"/>
  <c r="BS365" i="25"/>
  <c r="BM365" i="25" s="1"/>
  <c r="BN365" i="25" s="1"/>
  <c r="BO365" i="25" s="1"/>
  <c r="BS357" i="25"/>
  <c r="BM357" i="25" s="1"/>
  <c r="BN357" i="25" s="1"/>
  <c r="BO357" i="25" s="1"/>
  <c r="BS367" i="25"/>
  <c r="BM367" i="25" s="1"/>
  <c r="BN367" i="25" s="1"/>
  <c r="BO367" i="25" s="1"/>
  <c r="BS359" i="25"/>
  <c r="BM359" i="25" s="1"/>
  <c r="BN359" i="25" s="1"/>
  <c r="BO359" i="25" s="1"/>
  <c r="BS364" i="25"/>
  <c r="BM364" i="25" s="1"/>
  <c r="BN364" i="25" s="1"/>
  <c r="BO364" i="25" s="1"/>
  <c r="BS356" i="25"/>
  <c r="BM356" i="25" s="1"/>
  <c r="BN356" i="25" s="1"/>
  <c r="BO356" i="25" s="1"/>
  <c r="BF354" i="25"/>
  <c r="AX367" i="25"/>
  <c r="BA367" i="25" s="1"/>
  <c r="BB367" i="25" s="1"/>
  <c r="AY368" i="25"/>
  <c r="AZ368" i="25" s="1"/>
  <c r="BC368" i="25" s="1"/>
  <c r="AY352" i="25"/>
  <c r="AZ352" i="25" s="1"/>
  <c r="BC352" i="25" s="1"/>
  <c r="BJ356" i="25"/>
  <c r="AX364" i="25"/>
  <c r="BA364" i="25" s="1"/>
  <c r="BB364" i="25" s="1"/>
  <c r="AX359" i="25"/>
  <c r="BA359" i="25" s="1"/>
  <c r="BB359" i="25" s="1"/>
  <c r="AX358" i="25"/>
  <c r="BA358" i="25" s="1"/>
  <c r="BB358" i="25" s="1"/>
  <c r="AX357" i="25"/>
  <c r="BA357" i="25" s="1"/>
  <c r="BB357" i="25" s="1"/>
  <c r="AY359" i="25"/>
  <c r="AZ359" i="25" s="1"/>
  <c r="BC359" i="25" s="1"/>
  <c r="AX368" i="25"/>
  <c r="BA368" i="25" s="1"/>
  <c r="BB368" i="25" s="1"/>
  <c r="AX366" i="25"/>
  <c r="BA366" i="25" s="1"/>
  <c r="BB366" i="25" s="1"/>
  <c r="AW360" i="25"/>
  <c r="AY360" i="25" s="1"/>
  <c r="AZ360" i="25" s="1"/>
  <c r="BC360" i="25" s="1"/>
  <c r="BJ353" i="25"/>
  <c r="AX365" i="25"/>
  <c r="BA365" i="25" s="1"/>
  <c r="BB365" i="25" s="1"/>
  <c r="AX352" i="25"/>
  <c r="BA352" i="25" s="1"/>
  <c r="BB352" i="25" s="1"/>
  <c r="BJ362" i="25"/>
  <c r="AX363" i="25"/>
  <c r="BA363" i="25" s="1"/>
  <c r="BB363" i="25" s="1"/>
  <c r="AY363" i="25"/>
  <c r="AZ363" i="25" s="1"/>
  <c r="BC363" i="25" s="1"/>
  <c r="BS366" i="25"/>
  <c r="BM366" i="25" s="1"/>
  <c r="BN366" i="25" s="1"/>
  <c r="BO366" i="25" s="1"/>
  <c r="BS358" i="25"/>
  <c r="BM358" i="25" s="1"/>
  <c r="BN358" i="25" s="1"/>
  <c r="BO358" i="25" s="1"/>
  <c r="AY367" i="25"/>
  <c r="AZ367" i="25" s="1"/>
  <c r="BC367" i="25" s="1"/>
  <c r="AX362" i="25"/>
  <c r="BA362" i="25" s="1"/>
  <c r="BB362" i="25" s="1"/>
  <c r="AX354" i="25"/>
  <c r="BA354" i="25" s="1"/>
  <c r="BB354" i="25" s="1"/>
  <c r="BJ361" i="25"/>
  <c r="AX361" i="25"/>
  <c r="BA361" i="25" s="1"/>
  <c r="BB361" i="25" s="1"/>
  <c r="AX353" i="25"/>
  <c r="BA353" i="25" s="1"/>
  <c r="BB353" i="25" s="1"/>
  <c r="BJ368" i="25"/>
  <c r="BJ360" i="25"/>
  <c r="BJ352" i="25"/>
  <c r="BJ367" i="25"/>
  <c r="BJ359" i="25"/>
  <c r="BF301" i="25"/>
  <c r="BJ350" i="25"/>
  <c r="BS270" i="25"/>
  <c r="BM270" i="25" s="1"/>
  <c r="BN270" i="25" s="1"/>
  <c r="BO270" i="25" s="1"/>
  <c r="BJ328" i="25"/>
  <c r="AX313" i="25"/>
  <c r="BA313" i="25" s="1"/>
  <c r="BB313" i="25" s="1"/>
  <c r="AY289" i="25"/>
  <c r="AZ289" i="25" s="1"/>
  <c r="BC289" i="25" s="1"/>
  <c r="AX281" i="25"/>
  <c r="BA281" i="25" s="1"/>
  <c r="BB281" i="25" s="1"/>
  <c r="BJ269" i="25"/>
  <c r="BF326" i="25"/>
  <c r="BJ293" i="25"/>
  <c r="BJ256" i="25"/>
  <c r="BJ245" i="25"/>
  <c r="BS261" i="25"/>
  <c r="BM261" i="25" s="1"/>
  <c r="BN261" i="25" s="1"/>
  <c r="BO261" i="25" s="1"/>
  <c r="AX346" i="25"/>
  <c r="BA346" i="25" s="1"/>
  <c r="BB346" i="25" s="1"/>
  <c r="AY338" i="25"/>
  <c r="AZ338" i="25" s="1"/>
  <c r="BC338" i="25" s="1"/>
  <c r="AX322" i="25"/>
  <c r="BA322" i="25" s="1"/>
  <c r="BB322" i="25" s="1"/>
  <c r="AX303" i="25"/>
  <c r="BA303" i="25" s="1"/>
  <c r="BB303" i="25" s="1"/>
  <c r="AY287" i="25"/>
  <c r="AZ287" i="25" s="1"/>
  <c r="AY271" i="25"/>
  <c r="AZ271" i="25" s="1"/>
  <c r="BC271" i="25" s="1"/>
  <c r="AX244" i="25"/>
  <c r="BA244" i="25" s="1"/>
  <c r="BB244" i="25" s="1"/>
  <c r="BF291" i="25"/>
  <c r="BJ307" i="25"/>
  <c r="BF281" i="25"/>
  <c r="AX323" i="25"/>
  <c r="BA323" i="25" s="1"/>
  <c r="BB323" i="25" s="1"/>
  <c r="AY274" i="25"/>
  <c r="AZ274" i="25" s="1"/>
  <c r="BC274" i="25" s="1"/>
  <c r="BS298" i="25"/>
  <c r="BM298" i="25" s="1"/>
  <c r="BN298" i="25" s="1"/>
  <c r="BO298" i="25" s="1"/>
  <c r="BS274" i="25"/>
  <c r="BM274" i="25" s="1"/>
  <c r="BN274" i="25" s="1"/>
  <c r="BO274" i="25" s="1"/>
  <c r="BS250" i="25"/>
  <c r="BM250" i="25" s="1"/>
  <c r="BN250" i="25" s="1"/>
  <c r="BO250" i="25" s="1"/>
  <c r="BF278" i="25"/>
  <c r="AX280" i="25"/>
  <c r="BA280" i="25" s="1"/>
  <c r="BB280" i="25" s="1"/>
  <c r="BS313" i="25"/>
  <c r="BM313" i="25" s="1"/>
  <c r="BN313" i="25" s="1"/>
  <c r="BO313" i="25" s="1"/>
  <c r="BJ283" i="25"/>
  <c r="AY339" i="25"/>
  <c r="AZ339" i="25" s="1"/>
  <c r="BC339" i="25" s="1"/>
  <c r="BJ342" i="25"/>
  <c r="BJ259" i="25"/>
  <c r="BS345" i="25"/>
  <c r="BM345" i="25" s="1"/>
  <c r="BN345" i="25" s="1"/>
  <c r="BO345" i="25" s="1"/>
  <c r="BS329" i="25"/>
  <c r="BM329" i="25" s="1"/>
  <c r="BN329" i="25" s="1"/>
  <c r="BO329" i="25" s="1"/>
  <c r="BS337" i="25"/>
  <c r="BS318" i="25"/>
  <c r="BM318" i="25" s="1"/>
  <c r="BN318" i="25" s="1"/>
  <c r="BO318" i="25" s="1"/>
  <c r="BS310" i="25"/>
  <c r="BM310" i="25" s="1"/>
  <c r="BN310" i="25" s="1"/>
  <c r="BO310" i="25" s="1"/>
  <c r="BS302" i="25"/>
  <c r="BM302" i="25" s="1"/>
  <c r="BN302" i="25" s="1"/>
  <c r="BO302" i="25" s="1"/>
  <c r="BS294" i="25"/>
  <c r="BM294" i="25" s="1"/>
  <c r="BN294" i="25" s="1"/>
  <c r="BO294" i="25" s="1"/>
  <c r="BS286" i="25"/>
  <c r="BM286" i="25" s="1"/>
  <c r="BN286" i="25" s="1"/>
  <c r="BO286" i="25" s="1"/>
  <c r="BS278" i="25"/>
  <c r="BM278" i="25" s="1"/>
  <c r="BN278" i="25" s="1"/>
  <c r="BO278" i="25" s="1"/>
  <c r="BS262" i="25"/>
  <c r="BM262" i="25" s="1"/>
  <c r="BN262" i="25" s="1"/>
  <c r="BO262" i="25" s="1"/>
  <c r="BS254" i="25"/>
  <c r="BS243" i="25"/>
  <c r="BM243" i="25" s="1"/>
  <c r="BN243" i="25" s="1"/>
  <c r="BO243" i="25" s="1"/>
  <c r="AX305" i="25"/>
  <c r="BA305" i="25" s="1"/>
  <c r="BB305" i="25" s="1"/>
  <c r="AX320" i="25"/>
  <c r="BA320" i="25" s="1"/>
  <c r="BB320" i="25" s="1"/>
  <c r="AX304" i="25"/>
  <c r="BA304" i="25" s="1"/>
  <c r="BB304" i="25" s="1"/>
  <c r="AX256" i="25"/>
  <c r="BA256" i="25" s="1"/>
  <c r="BB256" i="25" s="1"/>
  <c r="BS316" i="25"/>
  <c r="BM316" i="25" s="1"/>
  <c r="BN316" i="25" s="1"/>
  <c r="BO316" i="25" s="1"/>
  <c r="BS342" i="25"/>
  <c r="BM342" i="25" s="1"/>
  <c r="BN342" i="25" s="1"/>
  <c r="BO342" i="25" s="1"/>
  <c r="BS248" i="25"/>
  <c r="BM248" i="25" s="1"/>
  <c r="BN248" i="25" s="1"/>
  <c r="BO248" i="25" s="1"/>
  <c r="BJ315" i="25"/>
  <c r="BJ253" i="25"/>
  <c r="BF266" i="25"/>
  <c r="BJ246" i="25"/>
  <c r="BF265" i="25"/>
  <c r="AY304" i="25"/>
  <c r="AZ304" i="25" s="1"/>
  <c r="BC304" i="25" s="1"/>
  <c r="BJ305" i="25"/>
  <c r="BF250" i="25"/>
  <c r="AW303" i="25"/>
  <c r="AY303" i="25" s="1"/>
  <c r="AZ303" i="25" s="1"/>
  <c r="BC303" i="25" s="1"/>
  <c r="AX315" i="25"/>
  <c r="BA315" i="25" s="1"/>
  <c r="BB315" i="25" s="1"/>
  <c r="BS296" i="25"/>
  <c r="BM296" i="25" s="1"/>
  <c r="BN296" i="25" s="1"/>
  <c r="BO296" i="25" s="1"/>
  <c r="BJ346" i="25"/>
  <c r="AX306" i="25"/>
  <c r="BA306" i="25" s="1"/>
  <c r="BB306" i="25" s="1"/>
  <c r="AX266" i="25"/>
  <c r="BA266" i="25" s="1"/>
  <c r="BB266" i="25" s="1"/>
  <c r="AX250" i="25"/>
  <c r="BA250" i="25" s="1"/>
  <c r="BB250" i="25" s="1"/>
  <c r="BF335" i="25"/>
  <c r="AX335" i="25"/>
  <c r="BA335" i="25" s="1"/>
  <c r="BB335" i="25" s="1"/>
  <c r="BS325" i="25"/>
  <c r="BM325" i="25" s="1"/>
  <c r="BN325" i="25" s="1"/>
  <c r="BO325" i="25" s="1"/>
  <c r="AX336" i="25"/>
  <c r="BA336" i="25" s="1"/>
  <c r="BB336" i="25" s="1"/>
  <c r="AW322" i="25"/>
  <c r="AY322" i="25" s="1"/>
  <c r="AZ322" i="25" s="1"/>
  <c r="BC322" i="25" s="1"/>
  <c r="AY323" i="25"/>
  <c r="AZ323" i="25" s="1"/>
  <c r="BC323" i="25" s="1"/>
  <c r="AY259" i="25"/>
  <c r="AZ259" i="25" s="1"/>
  <c r="BS307" i="25"/>
  <c r="BM307" i="25" s="1"/>
  <c r="BN307" i="25" s="1"/>
  <c r="BO307" i="25" s="1"/>
  <c r="BS259" i="25"/>
  <c r="BM259" i="25" s="1"/>
  <c r="BN259" i="25" s="1"/>
  <c r="BO259" i="25" s="1"/>
  <c r="BJ287" i="25"/>
  <c r="AX287" i="25"/>
  <c r="BA287" i="25" s="1"/>
  <c r="BB287" i="25" s="1"/>
  <c r="AY330" i="25"/>
  <c r="AZ330" i="25" s="1"/>
  <c r="BC330" i="25" s="1"/>
  <c r="AY272" i="25"/>
  <c r="AZ272" i="25" s="1"/>
  <c r="BC272" i="25" s="1"/>
  <c r="BJ320" i="25"/>
  <c r="BJ304" i="25"/>
  <c r="BJ280" i="25"/>
  <c r="BJ255" i="25"/>
  <c r="BJ244" i="25"/>
  <c r="AX272" i="25"/>
  <c r="BA272" i="25" s="1"/>
  <c r="BB272" i="25" s="1"/>
  <c r="AY350" i="25"/>
  <c r="AZ350" i="25" s="1"/>
  <c r="BC350" i="25" s="1"/>
  <c r="AY342" i="25"/>
  <c r="AZ342" i="25" s="1"/>
  <c r="BC342" i="25" s="1"/>
  <c r="AX333" i="25"/>
  <c r="BA333" i="25" s="1"/>
  <c r="BB333" i="25" s="1"/>
  <c r="AX326" i="25"/>
  <c r="BA326" i="25" s="1"/>
  <c r="BB326" i="25" s="1"/>
  <c r="AY307" i="25"/>
  <c r="AZ307" i="25" s="1"/>
  <c r="AX299" i="25"/>
  <c r="BA299" i="25" s="1"/>
  <c r="BB299" i="25" s="1"/>
  <c r="AY291" i="25"/>
  <c r="AZ291" i="25" s="1"/>
  <c r="BC291" i="25" s="1"/>
  <c r="AX283" i="25"/>
  <c r="BA283" i="25" s="1"/>
  <c r="BB283" i="25" s="1"/>
  <c r="AX275" i="25"/>
  <c r="BA275" i="25" s="1"/>
  <c r="BB275" i="25" s="1"/>
  <c r="AX267" i="25"/>
  <c r="BA267" i="25" s="1"/>
  <c r="BB267" i="25" s="1"/>
  <c r="AX251" i="25"/>
  <c r="BA251" i="25" s="1"/>
  <c r="BB251" i="25" s="1"/>
  <c r="BS348" i="25"/>
  <c r="BM348" i="25" s="1"/>
  <c r="BN348" i="25" s="1"/>
  <c r="BO348" i="25" s="1"/>
  <c r="BS334" i="25"/>
  <c r="BS324" i="25"/>
  <c r="BM324" i="25" s="1"/>
  <c r="BN324" i="25" s="1"/>
  <c r="BO324" i="25" s="1"/>
  <c r="BS321" i="25"/>
  <c r="BM321" i="25" s="1"/>
  <c r="BN321" i="25" s="1"/>
  <c r="BO321" i="25" s="1"/>
  <c r="BS297" i="25"/>
  <c r="BM297" i="25" s="1"/>
  <c r="BN297" i="25" s="1"/>
  <c r="BO297" i="25" s="1"/>
  <c r="BS289" i="25"/>
  <c r="BM289" i="25" s="1"/>
  <c r="BN289" i="25" s="1"/>
  <c r="BO289" i="25" s="1"/>
  <c r="BS281" i="25"/>
  <c r="BM281" i="25" s="1"/>
  <c r="BN281" i="25" s="1"/>
  <c r="BO281" i="25" s="1"/>
  <c r="BS273" i="25"/>
  <c r="BM273" i="25" s="1"/>
  <c r="BN273" i="25" s="1"/>
  <c r="BO273" i="25" s="1"/>
  <c r="BS265" i="25"/>
  <c r="BM265" i="25" s="1"/>
  <c r="BN265" i="25" s="1"/>
  <c r="BO265" i="25" s="1"/>
  <c r="BS257" i="25"/>
  <c r="BM257" i="25" s="1"/>
  <c r="BN257" i="25" s="1"/>
  <c r="BO257" i="25" s="1"/>
  <c r="BS246" i="25"/>
  <c r="BJ339" i="25"/>
  <c r="BJ319" i="25"/>
  <c r="BJ303" i="25"/>
  <c r="BJ279" i="25"/>
  <c r="BF272" i="25"/>
  <c r="AX263" i="25"/>
  <c r="BA263" i="25" s="1"/>
  <c r="BB263" i="25" s="1"/>
  <c r="AW320" i="25"/>
  <c r="AY320" i="25" s="1"/>
  <c r="AZ320" i="25" s="1"/>
  <c r="BC320" i="25" s="1"/>
  <c r="AW244" i="25"/>
  <c r="BJ338" i="25"/>
  <c r="BJ317" i="25"/>
  <c r="BJ299" i="25"/>
  <c r="BJ271" i="25"/>
  <c r="BJ251" i="25"/>
  <c r="BF267" i="25"/>
  <c r="AW256" i="25"/>
  <c r="AY256" i="25" s="1"/>
  <c r="AZ256" i="25" s="1"/>
  <c r="BC256" i="25" s="1"/>
  <c r="AU283" i="25"/>
  <c r="AY283" i="25" s="1"/>
  <c r="AZ283" i="25" s="1"/>
  <c r="BC283" i="25" s="1"/>
  <c r="AU251" i="25"/>
  <c r="AY251" i="25" s="1"/>
  <c r="AZ251" i="25" s="1"/>
  <c r="BC251" i="25" s="1"/>
  <c r="BJ331" i="25"/>
  <c r="BJ295" i="25"/>
  <c r="AY347" i="25"/>
  <c r="AZ347" i="25" s="1"/>
  <c r="BC347" i="25" s="1"/>
  <c r="AX330" i="25"/>
  <c r="BA330" i="25" s="1"/>
  <c r="BB330" i="25" s="1"/>
  <c r="AX312" i="25"/>
  <c r="BA312" i="25" s="1"/>
  <c r="BB312" i="25" s="1"/>
  <c r="AY288" i="25"/>
  <c r="AZ288" i="25" s="1"/>
  <c r="BC288" i="25" s="1"/>
  <c r="AY280" i="25"/>
  <c r="AZ280" i="25" s="1"/>
  <c r="BC280" i="25" s="1"/>
  <c r="AY264" i="25"/>
  <c r="AZ264" i="25" s="1"/>
  <c r="BC264" i="25" s="1"/>
  <c r="BJ312" i="25"/>
  <c r="AY298" i="25"/>
  <c r="AZ298" i="25" s="1"/>
  <c r="BC298" i="25" s="1"/>
  <c r="BS285" i="25"/>
  <c r="BM285" i="25" s="1"/>
  <c r="BN285" i="25" s="1"/>
  <c r="BO285" i="25" s="1"/>
  <c r="BS351" i="25"/>
  <c r="BM351" i="25" s="1"/>
  <c r="BN351" i="25" s="1"/>
  <c r="BO351" i="25" s="1"/>
  <c r="BS343" i="25"/>
  <c r="BS332" i="25"/>
  <c r="BM332" i="25" s="1"/>
  <c r="BN332" i="25" s="1"/>
  <c r="BO332" i="25" s="1"/>
  <c r="BS327" i="25"/>
  <c r="BM327" i="25" s="1"/>
  <c r="BN327" i="25" s="1"/>
  <c r="BO327" i="25" s="1"/>
  <c r="BS308" i="25"/>
  <c r="BM308" i="25" s="1"/>
  <c r="BN308" i="25" s="1"/>
  <c r="BO308" i="25" s="1"/>
  <c r="BJ311" i="25"/>
  <c r="BJ261" i="25"/>
  <c r="BJ248" i="25"/>
  <c r="BF333" i="25"/>
  <c r="BF264" i="25"/>
  <c r="AW346" i="25"/>
  <c r="AY346" i="25" s="1"/>
  <c r="AZ346" i="25" s="1"/>
  <c r="BC346" i="25" s="1"/>
  <c r="BJ340" i="25"/>
  <c r="BF285" i="25"/>
  <c r="AU333" i="25"/>
  <c r="AY333" i="25" s="1"/>
  <c r="AZ333" i="25" s="1"/>
  <c r="BC333" i="25" s="1"/>
  <c r="AY344" i="25"/>
  <c r="AZ344" i="25" s="1"/>
  <c r="BC344" i="25" s="1"/>
  <c r="AY335" i="25"/>
  <c r="AZ335" i="25" s="1"/>
  <c r="BC335" i="25" s="1"/>
  <c r="AY317" i="25"/>
  <c r="AZ317" i="25" s="1"/>
  <c r="BC317" i="25" s="1"/>
  <c r="AY301" i="25"/>
  <c r="AZ301" i="25" s="1"/>
  <c r="BC301" i="25" s="1"/>
  <c r="AY293" i="25"/>
  <c r="AZ293" i="25" s="1"/>
  <c r="BC293" i="25" s="1"/>
  <c r="AX285" i="25"/>
  <c r="BA285" i="25" s="1"/>
  <c r="BB285" i="25" s="1"/>
  <c r="AY269" i="25"/>
  <c r="AZ269" i="25" s="1"/>
  <c r="BC269" i="25" s="1"/>
  <c r="BJ324" i="25"/>
  <c r="BF321" i="25"/>
  <c r="AY312" i="25"/>
  <c r="AZ312" i="25" s="1"/>
  <c r="BC312" i="25" s="1"/>
  <c r="AY315" i="25"/>
  <c r="AZ315" i="25" s="1"/>
  <c r="BC315" i="25" s="1"/>
  <c r="AY248" i="25"/>
  <c r="AZ248" i="25" s="1"/>
  <c r="BC248" i="25" s="1"/>
  <c r="BS287" i="25"/>
  <c r="BM287" i="25" s="1"/>
  <c r="BN287" i="25" s="1"/>
  <c r="BO287" i="25" s="1"/>
  <c r="BM254" i="25"/>
  <c r="BN254" i="25" s="1"/>
  <c r="BO254" i="25" s="1"/>
  <c r="BJ348" i="25"/>
  <c r="BJ323" i="25"/>
  <c r="BJ289" i="25"/>
  <c r="BJ277" i="25"/>
  <c r="BF334" i="25"/>
  <c r="BF297" i="25"/>
  <c r="BF275" i="25"/>
  <c r="AX296" i="25"/>
  <c r="BA296" i="25" s="1"/>
  <c r="BB296" i="25" s="1"/>
  <c r="AX259" i="25"/>
  <c r="BA259" i="25" s="1"/>
  <c r="BB259" i="25" s="1"/>
  <c r="BS301" i="25"/>
  <c r="BM301" i="25" s="1"/>
  <c r="BN301" i="25" s="1"/>
  <c r="BO301" i="25" s="1"/>
  <c r="BS293" i="25"/>
  <c r="BM293" i="25" s="1"/>
  <c r="BN293" i="25" s="1"/>
  <c r="BO293" i="25" s="1"/>
  <c r="BS277" i="25"/>
  <c r="BM277" i="25" s="1"/>
  <c r="BN277" i="25" s="1"/>
  <c r="BO277" i="25" s="1"/>
  <c r="BS269" i="25"/>
  <c r="BM269" i="25" s="1"/>
  <c r="BN269" i="25" s="1"/>
  <c r="BO269" i="25" s="1"/>
  <c r="BJ347" i="25"/>
  <c r="BJ322" i="25"/>
  <c r="BJ313" i="25"/>
  <c r="BJ288" i="25"/>
  <c r="BJ263" i="25"/>
  <c r="BF330" i="25"/>
  <c r="BF296" i="25"/>
  <c r="BF273" i="25"/>
  <c r="BF258" i="25"/>
  <c r="AX342" i="25"/>
  <c r="BA342" i="25" s="1"/>
  <c r="BB342" i="25" s="1"/>
  <c r="AX317" i="25"/>
  <c r="BA317" i="25" s="1"/>
  <c r="BB317" i="25" s="1"/>
  <c r="AX291" i="25"/>
  <c r="BA291" i="25" s="1"/>
  <c r="BB291" i="25" s="1"/>
  <c r="AW281" i="25"/>
  <c r="AY281" i="25" s="1"/>
  <c r="AZ281" i="25" s="1"/>
  <c r="BC281" i="25" s="1"/>
  <c r="AW266" i="25"/>
  <c r="AY266" i="25" s="1"/>
  <c r="AZ266" i="25" s="1"/>
  <c r="BC266" i="25" s="1"/>
  <c r="AW250" i="25"/>
  <c r="AY250" i="25" s="1"/>
  <c r="AZ250" i="25" s="1"/>
  <c r="BC250" i="25" s="1"/>
  <c r="AU267" i="25"/>
  <c r="AY267" i="25" s="1"/>
  <c r="AZ267" i="25" s="1"/>
  <c r="BC267" i="25" s="1"/>
  <c r="AY348" i="25"/>
  <c r="AZ348" i="25" s="1"/>
  <c r="BC348" i="25" s="1"/>
  <c r="AY340" i="25"/>
  <c r="AZ340" i="25" s="1"/>
  <c r="BC340" i="25" s="1"/>
  <c r="AY334" i="25"/>
  <c r="AZ334" i="25" s="1"/>
  <c r="BC334" i="25" s="1"/>
  <c r="AY305" i="25"/>
  <c r="AZ305" i="25" s="1"/>
  <c r="BC305" i="25" s="1"/>
  <c r="BF257" i="25"/>
  <c r="BJ344" i="25"/>
  <c r="AX248" i="25"/>
  <c r="BA248" i="25" s="1"/>
  <c r="BB248" i="25" s="1"/>
  <c r="AX319" i="25"/>
  <c r="BA319" i="25" s="1"/>
  <c r="BB319" i="25" s="1"/>
  <c r="AX295" i="25"/>
  <c r="BA295" i="25" s="1"/>
  <c r="BB295" i="25" s="1"/>
  <c r="AX255" i="25"/>
  <c r="BA255" i="25" s="1"/>
  <c r="BB255" i="25" s="1"/>
  <c r="BS350" i="25"/>
  <c r="BM350" i="25" s="1"/>
  <c r="BN350" i="25" s="1"/>
  <c r="BO350" i="25" s="1"/>
  <c r="BS333" i="25"/>
  <c r="BM333" i="25" s="1"/>
  <c r="BN333" i="25" s="1"/>
  <c r="BO333" i="25" s="1"/>
  <c r="BS326" i="25"/>
  <c r="BM326" i="25" s="1"/>
  <c r="BN326" i="25" s="1"/>
  <c r="BO326" i="25" s="1"/>
  <c r="BS315" i="25"/>
  <c r="BM315" i="25" s="1"/>
  <c r="BN315" i="25" s="1"/>
  <c r="BO315" i="25" s="1"/>
  <c r="BS299" i="25"/>
  <c r="BM299" i="25" s="1"/>
  <c r="BN299" i="25" s="1"/>
  <c r="BO299" i="25" s="1"/>
  <c r="BS291" i="25"/>
  <c r="BM291" i="25" s="1"/>
  <c r="BN291" i="25" s="1"/>
  <c r="BO291" i="25" s="1"/>
  <c r="BS283" i="25"/>
  <c r="BM283" i="25" s="1"/>
  <c r="BN283" i="25" s="1"/>
  <c r="BO283" i="25" s="1"/>
  <c r="BS275" i="25"/>
  <c r="BM275" i="25" s="1"/>
  <c r="BN275" i="25" s="1"/>
  <c r="BO275" i="25" s="1"/>
  <c r="BS267" i="25"/>
  <c r="BM267" i="25" s="1"/>
  <c r="BN267" i="25" s="1"/>
  <c r="BO267" i="25" s="1"/>
  <c r="BS251" i="25"/>
  <c r="BM251" i="25" s="1"/>
  <c r="BN251" i="25" s="1"/>
  <c r="BO251" i="25" s="1"/>
  <c r="BS349" i="25"/>
  <c r="BM349" i="25" s="1"/>
  <c r="BN349" i="25" s="1"/>
  <c r="BO349" i="25" s="1"/>
  <c r="BS341" i="25"/>
  <c r="BM341" i="25" s="1"/>
  <c r="BN341" i="25" s="1"/>
  <c r="BO341" i="25" s="1"/>
  <c r="BS336" i="25"/>
  <c r="BM336" i="25" s="1"/>
  <c r="BN336" i="25" s="1"/>
  <c r="BO336" i="25" s="1"/>
  <c r="BS314" i="25"/>
  <c r="BM314" i="25" s="1"/>
  <c r="BN314" i="25" s="1"/>
  <c r="BO314" i="25" s="1"/>
  <c r="BS306" i="25"/>
  <c r="BM306" i="25" s="1"/>
  <c r="BN306" i="25" s="1"/>
  <c r="BO306" i="25" s="1"/>
  <c r="BS290" i="25"/>
  <c r="BM290" i="25" s="1"/>
  <c r="BN290" i="25" s="1"/>
  <c r="BO290" i="25" s="1"/>
  <c r="BS282" i="25"/>
  <c r="BM282" i="25" s="1"/>
  <c r="BN282" i="25" s="1"/>
  <c r="BO282" i="25" s="1"/>
  <c r="BS266" i="25"/>
  <c r="BM266" i="25" s="1"/>
  <c r="BN266" i="25" s="1"/>
  <c r="BO266" i="25" s="1"/>
  <c r="BS258" i="25"/>
  <c r="BM258" i="25" s="1"/>
  <c r="BN258" i="25" s="1"/>
  <c r="BO258" i="25" s="1"/>
  <c r="BS247" i="25"/>
  <c r="BM247" i="25" s="1"/>
  <c r="BN247" i="25" s="1"/>
  <c r="BO247" i="25" s="1"/>
  <c r="BJ309" i="25"/>
  <c r="AX307" i="25"/>
  <c r="BA307" i="25" s="1"/>
  <c r="BB307" i="25" s="1"/>
  <c r="AX245" i="25"/>
  <c r="BA245" i="25" s="1"/>
  <c r="BB245" i="25" s="1"/>
  <c r="AU299" i="25"/>
  <c r="AY299" i="25" s="1"/>
  <c r="AZ299" i="25" s="1"/>
  <c r="BC299" i="25" s="1"/>
  <c r="BF351" i="25"/>
  <c r="BJ351" i="25"/>
  <c r="BF343" i="25"/>
  <c r="BJ343" i="25"/>
  <c r="BF332" i="25"/>
  <c r="BJ332" i="25"/>
  <c r="BF327" i="25"/>
  <c r="BJ327" i="25"/>
  <c r="BF316" i="25"/>
  <c r="BJ316" i="25"/>
  <c r="BF292" i="25"/>
  <c r="BJ292" i="25"/>
  <c r="BJ284" i="25"/>
  <c r="BF284" i="25"/>
  <c r="BF252" i="25"/>
  <c r="BJ252" i="25"/>
  <c r="BJ249" i="25"/>
  <c r="BF249" i="25"/>
  <c r="AU328" i="25"/>
  <c r="AY328" i="25" s="1"/>
  <c r="AZ328" i="25" s="1"/>
  <c r="BC328" i="25" s="1"/>
  <c r="AX328" i="25"/>
  <c r="BA328" i="25" s="1"/>
  <c r="BB328" i="25" s="1"/>
  <c r="AU309" i="25"/>
  <c r="AY309" i="25" s="1"/>
  <c r="AZ309" i="25" s="1"/>
  <c r="BC309" i="25" s="1"/>
  <c r="AX309" i="25"/>
  <c r="BA309" i="25" s="1"/>
  <c r="BB309" i="25" s="1"/>
  <c r="AX277" i="25"/>
  <c r="BA277" i="25" s="1"/>
  <c r="BB277" i="25" s="1"/>
  <c r="AU277" i="25"/>
  <c r="AY277" i="25" s="1"/>
  <c r="AZ277" i="25" s="1"/>
  <c r="BC277" i="25" s="1"/>
  <c r="AU261" i="25"/>
  <c r="AY261" i="25" s="1"/>
  <c r="AZ261" i="25" s="1"/>
  <c r="BC261" i="25" s="1"/>
  <c r="AX261" i="25"/>
  <c r="BA261" i="25" s="1"/>
  <c r="BB261" i="25" s="1"/>
  <c r="AU253" i="25"/>
  <c r="AY253" i="25" s="1"/>
  <c r="AZ253" i="25" s="1"/>
  <c r="BC253" i="25" s="1"/>
  <c r="AX253" i="25"/>
  <c r="BA253" i="25" s="1"/>
  <c r="BB253" i="25" s="1"/>
  <c r="BS347" i="25"/>
  <c r="BM347" i="25" s="1"/>
  <c r="BN347" i="25" s="1"/>
  <c r="BO347" i="25" s="1"/>
  <c r="BS339" i="25"/>
  <c r="BM339" i="25" s="1"/>
  <c r="BN339" i="25" s="1"/>
  <c r="BO339" i="25" s="1"/>
  <c r="BS330" i="25"/>
  <c r="BM330" i="25" s="1"/>
  <c r="BN330" i="25" s="1"/>
  <c r="BO330" i="25" s="1"/>
  <c r="BS323" i="25"/>
  <c r="BM323" i="25" s="1"/>
  <c r="BN323" i="25" s="1"/>
  <c r="BO323" i="25" s="1"/>
  <c r="BS320" i="25"/>
  <c r="BM320" i="25" s="1"/>
  <c r="BN320" i="25" s="1"/>
  <c r="BO320" i="25" s="1"/>
  <c r="BS312" i="25"/>
  <c r="BM312" i="25" s="1"/>
  <c r="BN312" i="25" s="1"/>
  <c r="BO312" i="25" s="1"/>
  <c r="BS304" i="25"/>
  <c r="BM304" i="25" s="1"/>
  <c r="BN304" i="25" s="1"/>
  <c r="BO304" i="25" s="1"/>
  <c r="BS288" i="25"/>
  <c r="BM288" i="25" s="1"/>
  <c r="BN288" i="25" s="1"/>
  <c r="BO288" i="25" s="1"/>
  <c r="BS280" i="25"/>
  <c r="BM280" i="25" s="1"/>
  <c r="BN280" i="25" s="1"/>
  <c r="BO280" i="25" s="1"/>
  <c r="BS272" i="25"/>
  <c r="BM272" i="25" s="1"/>
  <c r="BN272" i="25" s="1"/>
  <c r="BO272" i="25" s="1"/>
  <c r="BS264" i="25"/>
  <c r="BM264" i="25" s="1"/>
  <c r="BN264" i="25" s="1"/>
  <c r="BO264" i="25" s="1"/>
  <c r="BS256" i="25"/>
  <c r="BM256" i="25" s="1"/>
  <c r="BN256" i="25" s="1"/>
  <c r="BO256" i="25" s="1"/>
  <c r="BS245" i="25"/>
  <c r="BM245" i="25" s="1"/>
  <c r="BN245" i="25" s="1"/>
  <c r="BO245" i="25" s="1"/>
  <c r="BS346" i="25"/>
  <c r="BM346" i="25" s="1"/>
  <c r="BN346" i="25" s="1"/>
  <c r="BO346" i="25" s="1"/>
  <c r="BS338" i="25"/>
  <c r="BM338" i="25" s="1"/>
  <c r="BN338" i="25" s="1"/>
  <c r="BO338" i="25" s="1"/>
  <c r="BS331" i="25"/>
  <c r="BM331" i="25" s="1"/>
  <c r="BN331" i="25" s="1"/>
  <c r="BO331" i="25" s="1"/>
  <c r="BS322" i="25"/>
  <c r="BM322" i="25" s="1"/>
  <c r="BN322" i="25" s="1"/>
  <c r="BO322" i="25" s="1"/>
  <c r="BS319" i="25"/>
  <c r="BM319" i="25" s="1"/>
  <c r="BN319" i="25" s="1"/>
  <c r="BO319" i="25" s="1"/>
  <c r="BS311" i="25"/>
  <c r="BM311" i="25" s="1"/>
  <c r="BN311" i="25" s="1"/>
  <c r="BO311" i="25" s="1"/>
  <c r="BS303" i="25"/>
  <c r="BM303" i="25" s="1"/>
  <c r="BN303" i="25" s="1"/>
  <c r="BO303" i="25" s="1"/>
  <c r="AX293" i="25"/>
  <c r="BA293" i="25" s="1"/>
  <c r="BB293" i="25" s="1"/>
  <c r="AX269" i="25"/>
  <c r="BA269" i="25" s="1"/>
  <c r="BB269" i="25" s="1"/>
  <c r="AW341" i="25"/>
  <c r="AY341" i="25" s="1"/>
  <c r="AZ341" i="25" s="1"/>
  <c r="BC341" i="25" s="1"/>
  <c r="AX341" i="25"/>
  <c r="BA341" i="25" s="1"/>
  <c r="BB341" i="25" s="1"/>
  <c r="AW325" i="25"/>
  <c r="AY325" i="25" s="1"/>
  <c r="AZ325" i="25" s="1"/>
  <c r="BC325" i="25" s="1"/>
  <c r="AX325" i="25"/>
  <c r="BA325" i="25" s="1"/>
  <c r="BB325" i="25" s="1"/>
  <c r="AX314" i="25"/>
  <c r="BA314" i="25" s="1"/>
  <c r="BB314" i="25" s="1"/>
  <c r="AW314" i="25"/>
  <c r="AY314" i="25" s="1"/>
  <c r="AZ314" i="25" s="1"/>
  <c r="BC314" i="25" s="1"/>
  <c r="AX290" i="25"/>
  <c r="BA290" i="25" s="1"/>
  <c r="BB290" i="25" s="1"/>
  <c r="AW290" i="25"/>
  <c r="AY290" i="25" s="1"/>
  <c r="AZ290" i="25" s="1"/>
  <c r="BC290" i="25" s="1"/>
  <c r="AW282" i="25"/>
  <c r="AY282" i="25" s="1"/>
  <c r="AZ282" i="25" s="1"/>
  <c r="BC282" i="25" s="1"/>
  <c r="AX282" i="25"/>
  <c r="BA282" i="25" s="1"/>
  <c r="BB282" i="25" s="1"/>
  <c r="AW258" i="25"/>
  <c r="AY258" i="25" s="1"/>
  <c r="AZ258" i="25" s="1"/>
  <c r="BC258" i="25" s="1"/>
  <c r="AX258" i="25"/>
  <c r="BA258" i="25" s="1"/>
  <c r="BB258" i="25" s="1"/>
  <c r="AX247" i="25"/>
  <c r="BA247" i="25" s="1"/>
  <c r="BB247" i="25" s="1"/>
  <c r="AW247" i="25"/>
  <c r="AY247" i="25" s="1"/>
  <c r="AZ247" i="25" s="1"/>
  <c r="BC247" i="25" s="1"/>
  <c r="BF308" i="25"/>
  <c r="BF276" i="25"/>
  <c r="BJ349" i="25"/>
  <c r="BF349" i="25"/>
  <c r="BJ341" i="25"/>
  <c r="BF341" i="25"/>
  <c r="BJ325" i="25"/>
  <c r="BF325" i="25"/>
  <c r="BF314" i="25"/>
  <c r="BJ314" i="25"/>
  <c r="BJ306" i="25"/>
  <c r="BF306" i="25"/>
  <c r="BF298" i="25"/>
  <c r="BJ298" i="25"/>
  <c r="BF290" i="25"/>
  <c r="BJ290" i="25"/>
  <c r="BJ274" i="25"/>
  <c r="BF274" i="25"/>
  <c r="BJ247" i="25"/>
  <c r="BF247" i="25"/>
  <c r="AW336" i="25"/>
  <c r="AY336" i="25" s="1"/>
  <c r="AZ336" i="25" s="1"/>
  <c r="BC336" i="25" s="1"/>
  <c r="AW306" i="25"/>
  <c r="AY306" i="25" s="1"/>
  <c r="AZ306" i="25" s="1"/>
  <c r="BC306" i="25" s="1"/>
  <c r="AX324" i="25"/>
  <c r="BA324" i="25" s="1"/>
  <c r="BB324" i="25" s="1"/>
  <c r="AU285" i="25"/>
  <c r="AY285" i="25" s="1"/>
  <c r="AZ285" i="25" s="1"/>
  <c r="BC285" i="25" s="1"/>
  <c r="BF260" i="25"/>
  <c r="AY324" i="25"/>
  <c r="AZ324" i="25" s="1"/>
  <c r="BC324" i="25" s="1"/>
  <c r="AU297" i="25"/>
  <c r="AY297" i="25" s="1"/>
  <c r="AZ297" i="25" s="1"/>
  <c r="BC297" i="25" s="1"/>
  <c r="AX297" i="25"/>
  <c r="BA297" i="25" s="1"/>
  <c r="BB297" i="25" s="1"/>
  <c r="AU273" i="25"/>
  <c r="AY273" i="25" s="1"/>
  <c r="AZ273" i="25" s="1"/>
  <c r="BC273" i="25" s="1"/>
  <c r="AX273" i="25"/>
  <c r="BA273" i="25" s="1"/>
  <c r="BB273" i="25" s="1"/>
  <c r="AX265" i="25"/>
  <c r="BA265" i="25" s="1"/>
  <c r="BB265" i="25" s="1"/>
  <c r="AU265" i="25"/>
  <c r="AY265" i="25" s="1"/>
  <c r="AZ265" i="25" s="1"/>
  <c r="BC265" i="25" s="1"/>
  <c r="AX246" i="25"/>
  <c r="BA246" i="25" s="1"/>
  <c r="BB246" i="25" s="1"/>
  <c r="AU246" i="25"/>
  <c r="AY246" i="25" s="1"/>
  <c r="AZ246" i="25" s="1"/>
  <c r="BC246" i="25" s="1"/>
  <c r="BF336" i="25"/>
  <c r="BF286" i="25"/>
  <c r="AX349" i="25"/>
  <c r="BA349" i="25" s="1"/>
  <c r="BB349" i="25" s="1"/>
  <c r="AY296" i="25"/>
  <c r="AZ296" i="25" s="1"/>
  <c r="BC296" i="25" s="1"/>
  <c r="BF345" i="25"/>
  <c r="BJ345" i="25"/>
  <c r="BF329" i="25"/>
  <c r="BJ329" i="25"/>
  <c r="BF337" i="25"/>
  <c r="BJ337" i="25"/>
  <c r="BF318" i="25"/>
  <c r="BJ318" i="25"/>
  <c r="BF310" i="25"/>
  <c r="BJ310" i="25"/>
  <c r="BF302" i="25"/>
  <c r="BJ302" i="25"/>
  <c r="BF294" i="25"/>
  <c r="BJ294" i="25"/>
  <c r="BF270" i="25"/>
  <c r="BJ270" i="25"/>
  <c r="BF262" i="25"/>
  <c r="BJ262" i="25"/>
  <c r="BF254" i="25"/>
  <c r="BJ254" i="25"/>
  <c r="BF243" i="25"/>
  <c r="BJ243" i="25"/>
  <c r="AX301" i="25"/>
  <c r="BA301" i="25" s="1"/>
  <c r="BB301" i="25" s="1"/>
  <c r="AY349" i="25"/>
  <c r="AZ349" i="25" s="1"/>
  <c r="BC349" i="25" s="1"/>
  <c r="BM343" i="25"/>
  <c r="BN343" i="25" s="1"/>
  <c r="BO343" i="25" s="1"/>
  <c r="BS340" i="25"/>
  <c r="BM340" i="25" s="1"/>
  <c r="BN340" i="25" s="1"/>
  <c r="BO340" i="25" s="1"/>
  <c r="BS305" i="25"/>
  <c r="BM305" i="25" s="1"/>
  <c r="BN305" i="25" s="1"/>
  <c r="BO305" i="25" s="1"/>
  <c r="BF300" i="25"/>
  <c r="BF282" i="25"/>
  <c r="BF268" i="25"/>
  <c r="AX298" i="25"/>
  <c r="BA298" i="25" s="1"/>
  <c r="BB298" i="25" s="1"/>
  <c r="AX274" i="25"/>
  <c r="BA274" i="25" s="1"/>
  <c r="BB274" i="25" s="1"/>
  <c r="AY245" i="25"/>
  <c r="AZ245" i="25" s="1"/>
  <c r="BC245" i="25" s="1"/>
  <c r="AX331" i="25"/>
  <c r="BA331" i="25" s="1"/>
  <c r="BB331" i="25" s="1"/>
  <c r="AY295" i="25"/>
  <c r="AZ295" i="25" s="1"/>
  <c r="BC295" i="25" s="1"/>
  <c r="AX348" i="25"/>
  <c r="BA348" i="25" s="1"/>
  <c r="BB348" i="25" s="1"/>
  <c r="AX321" i="25"/>
  <c r="BA321" i="25" s="1"/>
  <c r="BB321" i="25" s="1"/>
  <c r="AX289" i="25"/>
  <c r="BA289" i="25" s="1"/>
  <c r="BB289" i="25" s="1"/>
  <c r="AX257" i="25"/>
  <c r="BA257" i="25" s="1"/>
  <c r="BB257" i="25" s="1"/>
  <c r="AU319" i="25"/>
  <c r="AY319" i="25" s="1"/>
  <c r="AZ319" i="25" s="1"/>
  <c r="BC319" i="25" s="1"/>
  <c r="BS344" i="25"/>
  <c r="BM344" i="25" s="1"/>
  <c r="BN344" i="25" s="1"/>
  <c r="BO344" i="25" s="1"/>
  <c r="BS335" i="25"/>
  <c r="BM335" i="25" s="1"/>
  <c r="BN335" i="25" s="1"/>
  <c r="BO335" i="25" s="1"/>
  <c r="BS328" i="25"/>
  <c r="BM328" i="25" s="1"/>
  <c r="BN328" i="25" s="1"/>
  <c r="BO328" i="25" s="1"/>
  <c r="BS317" i="25"/>
  <c r="BM317" i="25" s="1"/>
  <c r="BN317" i="25" s="1"/>
  <c r="BO317" i="25" s="1"/>
  <c r="BS309" i="25"/>
  <c r="BM309" i="25" s="1"/>
  <c r="BN309" i="25" s="1"/>
  <c r="BO309" i="25" s="1"/>
  <c r="BS253" i="25"/>
  <c r="BM253" i="25" s="1"/>
  <c r="BN253" i="25" s="1"/>
  <c r="BO253" i="25" s="1"/>
  <c r="BC287" i="25"/>
  <c r="AX340" i="25"/>
  <c r="BA340" i="25" s="1"/>
  <c r="BB340" i="25" s="1"/>
  <c r="AY331" i="25"/>
  <c r="AZ331" i="25" s="1"/>
  <c r="BC331" i="25" s="1"/>
  <c r="AY263" i="25"/>
  <c r="AZ263" i="25" s="1"/>
  <c r="BC263" i="25" s="1"/>
  <c r="AX350" i="25"/>
  <c r="BA350" i="25" s="1"/>
  <c r="BB350" i="25" s="1"/>
  <c r="AX339" i="25"/>
  <c r="BA339" i="25" s="1"/>
  <c r="BB339" i="25" s="1"/>
  <c r="AX271" i="25"/>
  <c r="BA271" i="25" s="1"/>
  <c r="BB271" i="25" s="1"/>
  <c r="AW313" i="25"/>
  <c r="AY313" i="25" s="1"/>
  <c r="AZ313" i="25" s="1"/>
  <c r="BC313" i="25" s="1"/>
  <c r="AX338" i="25"/>
  <c r="BA338" i="25" s="1"/>
  <c r="BB338" i="25" s="1"/>
  <c r="AX311" i="25"/>
  <c r="BA311" i="25" s="1"/>
  <c r="BB311" i="25" s="1"/>
  <c r="AX279" i="25"/>
  <c r="BA279" i="25" s="1"/>
  <c r="BB279" i="25" s="1"/>
  <c r="AU275" i="25"/>
  <c r="AY275" i="25" s="1"/>
  <c r="AZ275" i="25" s="1"/>
  <c r="BC275" i="25" s="1"/>
  <c r="AU255" i="25"/>
  <c r="AY255" i="25" s="1"/>
  <c r="AZ255" i="25" s="1"/>
  <c r="BC255" i="25" s="1"/>
  <c r="AX347" i="25"/>
  <c r="BA347" i="25" s="1"/>
  <c r="BB347" i="25" s="1"/>
  <c r="AW321" i="25"/>
  <c r="AY321" i="25" s="1"/>
  <c r="AZ321" i="25" s="1"/>
  <c r="BC321" i="25" s="1"/>
  <c r="AY311" i="25"/>
  <c r="AZ311" i="25" s="1"/>
  <c r="BC311" i="25" s="1"/>
  <c r="AY244" i="25"/>
  <c r="AZ244" i="25" s="1"/>
  <c r="BC244" i="25" s="1"/>
  <c r="BC307" i="25"/>
  <c r="BC259" i="25"/>
  <c r="AY279" i="25"/>
  <c r="AZ279" i="25" s="1"/>
  <c r="BC279" i="25" s="1"/>
  <c r="BS295" i="25"/>
  <c r="BM295" i="25" s="1"/>
  <c r="BN295" i="25" s="1"/>
  <c r="BO295" i="25" s="1"/>
  <c r="BS279" i="25"/>
  <c r="BM279" i="25" s="1"/>
  <c r="BN279" i="25" s="1"/>
  <c r="BO279" i="25" s="1"/>
  <c r="BS271" i="25"/>
  <c r="BM271" i="25" s="1"/>
  <c r="BN271" i="25" s="1"/>
  <c r="BO271" i="25" s="1"/>
  <c r="BS263" i="25"/>
  <c r="BM263" i="25" s="1"/>
  <c r="BN263" i="25" s="1"/>
  <c r="BO263" i="25" s="1"/>
  <c r="BS255" i="25"/>
  <c r="BM255" i="25" s="1"/>
  <c r="BN255" i="25" s="1"/>
  <c r="BO255" i="25" s="1"/>
  <c r="BS244" i="25"/>
  <c r="BM244" i="25" s="1"/>
  <c r="BN244" i="25" s="1"/>
  <c r="BO244" i="25" s="1"/>
  <c r="AX344" i="25"/>
  <c r="BA344" i="25" s="1"/>
  <c r="BB344" i="25" s="1"/>
  <c r="AX334" i="25"/>
  <c r="BA334" i="25" s="1"/>
  <c r="BB334" i="25" s="1"/>
  <c r="AX288" i="25"/>
  <c r="BA288" i="25" s="1"/>
  <c r="BB288" i="25" s="1"/>
  <c r="AX264" i="25"/>
  <c r="BA264" i="25" s="1"/>
  <c r="BB264" i="25" s="1"/>
  <c r="AW257" i="25"/>
  <c r="AY257" i="25" s="1"/>
  <c r="AZ257" i="25" s="1"/>
  <c r="BC257" i="25" s="1"/>
  <c r="AU326" i="25"/>
  <c r="AY326" i="25" s="1"/>
  <c r="AZ326" i="25" s="1"/>
  <c r="BC326" i="25" s="1"/>
  <c r="BP348" i="25"/>
  <c r="BP334" i="25"/>
  <c r="BM334" i="25"/>
  <c r="BN334" i="25" s="1"/>
  <c r="BO334" i="25" s="1"/>
  <c r="BP321" i="25"/>
  <c r="BP305" i="25"/>
  <c r="BP289" i="25"/>
  <c r="BP273" i="25"/>
  <c r="BP257" i="25"/>
  <c r="AX343" i="25"/>
  <c r="BA343" i="25" s="1"/>
  <c r="BB343" i="25" s="1"/>
  <c r="AU343" i="25"/>
  <c r="AY343" i="25" s="1"/>
  <c r="AZ343" i="25" s="1"/>
  <c r="BC343" i="25" s="1"/>
  <c r="AX252" i="25"/>
  <c r="BA252" i="25" s="1"/>
  <c r="BB252" i="25" s="1"/>
  <c r="AU252" i="25"/>
  <c r="AY252" i="25" s="1"/>
  <c r="AZ252" i="25" s="1"/>
  <c r="BC252" i="25" s="1"/>
  <c r="BP340" i="25"/>
  <c r="BP324" i="25"/>
  <c r="BP313" i="25"/>
  <c r="BP297" i="25"/>
  <c r="BP281" i="25"/>
  <c r="BP265" i="25"/>
  <c r="BP246" i="25"/>
  <c r="BM246" i="25"/>
  <c r="BN246" i="25" s="1"/>
  <c r="BO246" i="25" s="1"/>
  <c r="AX351" i="25"/>
  <c r="BA351" i="25" s="1"/>
  <c r="BB351" i="25" s="1"/>
  <c r="AU351" i="25"/>
  <c r="AY351" i="25" s="1"/>
  <c r="AZ351" i="25" s="1"/>
  <c r="BC351" i="25" s="1"/>
  <c r="AX332" i="25"/>
  <c r="BA332" i="25" s="1"/>
  <c r="BB332" i="25" s="1"/>
  <c r="AU332" i="25"/>
  <c r="AY332" i="25" s="1"/>
  <c r="AZ332" i="25" s="1"/>
  <c r="BC332" i="25" s="1"/>
  <c r="AX327" i="25"/>
  <c r="BA327" i="25" s="1"/>
  <c r="BB327" i="25" s="1"/>
  <c r="AU327" i="25"/>
  <c r="AY327" i="25" s="1"/>
  <c r="AZ327" i="25" s="1"/>
  <c r="BC327" i="25" s="1"/>
  <c r="AX316" i="25"/>
  <c r="BA316" i="25" s="1"/>
  <c r="BB316" i="25" s="1"/>
  <c r="AU316" i="25"/>
  <c r="AY316" i="25" s="1"/>
  <c r="AZ316" i="25" s="1"/>
  <c r="BC316" i="25" s="1"/>
  <c r="AX308" i="25"/>
  <c r="BA308" i="25" s="1"/>
  <c r="BB308" i="25" s="1"/>
  <c r="AU308" i="25"/>
  <c r="AY308" i="25" s="1"/>
  <c r="AZ308" i="25" s="1"/>
  <c r="BC308" i="25" s="1"/>
  <c r="AX300" i="25"/>
  <c r="BA300" i="25" s="1"/>
  <c r="BB300" i="25" s="1"/>
  <c r="AU300" i="25"/>
  <c r="AY300" i="25" s="1"/>
  <c r="AZ300" i="25" s="1"/>
  <c r="BC300" i="25" s="1"/>
  <c r="AX292" i="25"/>
  <c r="BA292" i="25" s="1"/>
  <c r="BB292" i="25" s="1"/>
  <c r="AU292" i="25"/>
  <c r="AY292" i="25" s="1"/>
  <c r="AZ292" i="25" s="1"/>
  <c r="BC292" i="25" s="1"/>
  <c r="AX284" i="25"/>
  <c r="BA284" i="25" s="1"/>
  <c r="BB284" i="25" s="1"/>
  <c r="AU284" i="25"/>
  <c r="AY284" i="25" s="1"/>
  <c r="AZ284" i="25" s="1"/>
  <c r="BC284" i="25" s="1"/>
  <c r="AX276" i="25"/>
  <c r="BA276" i="25" s="1"/>
  <c r="BB276" i="25" s="1"/>
  <c r="AU276" i="25"/>
  <c r="AY276" i="25" s="1"/>
  <c r="AZ276" i="25" s="1"/>
  <c r="BC276" i="25" s="1"/>
  <c r="AX268" i="25"/>
  <c r="BA268" i="25" s="1"/>
  <c r="BB268" i="25" s="1"/>
  <c r="AU268" i="25"/>
  <c r="AY268" i="25" s="1"/>
  <c r="AZ268" i="25" s="1"/>
  <c r="BC268" i="25" s="1"/>
  <c r="AX260" i="25"/>
  <c r="BA260" i="25" s="1"/>
  <c r="BB260" i="25" s="1"/>
  <c r="AU260" i="25"/>
  <c r="AY260" i="25" s="1"/>
  <c r="AZ260" i="25" s="1"/>
  <c r="BC260" i="25" s="1"/>
  <c r="AX249" i="25"/>
  <c r="BA249" i="25" s="1"/>
  <c r="BB249" i="25" s="1"/>
  <c r="AU249" i="25"/>
  <c r="AY249" i="25" s="1"/>
  <c r="AZ249" i="25" s="1"/>
  <c r="BC249" i="25" s="1"/>
  <c r="BS300" i="25"/>
  <c r="BM300" i="25" s="1"/>
  <c r="BN300" i="25" s="1"/>
  <c r="BO300" i="25" s="1"/>
  <c r="BS292" i="25"/>
  <c r="BM292" i="25" s="1"/>
  <c r="BN292" i="25" s="1"/>
  <c r="BO292" i="25" s="1"/>
  <c r="BS284" i="25"/>
  <c r="BM284" i="25" s="1"/>
  <c r="BN284" i="25" s="1"/>
  <c r="BO284" i="25" s="1"/>
  <c r="BS276" i="25"/>
  <c r="BM276" i="25" s="1"/>
  <c r="BN276" i="25" s="1"/>
  <c r="BO276" i="25" s="1"/>
  <c r="BS268" i="25"/>
  <c r="BM268" i="25" s="1"/>
  <c r="BN268" i="25" s="1"/>
  <c r="BO268" i="25" s="1"/>
  <c r="BS260" i="25"/>
  <c r="BM260" i="25" s="1"/>
  <c r="BN260" i="25" s="1"/>
  <c r="BO260" i="25" s="1"/>
  <c r="BS252" i="25"/>
  <c r="BM252" i="25" s="1"/>
  <c r="BN252" i="25" s="1"/>
  <c r="BO252" i="25" s="1"/>
  <c r="BS249" i="25"/>
  <c r="BM249" i="25" s="1"/>
  <c r="BN249" i="25" s="1"/>
  <c r="BO249" i="25" s="1"/>
  <c r="BM337" i="25"/>
  <c r="BN337" i="25" s="1"/>
  <c r="BO337" i="25" s="1"/>
  <c r="AX345" i="25"/>
  <c r="BA345" i="25" s="1"/>
  <c r="BB345" i="25" s="1"/>
  <c r="AW345" i="25"/>
  <c r="AY345" i="25" s="1"/>
  <c r="AZ345" i="25" s="1"/>
  <c r="BC345" i="25" s="1"/>
  <c r="AX329" i="25"/>
  <c r="BA329" i="25" s="1"/>
  <c r="BB329" i="25" s="1"/>
  <c r="AW329" i="25"/>
  <c r="AY329" i="25" s="1"/>
  <c r="AZ329" i="25" s="1"/>
  <c r="BC329" i="25" s="1"/>
  <c r="AX337" i="25"/>
  <c r="BA337" i="25" s="1"/>
  <c r="BB337" i="25" s="1"/>
  <c r="AW337" i="25"/>
  <c r="AY337" i="25" s="1"/>
  <c r="AZ337" i="25" s="1"/>
  <c r="BC337" i="25" s="1"/>
  <c r="AX318" i="25"/>
  <c r="BA318" i="25" s="1"/>
  <c r="BB318" i="25" s="1"/>
  <c r="AW318" i="25"/>
  <c r="AY318" i="25" s="1"/>
  <c r="AZ318" i="25" s="1"/>
  <c r="BC318" i="25" s="1"/>
  <c r="AX310" i="25"/>
  <c r="BA310" i="25" s="1"/>
  <c r="BB310" i="25" s="1"/>
  <c r="AW310" i="25"/>
  <c r="AY310" i="25" s="1"/>
  <c r="AZ310" i="25" s="1"/>
  <c r="BC310" i="25" s="1"/>
  <c r="AX302" i="25"/>
  <c r="BA302" i="25" s="1"/>
  <c r="BB302" i="25" s="1"/>
  <c r="AW302" i="25"/>
  <c r="AY302" i="25" s="1"/>
  <c r="AZ302" i="25" s="1"/>
  <c r="BC302" i="25" s="1"/>
  <c r="AX294" i="25"/>
  <c r="BA294" i="25" s="1"/>
  <c r="BB294" i="25" s="1"/>
  <c r="AW294" i="25"/>
  <c r="AY294" i="25" s="1"/>
  <c r="AZ294" i="25" s="1"/>
  <c r="BC294" i="25" s="1"/>
  <c r="AX286" i="25"/>
  <c r="BA286" i="25" s="1"/>
  <c r="BB286" i="25" s="1"/>
  <c r="AW286" i="25"/>
  <c r="AY286" i="25" s="1"/>
  <c r="AZ286" i="25" s="1"/>
  <c r="BC286" i="25" s="1"/>
  <c r="AX278" i="25"/>
  <c r="BA278" i="25" s="1"/>
  <c r="BB278" i="25" s="1"/>
  <c r="AW278" i="25"/>
  <c r="AY278" i="25" s="1"/>
  <c r="AZ278" i="25" s="1"/>
  <c r="BC278" i="25" s="1"/>
  <c r="AX270" i="25"/>
  <c r="BA270" i="25" s="1"/>
  <c r="BB270" i="25" s="1"/>
  <c r="AW270" i="25"/>
  <c r="AY270" i="25" s="1"/>
  <c r="AZ270" i="25" s="1"/>
  <c r="BC270" i="25" s="1"/>
  <c r="AX262" i="25"/>
  <c r="BA262" i="25" s="1"/>
  <c r="BB262" i="25" s="1"/>
  <c r="AW262" i="25"/>
  <c r="AY262" i="25" s="1"/>
  <c r="AZ262" i="25" s="1"/>
  <c r="BC262" i="25" s="1"/>
  <c r="AX254" i="25"/>
  <c r="BA254" i="25" s="1"/>
  <c r="BB254" i="25" s="1"/>
  <c r="AW254" i="25"/>
  <c r="AY254" i="25" s="1"/>
  <c r="AZ254" i="25" s="1"/>
  <c r="BC254" i="25" s="1"/>
  <c r="AX243" i="25"/>
  <c r="BA243" i="25" s="1"/>
  <c r="BB243" i="25" s="1"/>
  <c r="AW243" i="25"/>
  <c r="AY243" i="25" s="1"/>
  <c r="AZ243" i="25" s="1"/>
  <c r="BC243" i="25" s="1"/>
  <c r="H42" i="89" l="1"/>
  <c r="I42" i="89" s="1"/>
  <c r="J42" i="89"/>
  <c r="K42" i="89"/>
  <c r="L42" i="89"/>
  <c r="M42" i="89"/>
  <c r="N42" i="89"/>
  <c r="O42" i="89"/>
  <c r="H35" i="89"/>
  <c r="I35" i="89" s="1"/>
  <c r="J35" i="89"/>
  <c r="K35" i="89"/>
  <c r="L35" i="89"/>
  <c r="M35" i="89"/>
  <c r="N35" i="89"/>
  <c r="O35" i="89"/>
  <c r="H28" i="89"/>
  <c r="I28" i="89" s="1"/>
  <c r="J28" i="89"/>
  <c r="K28" i="89"/>
  <c r="L28" i="89"/>
  <c r="M28" i="89"/>
  <c r="N28" i="89"/>
  <c r="O28" i="89"/>
  <c r="H21" i="89"/>
  <c r="I21" i="89" s="1"/>
  <c r="J21" i="89"/>
  <c r="K21" i="89"/>
  <c r="L21" i="89"/>
  <c r="M21" i="89"/>
  <c r="N21" i="89"/>
  <c r="O21" i="89"/>
  <c r="CA242" i="25" l="1"/>
  <c r="BZ242" i="25"/>
  <c r="BY242" i="25"/>
  <c r="BX242" i="25"/>
  <c r="BW242" i="25"/>
  <c r="BV242" i="25"/>
  <c r="BU242" i="25"/>
  <c r="BT242" i="25"/>
  <c r="BR242" i="25"/>
  <c r="BQ242" i="25"/>
  <c r="BL242" i="25"/>
  <c r="BK242" i="25"/>
  <c r="BP242" i="25" s="1"/>
  <c r="BH242" i="25"/>
  <c r="BI242" i="25" s="1"/>
  <c r="BG242" i="25"/>
  <c r="BE242" i="25"/>
  <c r="BJ242" i="25" s="1"/>
  <c r="BD242" i="25"/>
  <c r="CA241" i="25"/>
  <c r="BZ241" i="25"/>
  <c r="BY241" i="25"/>
  <c r="BX241" i="25"/>
  <c r="BW241" i="25"/>
  <c r="BV241" i="25"/>
  <c r="BU241" i="25"/>
  <c r="BT241" i="25"/>
  <c r="BR241" i="25"/>
  <c r="BQ241" i="25"/>
  <c r="BL241" i="25"/>
  <c r="BK241" i="25"/>
  <c r="BP241" i="25" s="1"/>
  <c r="BH241" i="25"/>
  <c r="BI241" i="25" s="1"/>
  <c r="BG241" i="25"/>
  <c r="BE241" i="25"/>
  <c r="BF241" i="25" s="1"/>
  <c r="BD241" i="25"/>
  <c r="CA240" i="25"/>
  <c r="BZ240" i="25"/>
  <c r="BY240" i="25"/>
  <c r="BX240" i="25"/>
  <c r="BW240" i="25"/>
  <c r="BV240" i="25"/>
  <c r="BU240" i="25"/>
  <c r="BT240" i="25"/>
  <c r="BR240" i="25"/>
  <c r="BQ240" i="25"/>
  <c r="BL240" i="25"/>
  <c r="BK240" i="25"/>
  <c r="BP240" i="25" s="1"/>
  <c r="BH240" i="25"/>
  <c r="BI240" i="25" s="1"/>
  <c r="BG240" i="25"/>
  <c r="BE240" i="25"/>
  <c r="BJ240" i="25" s="1"/>
  <c r="BD240" i="25"/>
  <c r="CA239" i="25"/>
  <c r="BZ239" i="25"/>
  <c r="BY239" i="25"/>
  <c r="BX239" i="25"/>
  <c r="BW239" i="25"/>
  <c r="BV239" i="25"/>
  <c r="BU239" i="25"/>
  <c r="BT239" i="25"/>
  <c r="BR239" i="25"/>
  <c r="BQ239" i="25"/>
  <c r="BL239" i="25"/>
  <c r="BK239" i="25"/>
  <c r="BP239" i="25" s="1"/>
  <c r="BH239" i="25"/>
  <c r="BI239" i="25" s="1"/>
  <c r="BG239" i="25"/>
  <c r="BE239" i="25"/>
  <c r="BF239" i="25" s="1"/>
  <c r="BD239" i="25"/>
  <c r="G34" i="89"/>
  <c r="G27" i="89"/>
  <c r="G20" i="89"/>
  <c r="G41" i="89"/>
  <c r="H41" i="89" l="1"/>
  <c r="I41" i="89" s="1"/>
  <c r="K41" i="89"/>
  <c r="N41" i="89"/>
  <c r="J41" i="89"/>
  <c r="L41" i="89"/>
  <c r="M41" i="89"/>
  <c r="O41" i="89"/>
  <c r="J20" i="89"/>
  <c r="O20" i="89"/>
  <c r="K20" i="89"/>
  <c r="N20" i="89"/>
  <c r="M20" i="89"/>
  <c r="L20" i="89"/>
  <c r="H20" i="89"/>
  <c r="I20" i="89" s="1"/>
  <c r="J27" i="89"/>
  <c r="N27" i="89"/>
  <c r="K27" i="89"/>
  <c r="L27" i="89"/>
  <c r="M27" i="89"/>
  <c r="O27" i="89"/>
  <c r="H27" i="89"/>
  <c r="I27" i="89" s="1"/>
  <c r="L34" i="89"/>
  <c r="J34" i="89"/>
  <c r="M34" i="89"/>
  <c r="N34" i="89"/>
  <c r="O34" i="89"/>
  <c r="K34" i="89"/>
  <c r="H34" i="89"/>
  <c r="I34" i="89" s="1"/>
  <c r="BS239" i="25"/>
  <c r="BM239" i="25" s="1"/>
  <c r="BN239" i="25" s="1"/>
  <c r="BO239" i="25" s="1"/>
  <c r="BS240" i="25"/>
  <c r="BM240" i="25" s="1"/>
  <c r="BN240" i="25" s="1"/>
  <c r="BO240" i="25" s="1"/>
  <c r="BS241" i="25"/>
  <c r="BM241" i="25" s="1"/>
  <c r="BN241" i="25" s="1"/>
  <c r="BO241" i="25" s="1"/>
  <c r="BS242" i="25"/>
  <c r="BM242" i="25" s="1"/>
  <c r="BN242" i="25" s="1"/>
  <c r="BO242" i="25" s="1"/>
  <c r="BJ241" i="25"/>
  <c r="BF242" i="25"/>
  <c r="BJ239" i="25"/>
  <c r="BF240" i="25"/>
  <c r="G239" i="25" l="1"/>
  <c r="G240" i="25"/>
  <c r="G241" i="25"/>
  <c r="G242" i="25"/>
  <c r="AT239" i="25"/>
  <c r="AU239" i="25" s="1"/>
  <c r="AT240" i="25"/>
  <c r="AU240" i="25" s="1"/>
  <c r="AT241" i="25"/>
  <c r="AU241" i="25" s="1"/>
  <c r="AT242" i="25"/>
  <c r="AU242" i="25" s="1"/>
  <c r="AV239" i="25"/>
  <c r="AV240" i="25"/>
  <c r="AV241" i="25"/>
  <c r="AV242" i="25"/>
  <c r="AW242" i="25" l="1"/>
  <c r="AY242" i="25" s="1"/>
  <c r="AZ242" i="25" s="1"/>
  <c r="BC242" i="25" s="1"/>
  <c r="AX242" i="25"/>
  <c r="BA242" i="25" s="1"/>
  <c r="BB242" i="25" s="1"/>
  <c r="AX240" i="25"/>
  <c r="BA240" i="25" s="1"/>
  <c r="BB240" i="25" s="1"/>
  <c r="AW240" i="25"/>
  <c r="AY240" i="25" s="1"/>
  <c r="AZ240" i="25" s="1"/>
  <c r="BC240" i="25" s="1"/>
  <c r="AX239" i="25"/>
  <c r="BA239" i="25" s="1"/>
  <c r="BB239" i="25" s="1"/>
  <c r="AW239" i="25"/>
  <c r="AY239" i="25" s="1"/>
  <c r="AZ239" i="25" s="1"/>
  <c r="BC239" i="25" s="1"/>
  <c r="AW241" i="25"/>
  <c r="AY241" i="25" s="1"/>
  <c r="AZ241" i="25" s="1"/>
  <c r="BC241" i="25" s="1"/>
  <c r="AX241" i="25"/>
  <c r="BA241" i="25" s="1"/>
  <c r="BB241" i="25" s="1"/>
  <c r="AT235" i="25" l="1"/>
  <c r="AU235" i="25" s="1"/>
  <c r="AT236" i="25"/>
  <c r="AU236" i="25" s="1"/>
  <c r="AT237" i="25"/>
  <c r="AU237" i="25" s="1"/>
  <c r="AT238" i="25"/>
  <c r="AU238" i="25" s="1"/>
  <c r="AV235" i="25"/>
  <c r="AW235" i="25" s="1"/>
  <c r="AV236" i="25"/>
  <c r="AW236" i="25" s="1"/>
  <c r="AV237" i="25"/>
  <c r="AW237" i="25" s="1"/>
  <c r="AV238" i="25"/>
  <c r="AW238" i="25" s="1"/>
  <c r="BD235" i="25"/>
  <c r="BD236" i="25"/>
  <c r="BD237" i="25"/>
  <c r="BD238" i="25"/>
  <c r="BE235" i="25"/>
  <c r="BF235" i="25" s="1"/>
  <c r="BE236" i="25"/>
  <c r="BJ236" i="25" s="1"/>
  <c r="BE237" i="25"/>
  <c r="BF237" i="25" s="1"/>
  <c r="BE238" i="25"/>
  <c r="BF238" i="25" s="1"/>
  <c r="BG235" i="25"/>
  <c r="BG236" i="25"/>
  <c r="BG237" i="25"/>
  <c r="BG238" i="25"/>
  <c r="BH235" i="25"/>
  <c r="BI235" i="25" s="1"/>
  <c r="BH236" i="25"/>
  <c r="BI236" i="25" s="1"/>
  <c r="BH237" i="25"/>
  <c r="BI237" i="25" s="1"/>
  <c r="BH238" i="25"/>
  <c r="BI238" i="25" s="1"/>
  <c r="BK235" i="25"/>
  <c r="BK236" i="25"/>
  <c r="BP236" i="25" s="1"/>
  <c r="BK237" i="25"/>
  <c r="BP237" i="25" s="1"/>
  <c r="BK238" i="25"/>
  <c r="BP238" i="25" s="1"/>
  <c r="BL235" i="25"/>
  <c r="BL236" i="25"/>
  <c r="BL237" i="25"/>
  <c r="BL238" i="25"/>
  <c r="BP235" i="25"/>
  <c r="BQ235" i="25"/>
  <c r="BQ236" i="25"/>
  <c r="BQ237" i="25"/>
  <c r="BQ238" i="25"/>
  <c r="BR235" i="25"/>
  <c r="BR236" i="25"/>
  <c r="BR237" i="25"/>
  <c r="BR238" i="25"/>
  <c r="BT235" i="25"/>
  <c r="BT236" i="25"/>
  <c r="BT237" i="25"/>
  <c r="BT238" i="25"/>
  <c r="BU235" i="25"/>
  <c r="BU236" i="25"/>
  <c r="BU237" i="25"/>
  <c r="BU238" i="25"/>
  <c r="BV235" i="25"/>
  <c r="BV236" i="25"/>
  <c r="BV237" i="25"/>
  <c r="BV238" i="25"/>
  <c r="BW235" i="25"/>
  <c r="BW236" i="25"/>
  <c r="BW237" i="25"/>
  <c r="BW238" i="25"/>
  <c r="BX235" i="25"/>
  <c r="BX236" i="25"/>
  <c r="BX237" i="25"/>
  <c r="BX238" i="25"/>
  <c r="BY235" i="25"/>
  <c r="BY236" i="25"/>
  <c r="BY237" i="25"/>
  <c r="BY238" i="25"/>
  <c r="BZ235" i="25"/>
  <c r="BZ236" i="25"/>
  <c r="BZ237" i="25"/>
  <c r="BZ238" i="25"/>
  <c r="CA235" i="25"/>
  <c r="CA236" i="25"/>
  <c r="CA237" i="25"/>
  <c r="CA238" i="25"/>
  <c r="BS238" i="25" l="1"/>
  <c r="BM238" i="25" s="1"/>
  <c r="BN238" i="25" s="1"/>
  <c r="BO238" i="25" s="1"/>
  <c r="BS237" i="25"/>
  <c r="BM237" i="25" s="1"/>
  <c r="BN237" i="25" s="1"/>
  <c r="BO237" i="25" s="1"/>
  <c r="BJ238" i="25"/>
  <c r="BJ235" i="25"/>
  <c r="BS236" i="25"/>
  <c r="BM236" i="25" s="1"/>
  <c r="BN236" i="25" s="1"/>
  <c r="BO236" i="25" s="1"/>
  <c r="BF236" i="25"/>
  <c r="AY235" i="25"/>
  <c r="AZ235" i="25" s="1"/>
  <c r="BC235" i="25" s="1"/>
  <c r="BS235" i="25"/>
  <c r="BM235" i="25" s="1"/>
  <c r="BN235" i="25" s="1"/>
  <c r="BO235" i="25" s="1"/>
  <c r="AY237" i="25"/>
  <c r="AZ237" i="25" s="1"/>
  <c r="BC237" i="25" s="1"/>
  <c r="AX238" i="25"/>
  <c r="BA238" i="25" s="1"/>
  <c r="BB238" i="25" s="1"/>
  <c r="AX237" i="25"/>
  <c r="BA237" i="25" s="1"/>
  <c r="BB237" i="25" s="1"/>
  <c r="AX236" i="25"/>
  <c r="BA236" i="25" s="1"/>
  <c r="BB236" i="25" s="1"/>
  <c r="AX235" i="25"/>
  <c r="BA235" i="25" s="1"/>
  <c r="BB235" i="25" s="1"/>
  <c r="AY238" i="25"/>
  <c r="AZ238" i="25" s="1"/>
  <c r="BC238" i="25" s="1"/>
  <c r="AY236" i="25"/>
  <c r="AZ236" i="25" s="1"/>
  <c r="BC236" i="25" s="1"/>
  <c r="BJ237" i="25"/>
  <c r="AT230" i="25"/>
  <c r="AT231" i="25"/>
  <c r="AU231" i="25" s="1"/>
  <c r="AT232" i="25"/>
  <c r="AU232" i="25" s="1"/>
  <c r="AT233" i="25"/>
  <c r="AU233" i="25" s="1"/>
  <c r="AT234" i="25"/>
  <c r="AU234" i="25" s="1"/>
  <c r="AV230" i="25"/>
  <c r="AW230" i="25" s="1"/>
  <c r="AV231" i="25"/>
  <c r="AW231" i="25" s="1"/>
  <c r="AV232" i="25"/>
  <c r="AW232" i="25" s="1"/>
  <c r="AV233" i="25"/>
  <c r="AW233" i="25" s="1"/>
  <c r="AV234" i="25"/>
  <c r="AW234" i="25" s="1"/>
  <c r="BD230" i="25"/>
  <c r="BD231" i="25"/>
  <c r="BD232" i="25"/>
  <c r="BD233" i="25"/>
  <c r="BD234" i="25"/>
  <c r="BE230" i="25"/>
  <c r="BF230" i="25" s="1"/>
  <c r="BE231" i="25"/>
  <c r="BF231" i="25" s="1"/>
  <c r="BE232" i="25"/>
  <c r="BF232" i="25" s="1"/>
  <c r="BE233" i="25"/>
  <c r="BF233" i="25" s="1"/>
  <c r="BE234" i="25"/>
  <c r="BF234" i="25" s="1"/>
  <c r="BG230" i="25"/>
  <c r="BG231" i="25"/>
  <c r="BG232" i="25"/>
  <c r="BG233" i="25"/>
  <c r="BG234" i="25"/>
  <c r="BH230" i="25"/>
  <c r="BI230" i="25" s="1"/>
  <c r="BH231" i="25"/>
  <c r="BI231" i="25" s="1"/>
  <c r="BH232" i="25"/>
  <c r="BI232" i="25" s="1"/>
  <c r="BH233" i="25"/>
  <c r="BI233" i="25" s="1"/>
  <c r="BH234" i="25"/>
  <c r="BI234" i="25" s="1"/>
  <c r="BK230" i="25"/>
  <c r="BP230" i="25" s="1"/>
  <c r="BK231" i="25"/>
  <c r="BP231" i="25" s="1"/>
  <c r="BK232" i="25"/>
  <c r="BP232" i="25" s="1"/>
  <c r="BK233" i="25"/>
  <c r="BP233" i="25" s="1"/>
  <c r="BK234" i="25"/>
  <c r="BP234" i="25" s="1"/>
  <c r="BL230" i="25"/>
  <c r="BL231" i="25"/>
  <c r="BL232" i="25"/>
  <c r="BL233" i="25"/>
  <c r="BL234" i="25"/>
  <c r="BQ230" i="25"/>
  <c r="BQ231" i="25"/>
  <c r="BQ232" i="25"/>
  <c r="BQ233" i="25"/>
  <c r="BQ234" i="25"/>
  <c r="BR230" i="25"/>
  <c r="BR231" i="25"/>
  <c r="BR232" i="25"/>
  <c r="BR233" i="25"/>
  <c r="BR234" i="25"/>
  <c r="BT230" i="25"/>
  <c r="BT231" i="25"/>
  <c r="BT232" i="25"/>
  <c r="BT233" i="25"/>
  <c r="BT234" i="25"/>
  <c r="BU230" i="25"/>
  <c r="BU231" i="25"/>
  <c r="BU232" i="25"/>
  <c r="BU233" i="25"/>
  <c r="BU234" i="25"/>
  <c r="BV230" i="25"/>
  <c r="BV231" i="25"/>
  <c r="BV232" i="25"/>
  <c r="BV233" i="25"/>
  <c r="BV234" i="25"/>
  <c r="BW230" i="25"/>
  <c r="BW231" i="25"/>
  <c r="BW232" i="25"/>
  <c r="BW233" i="25"/>
  <c r="BW234" i="25"/>
  <c r="BX230" i="25"/>
  <c r="BX231" i="25"/>
  <c r="BX232" i="25"/>
  <c r="BX233" i="25"/>
  <c r="BX234" i="25"/>
  <c r="BY230" i="25"/>
  <c r="BY231" i="25"/>
  <c r="BY232" i="25"/>
  <c r="BY233" i="25"/>
  <c r="BY234" i="25"/>
  <c r="BZ230" i="25"/>
  <c r="BZ231" i="25"/>
  <c r="BZ232" i="25"/>
  <c r="BZ233" i="25"/>
  <c r="BZ234" i="25"/>
  <c r="CA230" i="25"/>
  <c r="CA231" i="25"/>
  <c r="CA232" i="25"/>
  <c r="CA233" i="25"/>
  <c r="CA234" i="25"/>
  <c r="CA229" i="25"/>
  <c r="BZ229" i="25"/>
  <c r="BY229" i="25"/>
  <c r="BX229" i="25"/>
  <c r="BW229" i="25"/>
  <c r="BV229" i="25"/>
  <c r="BU229" i="25"/>
  <c r="BT229" i="25"/>
  <c r="BR229" i="25"/>
  <c r="BQ229" i="25"/>
  <c r="BL229" i="25"/>
  <c r="BK229" i="25"/>
  <c r="BP229" i="25" s="1"/>
  <c r="BH229" i="25"/>
  <c r="BI229" i="25" s="1"/>
  <c r="BG229" i="25"/>
  <c r="BE229" i="25"/>
  <c r="BJ229" i="25" s="1"/>
  <c r="BD229" i="25"/>
  <c r="AV229" i="25"/>
  <c r="AW229" i="25" s="1"/>
  <c r="AT229" i="25"/>
  <c r="AU229" i="25" s="1"/>
  <c r="CA228" i="25"/>
  <c r="BZ228" i="25"/>
  <c r="BY228" i="25"/>
  <c r="BX228" i="25"/>
  <c r="BW228" i="25"/>
  <c r="BV228" i="25"/>
  <c r="BU228" i="25"/>
  <c r="BT228" i="25"/>
  <c r="BR228" i="25"/>
  <c r="BQ228" i="25"/>
  <c r="BL228" i="25"/>
  <c r="BK228" i="25"/>
  <c r="BP228" i="25" s="1"/>
  <c r="BH228" i="25"/>
  <c r="BI228" i="25" s="1"/>
  <c r="BG228" i="25"/>
  <c r="BE228" i="25"/>
  <c r="BJ228" i="25" s="1"/>
  <c r="BD228" i="25"/>
  <c r="AV228" i="25"/>
  <c r="AW228" i="25" s="1"/>
  <c r="AT228" i="25"/>
  <c r="AU228" i="25" s="1"/>
  <c r="CA227" i="25"/>
  <c r="BZ227" i="25"/>
  <c r="BY227" i="25"/>
  <c r="BX227" i="25"/>
  <c r="BW227" i="25"/>
  <c r="BV227" i="25"/>
  <c r="BU227" i="25"/>
  <c r="BT227" i="25"/>
  <c r="BR227" i="25"/>
  <c r="BQ227" i="25"/>
  <c r="BL227" i="25"/>
  <c r="BK227" i="25"/>
  <c r="BP227" i="25" s="1"/>
  <c r="BH227" i="25"/>
  <c r="BI227" i="25" s="1"/>
  <c r="BG227" i="25"/>
  <c r="BE227" i="25"/>
  <c r="BF227" i="25" s="1"/>
  <c r="BD227" i="25"/>
  <c r="AV227" i="25"/>
  <c r="AT227" i="25"/>
  <c r="AU227" i="25" s="1"/>
  <c r="CA226" i="25"/>
  <c r="BZ226" i="25"/>
  <c r="BY226" i="25"/>
  <c r="BX226" i="25"/>
  <c r="BW226" i="25"/>
  <c r="BV226" i="25"/>
  <c r="BU226" i="25"/>
  <c r="BT226" i="25"/>
  <c r="BR226" i="25"/>
  <c r="BQ226" i="25"/>
  <c r="BL226" i="25"/>
  <c r="BK226" i="25"/>
  <c r="BP226" i="25" s="1"/>
  <c r="BH226" i="25"/>
  <c r="BI226" i="25" s="1"/>
  <c r="BG226" i="25"/>
  <c r="BE226" i="25"/>
  <c r="BF226" i="25" s="1"/>
  <c r="BD226" i="25"/>
  <c r="AV226" i="25"/>
  <c r="AW226" i="25" s="1"/>
  <c r="AT226" i="25"/>
  <c r="AU226" i="25" s="1"/>
  <c r="CA225" i="25"/>
  <c r="BZ225" i="25"/>
  <c r="BY225" i="25"/>
  <c r="BX225" i="25"/>
  <c r="BW225" i="25"/>
  <c r="BV225" i="25"/>
  <c r="BU225" i="25"/>
  <c r="BT225" i="25"/>
  <c r="BR225" i="25"/>
  <c r="BQ225" i="25"/>
  <c r="BL225" i="25"/>
  <c r="BK225" i="25"/>
  <c r="BP225" i="25" s="1"/>
  <c r="BH225" i="25"/>
  <c r="BI225" i="25" s="1"/>
  <c r="BG225" i="25"/>
  <c r="BE225" i="25"/>
  <c r="BF225" i="25" s="1"/>
  <c r="BD225" i="25"/>
  <c r="AV225" i="25"/>
  <c r="AW225" i="25" s="1"/>
  <c r="AT225" i="25"/>
  <c r="CA224" i="25"/>
  <c r="BZ224" i="25"/>
  <c r="BY224" i="25"/>
  <c r="BX224" i="25"/>
  <c r="BW224" i="25"/>
  <c r="BV224" i="25"/>
  <c r="BU224" i="25"/>
  <c r="BT224" i="25"/>
  <c r="BR224" i="25"/>
  <c r="BQ224" i="25"/>
  <c r="BL224" i="25"/>
  <c r="BK224" i="25"/>
  <c r="BP224" i="25" s="1"/>
  <c r="BH224" i="25"/>
  <c r="BI224" i="25" s="1"/>
  <c r="BG224" i="25"/>
  <c r="BE224" i="25"/>
  <c r="BF224" i="25" s="1"/>
  <c r="BD224" i="25"/>
  <c r="AV224" i="25"/>
  <c r="AW224" i="25" s="1"/>
  <c r="AT224" i="25"/>
  <c r="AU224" i="25" s="1"/>
  <c r="CA223" i="25"/>
  <c r="BZ223" i="25"/>
  <c r="BY223" i="25"/>
  <c r="BX223" i="25"/>
  <c r="BW223" i="25"/>
  <c r="BV223" i="25"/>
  <c r="BU223" i="25"/>
  <c r="BT223" i="25"/>
  <c r="BR223" i="25"/>
  <c r="BQ223" i="25"/>
  <c r="BL223" i="25"/>
  <c r="BK223" i="25"/>
  <c r="BP223" i="25" s="1"/>
  <c r="BH223" i="25"/>
  <c r="BI223" i="25" s="1"/>
  <c r="BG223" i="25"/>
  <c r="BE223" i="25"/>
  <c r="BF223" i="25" s="1"/>
  <c r="BD223" i="25"/>
  <c r="AV223" i="25"/>
  <c r="AT223" i="25"/>
  <c r="AU223" i="25" s="1"/>
  <c r="CA222" i="25"/>
  <c r="BZ222" i="25"/>
  <c r="BY222" i="25"/>
  <c r="BX222" i="25"/>
  <c r="BW222" i="25"/>
  <c r="BV222" i="25"/>
  <c r="BU222" i="25"/>
  <c r="BT222" i="25"/>
  <c r="BR222" i="25"/>
  <c r="BQ222" i="25"/>
  <c r="BL222" i="25"/>
  <c r="BK222" i="25"/>
  <c r="BH222" i="25"/>
  <c r="BI222" i="25" s="1"/>
  <c r="BG222" i="25"/>
  <c r="BE222" i="25"/>
  <c r="BJ222" i="25" s="1"/>
  <c r="BD222" i="25"/>
  <c r="AV222" i="25"/>
  <c r="AW222" i="25" s="1"/>
  <c r="AT222" i="25"/>
  <c r="AU222" i="25" s="1"/>
  <c r="CA221" i="25"/>
  <c r="BZ221" i="25"/>
  <c r="BY221" i="25"/>
  <c r="BX221" i="25"/>
  <c r="BW221" i="25"/>
  <c r="BV221" i="25"/>
  <c r="BU221" i="25"/>
  <c r="BT221" i="25"/>
  <c r="BR221" i="25"/>
  <c r="BQ221" i="25"/>
  <c r="BL221" i="25"/>
  <c r="BK221" i="25"/>
  <c r="BP221" i="25" s="1"/>
  <c r="BH221" i="25"/>
  <c r="BI221" i="25" s="1"/>
  <c r="BG221" i="25"/>
  <c r="BE221" i="25"/>
  <c r="BF221" i="25" s="1"/>
  <c r="BD221" i="25"/>
  <c r="AV221" i="25"/>
  <c r="AT221" i="25"/>
  <c r="AU221" i="25" s="1"/>
  <c r="CA220" i="25"/>
  <c r="BZ220" i="25"/>
  <c r="BY220" i="25"/>
  <c r="BX220" i="25"/>
  <c r="BW220" i="25"/>
  <c r="BV220" i="25"/>
  <c r="BU220" i="25"/>
  <c r="BT220" i="25"/>
  <c r="BR220" i="25"/>
  <c r="BQ220" i="25"/>
  <c r="BL220" i="25"/>
  <c r="BK220" i="25"/>
  <c r="BP220" i="25" s="1"/>
  <c r="BH220" i="25"/>
  <c r="BI220" i="25" s="1"/>
  <c r="BG220" i="25"/>
  <c r="BE220" i="25"/>
  <c r="BJ220" i="25" s="1"/>
  <c r="BD220" i="25"/>
  <c r="AV220" i="25"/>
  <c r="AW220" i="25" s="1"/>
  <c r="AT220" i="25"/>
  <c r="AU220" i="25" s="1"/>
  <c r="CA219" i="25"/>
  <c r="BZ219" i="25"/>
  <c r="BY219" i="25"/>
  <c r="BX219" i="25"/>
  <c r="BW219" i="25"/>
  <c r="BV219" i="25"/>
  <c r="BU219" i="25"/>
  <c r="BT219" i="25"/>
  <c r="BR219" i="25"/>
  <c r="BQ219" i="25"/>
  <c r="BL219" i="25"/>
  <c r="BK219" i="25"/>
  <c r="BP219" i="25" s="1"/>
  <c r="BH219" i="25"/>
  <c r="BI219" i="25" s="1"/>
  <c r="BG219" i="25"/>
  <c r="BE219" i="25"/>
  <c r="BF219" i="25" s="1"/>
  <c r="BD219" i="25"/>
  <c r="AV219" i="25"/>
  <c r="AT219" i="25"/>
  <c r="AU219" i="25" s="1"/>
  <c r="CA218" i="25"/>
  <c r="BZ218" i="25"/>
  <c r="BY218" i="25"/>
  <c r="BX218" i="25"/>
  <c r="BW218" i="25"/>
  <c r="BV218" i="25"/>
  <c r="BU218" i="25"/>
  <c r="BT218" i="25"/>
  <c r="BR218" i="25"/>
  <c r="BQ218" i="25"/>
  <c r="BL218" i="25"/>
  <c r="BK218" i="25"/>
  <c r="BP218" i="25" s="1"/>
  <c r="BH218" i="25"/>
  <c r="BI218" i="25" s="1"/>
  <c r="BG218" i="25"/>
  <c r="BE218" i="25"/>
  <c r="BF218" i="25" s="1"/>
  <c r="BD218" i="25"/>
  <c r="AV218" i="25"/>
  <c r="AW218" i="25" s="1"/>
  <c r="AT218" i="25"/>
  <c r="AU218" i="25" s="1"/>
  <c r="CA217" i="25"/>
  <c r="BZ217" i="25"/>
  <c r="BY217" i="25"/>
  <c r="BX217" i="25"/>
  <c r="BW217" i="25"/>
  <c r="BV217" i="25"/>
  <c r="BU217" i="25"/>
  <c r="BT217" i="25"/>
  <c r="BR217" i="25"/>
  <c r="BQ217" i="25"/>
  <c r="BL217" i="25"/>
  <c r="BK217" i="25"/>
  <c r="BP217" i="25" s="1"/>
  <c r="BH217" i="25"/>
  <c r="BI217" i="25" s="1"/>
  <c r="BG217" i="25"/>
  <c r="BE217" i="25"/>
  <c r="BF217" i="25" s="1"/>
  <c r="BD217" i="25"/>
  <c r="AV217" i="25"/>
  <c r="AW217" i="25" s="1"/>
  <c r="AT217" i="25"/>
  <c r="AU217" i="25" s="1"/>
  <c r="CA216" i="25"/>
  <c r="BZ216" i="25"/>
  <c r="BY216" i="25"/>
  <c r="BX216" i="25"/>
  <c r="BW216" i="25"/>
  <c r="BV216" i="25"/>
  <c r="BU216" i="25"/>
  <c r="BT216" i="25"/>
  <c r="BR216" i="25"/>
  <c r="BQ216" i="25"/>
  <c r="BL216" i="25"/>
  <c r="BK216" i="25"/>
  <c r="BP216" i="25" s="1"/>
  <c r="BH216" i="25"/>
  <c r="BI216" i="25" s="1"/>
  <c r="BG216" i="25"/>
  <c r="BE216" i="25"/>
  <c r="BF216" i="25" s="1"/>
  <c r="BD216" i="25"/>
  <c r="AV216" i="25"/>
  <c r="AT216" i="25"/>
  <c r="AU216" i="25" s="1"/>
  <c r="AT205" i="25"/>
  <c r="AU205" i="25" s="1"/>
  <c r="AT206" i="25"/>
  <c r="AU206" i="25" s="1"/>
  <c r="AT207" i="25"/>
  <c r="AU207" i="25" s="1"/>
  <c r="AT208" i="25"/>
  <c r="AU208" i="25" s="1"/>
  <c r="AT209" i="25"/>
  <c r="AU209" i="25" s="1"/>
  <c r="AT210" i="25"/>
  <c r="AU210" i="25" s="1"/>
  <c r="AT211" i="25"/>
  <c r="AU211" i="25" s="1"/>
  <c r="AT212" i="25"/>
  <c r="AU212" i="25" s="1"/>
  <c r="AT213" i="25"/>
  <c r="AU213" i="25" s="1"/>
  <c r="AT214" i="25"/>
  <c r="AU214" i="25" s="1"/>
  <c r="AT215" i="25"/>
  <c r="AU215" i="25" s="1"/>
  <c r="AV205" i="25"/>
  <c r="AW205" i="25" s="1"/>
  <c r="AV206" i="25"/>
  <c r="AV207" i="25"/>
  <c r="AW207" i="25" s="1"/>
  <c r="AV208" i="25"/>
  <c r="AV209" i="25"/>
  <c r="AW209" i="25" s="1"/>
  <c r="AV210" i="25"/>
  <c r="AW210" i="25" s="1"/>
  <c r="AV211" i="25"/>
  <c r="AW211" i="25" s="1"/>
  <c r="AV212" i="25"/>
  <c r="AW212" i="25" s="1"/>
  <c r="AV213" i="25"/>
  <c r="AW213" i="25" s="1"/>
  <c r="AV214" i="25"/>
  <c r="AV215" i="25"/>
  <c r="BD205" i="25"/>
  <c r="BD206" i="25"/>
  <c r="BD207" i="25"/>
  <c r="BD208" i="25"/>
  <c r="BD209" i="25"/>
  <c r="BD210" i="25"/>
  <c r="BD211" i="25"/>
  <c r="BD212" i="25"/>
  <c r="BD213" i="25"/>
  <c r="BD214" i="25"/>
  <c r="BD215" i="25"/>
  <c r="BE205" i="25"/>
  <c r="BF205" i="25" s="1"/>
  <c r="BE206" i="25"/>
  <c r="BF206" i="25" s="1"/>
  <c r="BE207" i="25"/>
  <c r="BJ207" i="25" s="1"/>
  <c r="BE208" i="25"/>
  <c r="BF208" i="25" s="1"/>
  <c r="BE209" i="25"/>
  <c r="BF209" i="25" s="1"/>
  <c r="BE210" i="25"/>
  <c r="BF210" i="25" s="1"/>
  <c r="BE211" i="25"/>
  <c r="BJ211" i="25" s="1"/>
  <c r="BE212" i="25"/>
  <c r="BF212" i="25" s="1"/>
  <c r="BE213" i="25"/>
  <c r="BJ213" i="25" s="1"/>
  <c r="BE214" i="25"/>
  <c r="BF214" i="25" s="1"/>
  <c r="BE215" i="25"/>
  <c r="BJ215" i="25" s="1"/>
  <c r="BG205" i="25"/>
  <c r="BG206" i="25"/>
  <c r="BG207" i="25"/>
  <c r="BG208" i="25"/>
  <c r="BG209" i="25"/>
  <c r="BG210" i="25"/>
  <c r="BG211" i="25"/>
  <c r="BG212" i="25"/>
  <c r="BG213" i="25"/>
  <c r="BG214" i="25"/>
  <c r="BG215" i="25"/>
  <c r="BH205" i="25"/>
  <c r="BI205" i="25" s="1"/>
  <c r="BH206" i="25"/>
  <c r="BI206" i="25" s="1"/>
  <c r="BH207" i="25"/>
  <c r="BI207" i="25" s="1"/>
  <c r="BH208" i="25"/>
  <c r="BI208" i="25" s="1"/>
  <c r="BH209" i="25"/>
  <c r="BI209" i="25" s="1"/>
  <c r="BH210" i="25"/>
  <c r="BI210" i="25" s="1"/>
  <c r="BH211" i="25"/>
  <c r="BI211" i="25" s="1"/>
  <c r="BH212" i="25"/>
  <c r="BI212" i="25" s="1"/>
  <c r="BH213" i="25"/>
  <c r="BI213" i="25" s="1"/>
  <c r="BH214" i="25"/>
  <c r="BI214" i="25" s="1"/>
  <c r="BH215" i="25"/>
  <c r="BI215" i="25" s="1"/>
  <c r="BK205" i="25"/>
  <c r="BK206" i="25"/>
  <c r="BK207" i="25"/>
  <c r="BP207" i="25" s="1"/>
  <c r="BK208" i="25"/>
  <c r="BK209" i="25"/>
  <c r="BK210" i="25"/>
  <c r="BP210" i="25" s="1"/>
  <c r="BK211" i="25"/>
  <c r="BP211" i="25" s="1"/>
  <c r="BK212" i="25"/>
  <c r="BP212" i="25" s="1"/>
  <c r="BK213" i="25"/>
  <c r="BK214" i="25"/>
  <c r="BK215" i="25"/>
  <c r="BP215" i="25" s="1"/>
  <c r="BL205" i="25"/>
  <c r="BL206" i="25"/>
  <c r="BL207" i="25"/>
  <c r="BL208" i="25"/>
  <c r="BL209" i="25"/>
  <c r="BL210" i="25"/>
  <c r="BL211" i="25"/>
  <c r="BL212" i="25"/>
  <c r="BL213" i="25"/>
  <c r="BL214" i="25"/>
  <c r="BL215" i="25"/>
  <c r="BQ205" i="25"/>
  <c r="BQ206" i="25"/>
  <c r="BQ207" i="25"/>
  <c r="BQ208" i="25"/>
  <c r="BQ209" i="25"/>
  <c r="BQ210" i="25"/>
  <c r="BQ211" i="25"/>
  <c r="BQ212" i="25"/>
  <c r="BQ213" i="25"/>
  <c r="BQ214" i="25"/>
  <c r="BQ215" i="25"/>
  <c r="BR205" i="25"/>
  <c r="BR206" i="25"/>
  <c r="BR207" i="25"/>
  <c r="BR208" i="25"/>
  <c r="BR209" i="25"/>
  <c r="BR210" i="25"/>
  <c r="BR211" i="25"/>
  <c r="BR212" i="25"/>
  <c r="BR213" i="25"/>
  <c r="BR214" i="25"/>
  <c r="BR215" i="25"/>
  <c r="BT205" i="25"/>
  <c r="BT206" i="25"/>
  <c r="BT207" i="25"/>
  <c r="BT208" i="25"/>
  <c r="BT209" i="25"/>
  <c r="BT210" i="25"/>
  <c r="BT211" i="25"/>
  <c r="BT212" i="25"/>
  <c r="BT213" i="25"/>
  <c r="BT214" i="25"/>
  <c r="BT215" i="25"/>
  <c r="BU205" i="25"/>
  <c r="BU206" i="25"/>
  <c r="BU207" i="25"/>
  <c r="BU208" i="25"/>
  <c r="BU209" i="25"/>
  <c r="BU210" i="25"/>
  <c r="BU211" i="25"/>
  <c r="BU212" i="25"/>
  <c r="BU213" i="25"/>
  <c r="BU214" i="25"/>
  <c r="BU215" i="25"/>
  <c r="BV205" i="25"/>
  <c r="BV206" i="25"/>
  <c r="BV207" i="25"/>
  <c r="BV208" i="25"/>
  <c r="BV209" i="25"/>
  <c r="BV210" i="25"/>
  <c r="BV211" i="25"/>
  <c r="BV212" i="25"/>
  <c r="BV213" i="25"/>
  <c r="BV214" i="25"/>
  <c r="BV215" i="25"/>
  <c r="BW205" i="25"/>
  <c r="BW206" i="25"/>
  <c r="BW207" i="25"/>
  <c r="BW208" i="25"/>
  <c r="BW209" i="25"/>
  <c r="BW210" i="25"/>
  <c r="BW211" i="25"/>
  <c r="BW212" i="25"/>
  <c r="BW213" i="25"/>
  <c r="BW214" i="25"/>
  <c r="BW215" i="25"/>
  <c r="BX205" i="25"/>
  <c r="BX206" i="25"/>
  <c r="BX207" i="25"/>
  <c r="BX208" i="25"/>
  <c r="BX209" i="25"/>
  <c r="BX210" i="25"/>
  <c r="BX211" i="25"/>
  <c r="BX212" i="25"/>
  <c r="BX213" i="25"/>
  <c r="BX214" i="25"/>
  <c r="BX215" i="25"/>
  <c r="BY205" i="25"/>
  <c r="BY206" i="25"/>
  <c r="BY207" i="25"/>
  <c r="BY208" i="25"/>
  <c r="BY209" i="25"/>
  <c r="BY210" i="25"/>
  <c r="BY211" i="25"/>
  <c r="BY212" i="25"/>
  <c r="BY213" i="25"/>
  <c r="BY214" i="25"/>
  <c r="BY215" i="25"/>
  <c r="BZ205" i="25"/>
  <c r="BZ206" i="25"/>
  <c r="BZ207" i="25"/>
  <c r="BZ208" i="25"/>
  <c r="BZ209" i="25"/>
  <c r="BZ210" i="25"/>
  <c r="BZ211" i="25"/>
  <c r="BZ212" i="25"/>
  <c r="BZ213" i="25"/>
  <c r="BZ214" i="25"/>
  <c r="BZ215" i="25"/>
  <c r="CA205" i="25"/>
  <c r="CA206" i="25"/>
  <c r="CA207" i="25"/>
  <c r="CA208" i="25"/>
  <c r="CA209" i="25"/>
  <c r="CA210" i="25"/>
  <c r="CA211" i="25"/>
  <c r="CA212" i="25"/>
  <c r="CA213" i="25"/>
  <c r="CA214" i="25"/>
  <c r="CA215" i="25"/>
  <c r="AT203" i="25"/>
  <c r="AU203" i="25" s="1"/>
  <c r="AT204" i="25"/>
  <c r="AU204" i="25" s="1"/>
  <c r="AV203" i="25"/>
  <c r="AW203" i="25" s="1"/>
  <c r="AV204" i="25"/>
  <c r="AW204" i="25" s="1"/>
  <c r="BD203" i="25"/>
  <c r="BD204" i="25"/>
  <c r="BE203" i="25"/>
  <c r="BF203" i="25" s="1"/>
  <c r="BE204" i="25"/>
  <c r="BF204" i="25" s="1"/>
  <c r="BG203" i="25"/>
  <c r="BG204" i="25"/>
  <c r="BH203" i="25"/>
  <c r="BI203" i="25" s="1"/>
  <c r="BH204" i="25"/>
  <c r="BI204" i="25" s="1"/>
  <c r="BK203" i="25"/>
  <c r="BP203" i="25" s="1"/>
  <c r="BK204" i="25"/>
  <c r="BL203" i="25"/>
  <c r="BL204" i="25"/>
  <c r="BQ203" i="25"/>
  <c r="BQ204" i="25"/>
  <c r="BR203" i="25"/>
  <c r="BR204" i="25"/>
  <c r="BT203" i="25"/>
  <c r="BT204" i="25"/>
  <c r="BU203" i="25"/>
  <c r="BU204" i="25"/>
  <c r="BV203" i="25"/>
  <c r="BV204" i="25"/>
  <c r="BW203" i="25"/>
  <c r="BW204" i="25"/>
  <c r="BX203" i="25"/>
  <c r="BX204" i="25"/>
  <c r="BY203" i="25"/>
  <c r="BY204" i="25"/>
  <c r="BZ203" i="25"/>
  <c r="BZ204" i="25"/>
  <c r="CA203" i="25"/>
  <c r="CA204" i="25"/>
  <c r="AT202" i="25"/>
  <c r="AU202" i="25" s="1"/>
  <c r="AV202" i="25"/>
  <c r="AW202" i="25" s="1"/>
  <c r="BD202" i="25"/>
  <c r="BE202" i="25"/>
  <c r="BJ202" i="25" s="1"/>
  <c r="BG202" i="25"/>
  <c r="BH202" i="25"/>
  <c r="BI202" i="25" s="1"/>
  <c r="BK202" i="25"/>
  <c r="BP202" i="25" s="1"/>
  <c r="BL202" i="25"/>
  <c r="BQ202" i="25"/>
  <c r="BR202" i="25"/>
  <c r="BT202" i="25"/>
  <c r="BU202" i="25"/>
  <c r="BV202" i="25"/>
  <c r="BW202" i="25"/>
  <c r="BX202" i="25"/>
  <c r="BY202" i="25"/>
  <c r="BZ202" i="25"/>
  <c r="CA202" i="25"/>
  <c r="BS223" i="25" l="1"/>
  <c r="BM223" i="25" s="1"/>
  <c r="BN223" i="25" s="1"/>
  <c r="BO223" i="25" s="1"/>
  <c r="BF229" i="25"/>
  <c r="BS209" i="25"/>
  <c r="BM209" i="25" s="1"/>
  <c r="BN209" i="25" s="1"/>
  <c r="BO209" i="25" s="1"/>
  <c r="AX230" i="25"/>
  <c r="BA230" i="25" s="1"/>
  <c r="BB230" i="25" s="1"/>
  <c r="BS221" i="25"/>
  <c r="BM221" i="25" s="1"/>
  <c r="BN221" i="25" s="1"/>
  <c r="BO221" i="25" s="1"/>
  <c r="AU230" i="25"/>
  <c r="AY230" i="25" s="1"/>
  <c r="AZ230" i="25" s="1"/>
  <c r="BC230" i="25" s="1"/>
  <c r="BS226" i="25"/>
  <c r="BM226" i="25" s="1"/>
  <c r="BN226" i="25" s="1"/>
  <c r="BO226" i="25" s="1"/>
  <c r="BS217" i="25"/>
  <c r="BM217" i="25" s="1"/>
  <c r="BN217" i="25" s="1"/>
  <c r="BO217" i="25" s="1"/>
  <c r="BS216" i="25"/>
  <c r="BM216" i="25" s="1"/>
  <c r="BN216" i="25" s="1"/>
  <c r="BO216" i="25" s="1"/>
  <c r="BJ234" i="25"/>
  <c r="BS214" i="25"/>
  <c r="BM214" i="25" s="1"/>
  <c r="BN214" i="25" s="1"/>
  <c r="BO214" i="25" s="1"/>
  <c r="BJ225" i="25"/>
  <c r="AY231" i="25"/>
  <c r="AZ231" i="25" s="1"/>
  <c r="BC231" i="25" s="1"/>
  <c r="BJ212" i="25"/>
  <c r="BS210" i="25"/>
  <c r="BM210" i="25" s="1"/>
  <c r="BN210" i="25" s="1"/>
  <c r="BO210" i="25" s="1"/>
  <c r="BS213" i="25"/>
  <c r="BM213" i="25" s="1"/>
  <c r="BN213" i="25" s="1"/>
  <c r="BO213" i="25" s="1"/>
  <c r="BS205" i="25"/>
  <c r="BM205" i="25" s="1"/>
  <c r="BN205" i="25" s="1"/>
  <c r="BO205" i="25" s="1"/>
  <c r="BS231" i="25"/>
  <c r="BM231" i="25" s="1"/>
  <c r="BN231" i="25" s="1"/>
  <c r="BO231" i="25" s="1"/>
  <c r="AY217" i="25"/>
  <c r="AZ217" i="25" s="1"/>
  <c r="BC217" i="25" s="1"/>
  <c r="AY222" i="25"/>
  <c r="AZ222" i="25" s="1"/>
  <c r="BC222" i="25" s="1"/>
  <c r="BS222" i="25"/>
  <c r="BM222" i="25" s="1"/>
  <c r="BN222" i="25" s="1"/>
  <c r="BO222" i="25" s="1"/>
  <c r="BS225" i="25"/>
  <c r="BM225" i="25" s="1"/>
  <c r="BN225" i="25" s="1"/>
  <c r="BO225" i="25" s="1"/>
  <c r="AX222" i="25"/>
  <c r="BA222" i="25" s="1"/>
  <c r="BB222" i="25" s="1"/>
  <c r="BS232" i="25"/>
  <c r="BM232" i="25" s="1"/>
  <c r="BN232" i="25" s="1"/>
  <c r="BO232" i="25" s="1"/>
  <c r="AX216" i="25"/>
  <c r="BA216" i="25" s="1"/>
  <c r="BB216" i="25" s="1"/>
  <c r="AX231" i="25"/>
  <c r="BA231" i="25" s="1"/>
  <c r="BB231" i="25" s="1"/>
  <c r="BS212" i="25"/>
  <c r="BM212" i="25" s="1"/>
  <c r="BN212" i="25" s="1"/>
  <c r="BO212" i="25" s="1"/>
  <c r="BJ209" i="25"/>
  <c r="BS208" i="25"/>
  <c r="BM208" i="25" s="1"/>
  <c r="BN208" i="25" s="1"/>
  <c r="BO208" i="25" s="1"/>
  <c r="BS219" i="25"/>
  <c r="BM219" i="25" s="1"/>
  <c r="BN219" i="25" s="1"/>
  <c r="BO219" i="25" s="1"/>
  <c r="AX223" i="25"/>
  <c r="BA223" i="25" s="1"/>
  <c r="BB223" i="25" s="1"/>
  <c r="AX208" i="25"/>
  <c r="BA208" i="25" s="1"/>
  <c r="BB208" i="25" s="1"/>
  <c r="AX221" i="25"/>
  <c r="BA221" i="25" s="1"/>
  <c r="BB221" i="25" s="1"/>
  <c r="BS206" i="25"/>
  <c r="BM206" i="25" s="1"/>
  <c r="BN206" i="25" s="1"/>
  <c r="BO206" i="25" s="1"/>
  <c r="AX217" i="25"/>
  <c r="BA217" i="25" s="1"/>
  <c r="BB217" i="25" s="1"/>
  <c r="BJ223" i="25"/>
  <c r="AY224" i="25"/>
  <c r="AZ224" i="25" s="1"/>
  <c r="BC224" i="25" s="1"/>
  <c r="BJ226" i="25"/>
  <c r="AX227" i="25"/>
  <c r="BA227" i="25" s="1"/>
  <c r="BB227" i="25" s="1"/>
  <c r="BS227" i="25"/>
  <c r="BM227" i="25" s="1"/>
  <c r="BN227" i="25" s="1"/>
  <c r="BO227" i="25" s="1"/>
  <c r="AX229" i="25"/>
  <c r="BA229" i="25" s="1"/>
  <c r="BB229" i="25" s="1"/>
  <c r="BF222" i="25"/>
  <c r="BS230" i="25"/>
  <c r="BM230" i="25" s="1"/>
  <c r="BN230" i="25" s="1"/>
  <c r="BO230" i="25" s="1"/>
  <c r="BS215" i="25"/>
  <c r="BM215" i="25" s="1"/>
  <c r="BN215" i="25" s="1"/>
  <c r="BO215" i="25" s="1"/>
  <c r="BS207" i="25"/>
  <c r="BM207" i="25" s="1"/>
  <c r="BN207" i="25" s="1"/>
  <c r="BO207" i="25" s="1"/>
  <c r="BS229" i="25"/>
  <c r="BM229" i="25" s="1"/>
  <c r="BN229" i="25" s="1"/>
  <c r="BO229" i="25" s="1"/>
  <c r="AY218" i="25"/>
  <c r="AZ218" i="25" s="1"/>
  <c r="BC218" i="25" s="1"/>
  <c r="AX220" i="25"/>
  <c r="BA220" i="25" s="1"/>
  <c r="BB220" i="25" s="1"/>
  <c r="BS220" i="25"/>
  <c r="BM220" i="25" s="1"/>
  <c r="BN220" i="25" s="1"/>
  <c r="BO220" i="25" s="1"/>
  <c r="BS233" i="25"/>
  <c r="BM233" i="25" s="1"/>
  <c r="BN233" i="25" s="1"/>
  <c r="BO233" i="25" s="1"/>
  <c r="BS218" i="25"/>
  <c r="BM218" i="25" s="1"/>
  <c r="BN218" i="25" s="1"/>
  <c r="BO218" i="25" s="1"/>
  <c r="BS211" i="25"/>
  <c r="BM211" i="25" s="1"/>
  <c r="BN211" i="25" s="1"/>
  <c r="BO211" i="25" s="1"/>
  <c r="BJ210" i="25"/>
  <c r="AY228" i="25"/>
  <c r="AZ228" i="25" s="1"/>
  <c r="BC228" i="25" s="1"/>
  <c r="BJ233" i="25"/>
  <c r="AX233" i="25"/>
  <c r="BA233" i="25" s="1"/>
  <c r="BB233" i="25" s="1"/>
  <c r="BS204" i="25"/>
  <c r="BM204" i="25" s="1"/>
  <c r="BN204" i="25" s="1"/>
  <c r="BO204" i="25" s="1"/>
  <c r="BF215" i="25"/>
  <c r="AX213" i="25"/>
  <c r="BA213" i="25" s="1"/>
  <c r="BB213" i="25" s="1"/>
  <c r="AY210" i="25"/>
  <c r="AZ210" i="25" s="1"/>
  <c r="BC210" i="25" s="1"/>
  <c r="BJ221" i="25"/>
  <c r="BS228" i="25"/>
  <c r="BM228" i="25" s="1"/>
  <c r="BN228" i="25" s="1"/>
  <c r="BO228" i="25" s="1"/>
  <c r="BJ232" i="25"/>
  <c r="AX232" i="25"/>
  <c r="BA232" i="25" s="1"/>
  <c r="BB232" i="25" s="1"/>
  <c r="AX203" i="25"/>
  <c r="BA203" i="25" s="1"/>
  <c r="BB203" i="25" s="1"/>
  <c r="AX205" i="25"/>
  <c r="BA205" i="25" s="1"/>
  <c r="BB205" i="25" s="1"/>
  <c r="AW221" i="25"/>
  <c r="AY221" i="25" s="1"/>
  <c r="AZ221" i="25" s="1"/>
  <c r="BC221" i="25" s="1"/>
  <c r="AX224" i="25"/>
  <c r="BA224" i="25" s="1"/>
  <c r="BB224" i="25" s="1"/>
  <c r="BJ231" i="25"/>
  <c r="AY220" i="25"/>
  <c r="AZ220" i="25" s="1"/>
  <c r="BC220" i="25" s="1"/>
  <c r="BS224" i="25"/>
  <c r="BM224" i="25" s="1"/>
  <c r="BN224" i="25" s="1"/>
  <c r="BO224" i="25" s="1"/>
  <c r="AY229" i="25"/>
  <c r="AZ229" i="25" s="1"/>
  <c r="BC229" i="25" s="1"/>
  <c r="BS234" i="25"/>
  <c r="BM234" i="25" s="1"/>
  <c r="BN234" i="25" s="1"/>
  <c r="BO234" i="25" s="1"/>
  <c r="AX215" i="25"/>
  <c r="BA215" i="25" s="1"/>
  <c r="BB215" i="25" s="1"/>
  <c r="AX207" i="25"/>
  <c r="BA207" i="25" s="1"/>
  <c r="BB207" i="25" s="1"/>
  <c r="AW216" i="25"/>
  <c r="AY216" i="25" s="1"/>
  <c r="AZ216" i="25" s="1"/>
  <c r="BC216" i="25" s="1"/>
  <c r="AY226" i="25"/>
  <c r="AZ226" i="25" s="1"/>
  <c r="BC226" i="25" s="1"/>
  <c r="BJ205" i="25"/>
  <c r="AX214" i="25"/>
  <c r="BA214" i="25" s="1"/>
  <c r="BB214" i="25" s="1"/>
  <c r="AX206" i="25"/>
  <c r="BA206" i="25" s="1"/>
  <c r="BB206" i="25" s="1"/>
  <c r="BJ218" i="25"/>
  <c r="AX219" i="25"/>
  <c r="BA219" i="25" s="1"/>
  <c r="BB219" i="25" s="1"/>
  <c r="AX225" i="25"/>
  <c r="BA225" i="25" s="1"/>
  <c r="BB225" i="25" s="1"/>
  <c r="AX226" i="25"/>
  <c r="BA226" i="25" s="1"/>
  <c r="BB226" i="25" s="1"/>
  <c r="AY232" i="25"/>
  <c r="AZ232" i="25" s="1"/>
  <c r="BC232" i="25" s="1"/>
  <c r="AY234" i="25"/>
  <c r="AZ234" i="25" s="1"/>
  <c r="BC234" i="25" s="1"/>
  <c r="AY233" i="25"/>
  <c r="AZ233" i="25" s="1"/>
  <c r="BC233" i="25" s="1"/>
  <c r="BJ206" i="25"/>
  <c r="BF213" i="25"/>
  <c r="BJ216" i="25"/>
  <c r="BF220" i="25"/>
  <c r="BP222" i="25"/>
  <c r="AW223" i="25"/>
  <c r="AY223" i="25" s="1"/>
  <c r="AZ223" i="25" s="1"/>
  <c r="BC223" i="25" s="1"/>
  <c r="BJ224" i="25"/>
  <c r="AX228" i="25"/>
  <c r="BA228" i="25" s="1"/>
  <c r="BB228" i="25" s="1"/>
  <c r="BF228" i="25"/>
  <c r="AY213" i="25"/>
  <c r="AZ213" i="25" s="1"/>
  <c r="BC213" i="25" s="1"/>
  <c r="AY205" i="25"/>
  <c r="AZ205" i="25" s="1"/>
  <c r="BC205" i="25" s="1"/>
  <c r="BJ219" i="25"/>
  <c r="BJ227" i="25"/>
  <c r="AY204" i="25"/>
  <c r="AZ204" i="25" s="1"/>
  <c r="BC204" i="25" s="1"/>
  <c r="BP208" i="25"/>
  <c r="BF207" i="25"/>
  <c r="AW215" i="25"/>
  <c r="AY215" i="25" s="1"/>
  <c r="AZ215" i="25" s="1"/>
  <c r="BC215" i="25" s="1"/>
  <c r="AX218" i="25"/>
  <c r="BA218" i="25" s="1"/>
  <c r="BB218" i="25" s="1"/>
  <c r="BJ230" i="25"/>
  <c r="AX234" i="25"/>
  <c r="BA234" i="25" s="1"/>
  <c r="BB234" i="25" s="1"/>
  <c r="BJ214" i="25"/>
  <c r="BJ217" i="25"/>
  <c r="AX210" i="25"/>
  <c r="BA210" i="25" s="1"/>
  <c r="BB210" i="25" s="1"/>
  <c r="AW219" i="25"/>
  <c r="AY219" i="25" s="1"/>
  <c r="AZ219" i="25" s="1"/>
  <c r="BC219" i="25" s="1"/>
  <c r="AU225" i="25"/>
  <c r="AY225" i="25" s="1"/>
  <c r="AZ225" i="25" s="1"/>
  <c r="BC225" i="25" s="1"/>
  <c r="AW227" i="25"/>
  <c r="AY227" i="25" s="1"/>
  <c r="AZ227" i="25" s="1"/>
  <c r="BC227" i="25" s="1"/>
  <c r="AW208" i="25"/>
  <c r="AY208" i="25" s="1"/>
  <c r="AZ208" i="25" s="1"/>
  <c r="BC208" i="25" s="1"/>
  <c r="AY207" i="25"/>
  <c r="AZ207" i="25" s="1"/>
  <c r="BC207" i="25" s="1"/>
  <c r="AY209" i="25"/>
  <c r="AZ209" i="25" s="1"/>
  <c r="BC209" i="25" s="1"/>
  <c r="AY212" i="25"/>
  <c r="AZ212" i="25" s="1"/>
  <c r="BC212" i="25" s="1"/>
  <c r="AY211" i="25"/>
  <c r="AZ211" i="25" s="1"/>
  <c r="BC211" i="25" s="1"/>
  <c r="BP214" i="25"/>
  <c r="BP206" i="25"/>
  <c r="BJ208" i="25"/>
  <c r="AX212" i="25"/>
  <c r="BA212" i="25" s="1"/>
  <c r="BB212" i="25" s="1"/>
  <c r="BS202" i="25"/>
  <c r="BM202" i="25" s="1"/>
  <c r="BN202" i="25" s="1"/>
  <c r="BO202" i="25" s="1"/>
  <c r="BP213" i="25"/>
  <c r="BP205" i="25"/>
  <c r="BF211" i="25"/>
  <c r="AX211" i="25"/>
  <c r="BA211" i="25" s="1"/>
  <c r="BB211" i="25" s="1"/>
  <c r="AW214" i="25"/>
  <c r="AY214" i="25" s="1"/>
  <c r="AZ214" i="25" s="1"/>
  <c r="BC214" i="25" s="1"/>
  <c r="AW206" i="25"/>
  <c r="AY206" i="25" s="1"/>
  <c r="AZ206" i="25" s="1"/>
  <c r="BC206" i="25" s="1"/>
  <c r="AX209" i="25"/>
  <c r="BA209" i="25" s="1"/>
  <c r="BB209" i="25" s="1"/>
  <c r="BP209" i="25"/>
  <c r="AX204" i="25"/>
  <c r="BA204" i="25" s="1"/>
  <c r="BB204" i="25" s="1"/>
  <c r="AY203" i="25"/>
  <c r="AZ203" i="25" s="1"/>
  <c r="BC203" i="25" s="1"/>
  <c r="AX202" i="25"/>
  <c r="BA202" i="25" s="1"/>
  <c r="BB202" i="25" s="1"/>
  <c r="BS203" i="25"/>
  <c r="BM203" i="25" s="1"/>
  <c r="BN203" i="25" s="1"/>
  <c r="BO203" i="25" s="1"/>
  <c r="AY202" i="25"/>
  <c r="AZ202" i="25" s="1"/>
  <c r="BC202" i="25" s="1"/>
  <c r="BP204" i="25"/>
  <c r="BF202" i="25"/>
  <c r="BJ204" i="25"/>
  <c r="BJ203" i="25"/>
  <c r="AV62" i="25"/>
  <c r="D39" i="92" l="1"/>
  <c r="N37" i="92"/>
  <c r="D40" i="92"/>
  <c r="G133" i="25" l="1"/>
  <c r="AT133" i="25"/>
  <c r="AU133" i="25" s="1"/>
  <c r="AV133" i="25"/>
  <c r="AW133" i="25" s="1"/>
  <c r="BD133" i="25"/>
  <c r="BE133" i="25"/>
  <c r="BJ133" i="25" s="1"/>
  <c r="BG133" i="25"/>
  <c r="BH133" i="25"/>
  <c r="BI133" i="25" s="1"/>
  <c r="BK133" i="25"/>
  <c r="BP133" i="25" s="1"/>
  <c r="BL133" i="25"/>
  <c r="BQ133" i="25"/>
  <c r="BR133" i="25"/>
  <c r="BT133" i="25"/>
  <c r="BU133" i="25"/>
  <c r="BV133" i="25"/>
  <c r="BW133" i="25"/>
  <c r="BX133" i="25"/>
  <c r="BY133" i="25"/>
  <c r="BZ133" i="25"/>
  <c r="CA133" i="25"/>
  <c r="O143" i="92"/>
  <c r="Q123" i="92"/>
  <c r="O147" i="92"/>
  <c r="O146" i="92"/>
  <c r="U78" i="92"/>
  <c r="P143" i="92" l="1"/>
  <c r="P147" i="92" s="1"/>
  <c r="P146" i="92"/>
  <c r="BS133" i="25"/>
  <c r="BM133" i="25" s="1"/>
  <c r="BN133" i="25" s="1"/>
  <c r="BO133" i="25" s="1"/>
  <c r="AY133" i="25"/>
  <c r="AZ133" i="25" s="1"/>
  <c r="BC133" i="25" s="1"/>
  <c r="BF133" i="25"/>
  <c r="AX133" i="25"/>
  <c r="BA133" i="25" s="1"/>
  <c r="BB133" i="25" s="1"/>
  <c r="G39" i="89"/>
  <c r="R123" i="92"/>
  <c r="V78" i="92"/>
  <c r="O38" i="89" l="1"/>
  <c r="N38" i="89"/>
  <c r="M38" i="89"/>
  <c r="L38" i="89"/>
  <c r="K38" i="89"/>
  <c r="J38" i="89"/>
  <c r="H38" i="89"/>
  <c r="I38" i="89" s="1"/>
  <c r="G181" i="25"/>
  <c r="G182" i="25"/>
  <c r="G183" i="25"/>
  <c r="G184" i="25"/>
  <c r="G185" i="25"/>
  <c r="G186" i="25"/>
  <c r="G187" i="25"/>
  <c r="G188" i="25"/>
  <c r="G189" i="25"/>
  <c r="G190" i="25"/>
  <c r="G191" i="25"/>
  <c r="G192" i="25"/>
  <c r="G193" i="25"/>
  <c r="G194" i="25"/>
  <c r="G195" i="25"/>
  <c r="G196" i="25"/>
  <c r="G197" i="25"/>
  <c r="G198" i="25"/>
  <c r="G199" i="25"/>
  <c r="G200" i="25"/>
  <c r="G201" i="25"/>
  <c r="AT181" i="25"/>
  <c r="AU181" i="25" s="1"/>
  <c r="AT182" i="25"/>
  <c r="AT183" i="25"/>
  <c r="AT184" i="25"/>
  <c r="AU184" i="25" s="1"/>
  <c r="AT185" i="25"/>
  <c r="AU185" i="25" s="1"/>
  <c r="AT186" i="25"/>
  <c r="AT187" i="25"/>
  <c r="AU187" i="25" s="1"/>
  <c r="AT188" i="25"/>
  <c r="AU188" i="25" s="1"/>
  <c r="AT189" i="25"/>
  <c r="AU189" i="25" s="1"/>
  <c r="AT190" i="25"/>
  <c r="AT191" i="25"/>
  <c r="AT192" i="25"/>
  <c r="AU192" i="25" s="1"/>
  <c r="AT193" i="25"/>
  <c r="AU193" i="25" s="1"/>
  <c r="AT194" i="25"/>
  <c r="AU194" i="25" s="1"/>
  <c r="AT195" i="25"/>
  <c r="AU195" i="25" s="1"/>
  <c r="AT196" i="25"/>
  <c r="AU196" i="25" s="1"/>
  <c r="AT197" i="25"/>
  <c r="AU197" i="25" s="1"/>
  <c r="AT198" i="25"/>
  <c r="AT199" i="25"/>
  <c r="AT200" i="25"/>
  <c r="AU200" i="25" s="1"/>
  <c r="AT201" i="25"/>
  <c r="AU201" i="25" s="1"/>
  <c r="AU186" i="25"/>
  <c r="AV181" i="25"/>
  <c r="AV182" i="25"/>
  <c r="AW182" i="25" s="1"/>
  <c r="AV183" i="25"/>
  <c r="AW183" i="25" s="1"/>
  <c r="AV184" i="25"/>
  <c r="AW184" i="25" s="1"/>
  <c r="AV185" i="25"/>
  <c r="AW185" i="25" s="1"/>
  <c r="AV186" i="25"/>
  <c r="AV187" i="25"/>
  <c r="AV188" i="25"/>
  <c r="AW188" i="25" s="1"/>
  <c r="AV189" i="25"/>
  <c r="AV190" i="25"/>
  <c r="AW190" i="25" s="1"/>
  <c r="AV191" i="25"/>
  <c r="AW191" i="25" s="1"/>
  <c r="AV192" i="25"/>
  <c r="AW192" i="25" s="1"/>
  <c r="AV193" i="25"/>
  <c r="AW193" i="25" s="1"/>
  <c r="AV194" i="25"/>
  <c r="AV195" i="25"/>
  <c r="AW195" i="25" s="1"/>
  <c r="AV196" i="25"/>
  <c r="AW196" i="25" s="1"/>
  <c r="AV197" i="25"/>
  <c r="AV198" i="25"/>
  <c r="AW198" i="25" s="1"/>
  <c r="AV199" i="25"/>
  <c r="AW199" i="25" s="1"/>
  <c r="AV200" i="25"/>
  <c r="AW200" i="25" s="1"/>
  <c r="AV201" i="25"/>
  <c r="AW201" i="25" s="1"/>
  <c r="BD181" i="25"/>
  <c r="BD182" i="25"/>
  <c r="BD183" i="25"/>
  <c r="BD184" i="25"/>
  <c r="BD185" i="25"/>
  <c r="BD186" i="25"/>
  <c r="BD187" i="25"/>
  <c r="BD188" i="25"/>
  <c r="BD189" i="25"/>
  <c r="BD190" i="25"/>
  <c r="BD191" i="25"/>
  <c r="BD192" i="25"/>
  <c r="BD193" i="25"/>
  <c r="BD194" i="25"/>
  <c r="BD195" i="25"/>
  <c r="BD196" i="25"/>
  <c r="BD197" i="25"/>
  <c r="BD198" i="25"/>
  <c r="BD199" i="25"/>
  <c r="BD200" i="25"/>
  <c r="BD201" i="25"/>
  <c r="BE181" i="25"/>
  <c r="BJ181" i="25" s="1"/>
  <c r="BE182" i="25"/>
  <c r="BF182" i="25" s="1"/>
  <c r="BE183" i="25"/>
  <c r="BF183" i="25" s="1"/>
  <c r="BE184" i="25"/>
  <c r="BJ184" i="25" s="1"/>
  <c r="BE185" i="25"/>
  <c r="BF185" i="25" s="1"/>
  <c r="BE186" i="25"/>
  <c r="BF186" i="25" s="1"/>
  <c r="BE187" i="25"/>
  <c r="BJ187" i="25" s="1"/>
  <c r="BE188" i="25"/>
  <c r="BF188" i="25" s="1"/>
  <c r="BE189" i="25"/>
  <c r="BJ189" i="25" s="1"/>
  <c r="BE190" i="25"/>
  <c r="BF190" i="25" s="1"/>
  <c r="BE191" i="25"/>
  <c r="BF191" i="25" s="1"/>
  <c r="BE192" i="25"/>
  <c r="BJ192" i="25" s="1"/>
  <c r="BE193" i="25"/>
  <c r="BF193" i="25" s="1"/>
  <c r="BE194" i="25"/>
  <c r="BF194" i="25" s="1"/>
  <c r="BE195" i="25"/>
  <c r="BJ195" i="25" s="1"/>
  <c r="BE196" i="25"/>
  <c r="BF196" i="25" s="1"/>
  <c r="BE197" i="25"/>
  <c r="BJ197" i="25" s="1"/>
  <c r="BE198" i="25"/>
  <c r="BF198" i="25" s="1"/>
  <c r="BE199" i="25"/>
  <c r="BF199" i="25" s="1"/>
  <c r="BE200" i="25"/>
  <c r="BJ200" i="25" s="1"/>
  <c r="BE201" i="25"/>
  <c r="BF201" i="25" s="1"/>
  <c r="BG181" i="25"/>
  <c r="BG182" i="25"/>
  <c r="BG183" i="25"/>
  <c r="BG184" i="25"/>
  <c r="BG185" i="25"/>
  <c r="BG186" i="25"/>
  <c r="BG187" i="25"/>
  <c r="BG188" i="25"/>
  <c r="BG189" i="25"/>
  <c r="BG190" i="25"/>
  <c r="BG191" i="25"/>
  <c r="BG192" i="25"/>
  <c r="BG193" i="25"/>
  <c r="BG194" i="25"/>
  <c r="BG195" i="25"/>
  <c r="BG196" i="25"/>
  <c r="BG197" i="25"/>
  <c r="BG198" i="25"/>
  <c r="BG199" i="25"/>
  <c r="BG200" i="25"/>
  <c r="BG201" i="25"/>
  <c r="BH181" i="25"/>
  <c r="BI181" i="25" s="1"/>
  <c r="BH182" i="25"/>
  <c r="BI182" i="25" s="1"/>
  <c r="BH183" i="25"/>
  <c r="BI183" i="25" s="1"/>
  <c r="BH184" i="25"/>
  <c r="BI184" i="25" s="1"/>
  <c r="BH185" i="25"/>
  <c r="BI185" i="25" s="1"/>
  <c r="BH186" i="25"/>
  <c r="BI186" i="25" s="1"/>
  <c r="BH187" i="25"/>
  <c r="BI187" i="25" s="1"/>
  <c r="BH188" i="25"/>
  <c r="BI188" i="25" s="1"/>
  <c r="BH189" i="25"/>
  <c r="BI189" i="25" s="1"/>
  <c r="BH190" i="25"/>
  <c r="BI190" i="25" s="1"/>
  <c r="BH191" i="25"/>
  <c r="BI191" i="25" s="1"/>
  <c r="BH192" i="25"/>
  <c r="BI192" i="25" s="1"/>
  <c r="BH193" i="25"/>
  <c r="BI193" i="25" s="1"/>
  <c r="BH194" i="25"/>
  <c r="BI194" i="25" s="1"/>
  <c r="BH195" i="25"/>
  <c r="BI195" i="25" s="1"/>
  <c r="BH196" i="25"/>
  <c r="BI196" i="25" s="1"/>
  <c r="BH197" i="25"/>
  <c r="BI197" i="25" s="1"/>
  <c r="BH198" i="25"/>
  <c r="BI198" i="25" s="1"/>
  <c r="BH199" i="25"/>
  <c r="BI199" i="25" s="1"/>
  <c r="BH200" i="25"/>
  <c r="BI200" i="25" s="1"/>
  <c r="BH201" i="25"/>
  <c r="BI201" i="25" s="1"/>
  <c r="BK181" i="25"/>
  <c r="BP181" i="25" s="1"/>
  <c r="BK182" i="25"/>
  <c r="BP182" i="25" s="1"/>
  <c r="BK183" i="25"/>
  <c r="BP183" i="25" s="1"/>
  <c r="BK184" i="25"/>
  <c r="BP184" i="25" s="1"/>
  <c r="BK185" i="25"/>
  <c r="BP185" i="25" s="1"/>
  <c r="BK186" i="25"/>
  <c r="BP186" i="25" s="1"/>
  <c r="BK187" i="25"/>
  <c r="BP187" i="25" s="1"/>
  <c r="BK188" i="25"/>
  <c r="BP188" i="25" s="1"/>
  <c r="BK189" i="25"/>
  <c r="BP189" i="25" s="1"/>
  <c r="BK190" i="25"/>
  <c r="BP190" i="25" s="1"/>
  <c r="BK191" i="25"/>
  <c r="BP191" i="25" s="1"/>
  <c r="BK192" i="25"/>
  <c r="BP192" i="25" s="1"/>
  <c r="BK193" i="25"/>
  <c r="BP193" i="25" s="1"/>
  <c r="BK194" i="25"/>
  <c r="BP194" i="25" s="1"/>
  <c r="BK195" i="25"/>
  <c r="BP195" i="25" s="1"/>
  <c r="BK196" i="25"/>
  <c r="BP196" i="25" s="1"/>
  <c r="BK197" i="25"/>
  <c r="BP197" i="25" s="1"/>
  <c r="BK198" i="25"/>
  <c r="BP198" i="25" s="1"/>
  <c r="BK199" i="25"/>
  <c r="BP199" i="25" s="1"/>
  <c r="BK200" i="25"/>
  <c r="BP200" i="25" s="1"/>
  <c r="BK201" i="25"/>
  <c r="BP201" i="25" s="1"/>
  <c r="BL181" i="25"/>
  <c r="BL182" i="25"/>
  <c r="BL183" i="25"/>
  <c r="BL184" i="25"/>
  <c r="BL185" i="25"/>
  <c r="BL186" i="25"/>
  <c r="BL187" i="25"/>
  <c r="BL188" i="25"/>
  <c r="BL189" i="25"/>
  <c r="BL190" i="25"/>
  <c r="BL191" i="25"/>
  <c r="BL192" i="25"/>
  <c r="BL193" i="25"/>
  <c r="BL194" i="25"/>
  <c r="BL195" i="25"/>
  <c r="BL196" i="25"/>
  <c r="BL197" i="25"/>
  <c r="BL198" i="25"/>
  <c r="BL199" i="25"/>
  <c r="BL200" i="25"/>
  <c r="BL201" i="25"/>
  <c r="BQ181" i="25"/>
  <c r="BQ182" i="25"/>
  <c r="BQ183" i="25"/>
  <c r="BQ184" i="25"/>
  <c r="BQ185" i="25"/>
  <c r="BQ186" i="25"/>
  <c r="BQ187" i="25"/>
  <c r="BQ188" i="25"/>
  <c r="BQ189" i="25"/>
  <c r="BQ190" i="25"/>
  <c r="BQ191" i="25"/>
  <c r="BQ192" i="25"/>
  <c r="BQ193" i="25"/>
  <c r="BQ194" i="25"/>
  <c r="BQ195" i="25"/>
  <c r="BQ196" i="25"/>
  <c r="BQ197" i="25"/>
  <c r="BQ198" i="25"/>
  <c r="BQ199" i="25"/>
  <c r="BQ200" i="25"/>
  <c r="BQ201" i="25"/>
  <c r="BR181" i="25"/>
  <c r="BR182" i="25"/>
  <c r="BR183" i="25"/>
  <c r="BR184" i="25"/>
  <c r="BR185" i="25"/>
  <c r="BR186" i="25"/>
  <c r="BR187" i="25"/>
  <c r="BR188" i="25"/>
  <c r="BR189" i="25"/>
  <c r="BR190" i="25"/>
  <c r="BR191" i="25"/>
  <c r="BR192" i="25"/>
  <c r="BR193" i="25"/>
  <c r="BR194" i="25"/>
  <c r="BR195" i="25"/>
  <c r="BR196" i="25"/>
  <c r="BR197" i="25"/>
  <c r="BR198" i="25"/>
  <c r="BR199" i="25"/>
  <c r="BR200" i="25"/>
  <c r="BR201" i="25"/>
  <c r="BT181" i="25"/>
  <c r="BT182" i="25"/>
  <c r="BT183" i="25"/>
  <c r="BT184" i="25"/>
  <c r="BT185" i="25"/>
  <c r="BT186" i="25"/>
  <c r="BT187" i="25"/>
  <c r="BT188" i="25"/>
  <c r="BT189" i="25"/>
  <c r="BT190" i="25"/>
  <c r="BT191" i="25"/>
  <c r="BT192" i="25"/>
  <c r="BT193" i="25"/>
  <c r="BT194" i="25"/>
  <c r="BT195" i="25"/>
  <c r="BT196" i="25"/>
  <c r="BT197" i="25"/>
  <c r="BT198" i="25"/>
  <c r="BT199" i="25"/>
  <c r="BT200" i="25"/>
  <c r="BT201" i="25"/>
  <c r="BU181" i="25"/>
  <c r="BU182" i="25"/>
  <c r="BU183" i="25"/>
  <c r="BU184" i="25"/>
  <c r="BU185" i="25"/>
  <c r="BU186" i="25"/>
  <c r="BU187" i="25"/>
  <c r="BU188" i="25"/>
  <c r="BU189" i="25"/>
  <c r="BU190" i="25"/>
  <c r="BU191" i="25"/>
  <c r="BU192" i="25"/>
  <c r="BU193" i="25"/>
  <c r="BU194" i="25"/>
  <c r="BU195" i="25"/>
  <c r="BU196" i="25"/>
  <c r="BU197" i="25"/>
  <c r="BU198" i="25"/>
  <c r="BU199" i="25"/>
  <c r="BU200" i="25"/>
  <c r="BU201" i="25"/>
  <c r="BV181" i="25"/>
  <c r="BV182" i="25"/>
  <c r="BV183" i="25"/>
  <c r="BV184" i="25"/>
  <c r="BV185" i="25"/>
  <c r="BV186" i="25"/>
  <c r="BV187" i="25"/>
  <c r="BV188" i="25"/>
  <c r="BV189" i="25"/>
  <c r="BV190" i="25"/>
  <c r="BV191" i="25"/>
  <c r="BV192" i="25"/>
  <c r="BV193" i="25"/>
  <c r="BV194" i="25"/>
  <c r="BV195" i="25"/>
  <c r="BV196" i="25"/>
  <c r="BV197" i="25"/>
  <c r="BV198" i="25"/>
  <c r="BV199" i="25"/>
  <c r="BV200" i="25"/>
  <c r="BV201" i="25"/>
  <c r="BW181" i="25"/>
  <c r="BW182" i="25"/>
  <c r="BW183" i="25"/>
  <c r="BW184" i="25"/>
  <c r="BW185" i="25"/>
  <c r="BW186" i="25"/>
  <c r="BW187" i="25"/>
  <c r="BW188" i="25"/>
  <c r="BW189" i="25"/>
  <c r="BW190" i="25"/>
  <c r="BW191" i="25"/>
  <c r="BW192" i="25"/>
  <c r="BW193" i="25"/>
  <c r="BW194" i="25"/>
  <c r="BW195" i="25"/>
  <c r="BW196" i="25"/>
  <c r="BW197" i="25"/>
  <c r="BW198" i="25"/>
  <c r="BW199" i="25"/>
  <c r="BW200" i="25"/>
  <c r="BW201" i="25"/>
  <c r="BX181" i="25"/>
  <c r="BX182" i="25"/>
  <c r="BX183" i="25"/>
  <c r="BX184" i="25"/>
  <c r="BX185" i="25"/>
  <c r="BX186" i="25"/>
  <c r="BX187" i="25"/>
  <c r="BX188" i="25"/>
  <c r="BX189" i="25"/>
  <c r="BX190" i="25"/>
  <c r="BX191" i="25"/>
  <c r="BX192" i="25"/>
  <c r="BX193" i="25"/>
  <c r="BX194" i="25"/>
  <c r="BX195" i="25"/>
  <c r="BX196" i="25"/>
  <c r="BX197" i="25"/>
  <c r="BX198" i="25"/>
  <c r="BX199" i="25"/>
  <c r="BX200" i="25"/>
  <c r="BX201" i="25"/>
  <c r="BY181" i="25"/>
  <c r="BY182" i="25"/>
  <c r="BY183" i="25"/>
  <c r="BY184" i="25"/>
  <c r="BY185" i="25"/>
  <c r="BY186" i="25"/>
  <c r="BY187" i="25"/>
  <c r="BY188" i="25"/>
  <c r="BY189" i="25"/>
  <c r="BY190" i="25"/>
  <c r="BY191" i="25"/>
  <c r="BY192" i="25"/>
  <c r="BY193" i="25"/>
  <c r="BY194" i="25"/>
  <c r="BY195" i="25"/>
  <c r="BY196" i="25"/>
  <c r="BY197" i="25"/>
  <c r="BY198" i="25"/>
  <c r="BY199" i="25"/>
  <c r="BY200" i="25"/>
  <c r="BY201" i="25"/>
  <c r="BZ181" i="25"/>
  <c r="BZ182" i="25"/>
  <c r="BZ183" i="25"/>
  <c r="BZ184" i="25"/>
  <c r="BZ185" i="25"/>
  <c r="BZ186" i="25"/>
  <c r="BZ187" i="25"/>
  <c r="BZ188" i="25"/>
  <c r="BZ189" i="25"/>
  <c r="BZ190" i="25"/>
  <c r="BZ191" i="25"/>
  <c r="BZ192" i="25"/>
  <c r="BZ193" i="25"/>
  <c r="BZ194" i="25"/>
  <c r="BZ195" i="25"/>
  <c r="BZ196" i="25"/>
  <c r="BZ197" i="25"/>
  <c r="BZ198" i="25"/>
  <c r="BZ199" i="25"/>
  <c r="BZ200" i="25"/>
  <c r="BZ201" i="25"/>
  <c r="CA181" i="25"/>
  <c r="CA182" i="25"/>
  <c r="CA183" i="25"/>
  <c r="CA184" i="25"/>
  <c r="CA185" i="25"/>
  <c r="CA186" i="25"/>
  <c r="CA187" i="25"/>
  <c r="CA188" i="25"/>
  <c r="CA189" i="25"/>
  <c r="CA190" i="25"/>
  <c r="CA191" i="25"/>
  <c r="CA192" i="25"/>
  <c r="CA193" i="25"/>
  <c r="CA194" i="25"/>
  <c r="CA195" i="25"/>
  <c r="CA196" i="25"/>
  <c r="CA197" i="25"/>
  <c r="CA198" i="25"/>
  <c r="CA199" i="25"/>
  <c r="CA200" i="25"/>
  <c r="CA201" i="25"/>
  <c r="G25" i="89"/>
  <c r="G18" i="89"/>
  <c r="G32" i="89"/>
  <c r="AX194" i="25" l="1"/>
  <c r="BA194" i="25" s="1"/>
  <c r="BB194" i="25" s="1"/>
  <c r="AX186" i="25"/>
  <c r="BA186" i="25" s="1"/>
  <c r="BB186" i="25" s="1"/>
  <c r="AX197" i="25"/>
  <c r="BA197" i="25" s="1"/>
  <c r="BB197" i="25" s="1"/>
  <c r="AX189" i="25"/>
  <c r="BA189" i="25" s="1"/>
  <c r="BB189" i="25" s="1"/>
  <c r="AX181" i="25"/>
  <c r="BA181" i="25" s="1"/>
  <c r="BB181" i="25" s="1"/>
  <c r="AW194" i="25"/>
  <c r="AY194" i="25" s="1"/>
  <c r="AZ194" i="25" s="1"/>
  <c r="BC194" i="25" s="1"/>
  <c r="BJ182" i="25"/>
  <c r="BJ190" i="25"/>
  <c r="AX188" i="25"/>
  <c r="BA188" i="25" s="1"/>
  <c r="BB188" i="25" s="1"/>
  <c r="BS198" i="25"/>
  <c r="BM198" i="25" s="1"/>
  <c r="BN198" i="25" s="1"/>
  <c r="BO198" i="25" s="1"/>
  <c r="AX187" i="25"/>
  <c r="BA187" i="25" s="1"/>
  <c r="BB187" i="25" s="1"/>
  <c r="J18" i="89"/>
  <c r="H18" i="89"/>
  <c r="I18" i="89" s="1"/>
  <c r="O18" i="89"/>
  <c r="N18" i="89"/>
  <c r="M18" i="89"/>
  <c r="L18" i="89"/>
  <c r="K18" i="89"/>
  <c r="K25" i="89"/>
  <c r="J25" i="89"/>
  <c r="H25" i="89"/>
  <c r="I25" i="89" s="1"/>
  <c r="O25" i="89"/>
  <c r="N25" i="89"/>
  <c r="M25" i="89"/>
  <c r="L25" i="89"/>
  <c r="L32" i="89"/>
  <c r="J32" i="89"/>
  <c r="K32" i="89"/>
  <c r="H32" i="89"/>
  <c r="I32" i="89" s="1"/>
  <c r="O32" i="89"/>
  <c r="N32" i="89"/>
  <c r="M32" i="89"/>
  <c r="AW187" i="25"/>
  <c r="AY187" i="25" s="1"/>
  <c r="AZ187" i="25" s="1"/>
  <c r="BC187" i="25" s="1"/>
  <c r="BS181" i="25"/>
  <c r="BM181" i="25" s="1"/>
  <c r="BN181" i="25" s="1"/>
  <c r="BO181" i="25" s="1"/>
  <c r="BJ191" i="25"/>
  <c r="BF189" i="25"/>
  <c r="BF181" i="25"/>
  <c r="BS194" i="25"/>
  <c r="BM194" i="25" s="1"/>
  <c r="BN194" i="25" s="1"/>
  <c r="BO194" i="25" s="1"/>
  <c r="BS197" i="25"/>
  <c r="BM197" i="25" s="1"/>
  <c r="BN197" i="25" s="1"/>
  <c r="BO197" i="25" s="1"/>
  <c r="BS189" i="25"/>
  <c r="BM189" i="25" s="1"/>
  <c r="BN189" i="25" s="1"/>
  <c r="BO189" i="25" s="1"/>
  <c r="BS188" i="25"/>
  <c r="BM188" i="25" s="1"/>
  <c r="BN188" i="25" s="1"/>
  <c r="BO188" i="25" s="1"/>
  <c r="BS196" i="25"/>
  <c r="BM196" i="25" s="1"/>
  <c r="BN196" i="25" s="1"/>
  <c r="BO196" i="25" s="1"/>
  <c r="BJ199" i="25"/>
  <c r="BJ183" i="25"/>
  <c r="AY188" i="25"/>
  <c r="AZ188" i="25" s="1"/>
  <c r="BC188" i="25" s="1"/>
  <c r="AY200" i="25"/>
  <c r="AZ200" i="25" s="1"/>
  <c r="BC200" i="25" s="1"/>
  <c r="AY184" i="25"/>
  <c r="AZ184" i="25" s="1"/>
  <c r="BC184" i="25" s="1"/>
  <c r="BS186" i="25"/>
  <c r="BM186" i="25" s="1"/>
  <c r="BN186" i="25" s="1"/>
  <c r="BO186" i="25" s="1"/>
  <c r="BJ198" i="25"/>
  <c r="AX196" i="25"/>
  <c r="BA196" i="25" s="1"/>
  <c r="BB196" i="25" s="1"/>
  <c r="AX198" i="25"/>
  <c r="BA198" i="25" s="1"/>
  <c r="BB198" i="25" s="1"/>
  <c r="AX190" i="25"/>
  <c r="BA190" i="25" s="1"/>
  <c r="BB190" i="25" s="1"/>
  <c r="AX182" i="25"/>
  <c r="BA182" i="25" s="1"/>
  <c r="BB182" i="25" s="1"/>
  <c r="BS201" i="25"/>
  <c r="BM201" i="25" s="1"/>
  <c r="BN201" i="25" s="1"/>
  <c r="BO201" i="25" s="1"/>
  <c r="BS193" i="25"/>
  <c r="BM193" i="25" s="1"/>
  <c r="BN193" i="25" s="1"/>
  <c r="BO193" i="25" s="1"/>
  <c r="BS185" i="25"/>
  <c r="BM185" i="25" s="1"/>
  <c r="BN185" i="25" s="1"/>
  <c r="BO185" i="25" s="1"/>
  <c r="BJ193" i="25"/>
  <c r="BF197" i="25"/>
  <c r="AX195" i="25"/>
  <c r="BA195" i="25" s="1"/>
  <c r="BB195" i="25" s="1"/>
  <c r="BS195" i="25"/>
  <c r="BM195" i="25" s="1"/>
  <c r="BN195" i="25" s="1"/>
  <c r="BO195" i="25" s="1"/>
  <c r="BS187" i="25"/>
  <c r="BM187" i="25" s="1"/>
  <c r="BN187" i="25" s="1"/>
  <c r="BO187" i="25" s="1"/>
  <c r="BS200" i="25"/>
  <c r="BM200" i="25" s="1"/>
  <c r="BN200" i="25" s="1"/>
  <c r="BO200" i="25" s="1"/>
  <c r="BS192" i="25"/>
  <c r="BM192" i="25" s="1"/>
  <c r="BN192" i="25" s="1"/>
  <c r="BO192" i="25" s="1"/>
  <c r="BS184" i="25"/>
  <c r="BM184" i="25" s="1"/>
  <c r="BN184" i="25" s="1"/>
  <c r="BO184" i="25" s="1"/>
  <c r="AY196" i="25"/>
  <c r="AZ196" i="25" s="1"/>
  <c r="BC196" i="25" s="1"/>
  <c r="BS199" i="25"/>
  <c r="BM199" i="25" s="1"/>
  <c r="BN199" i="25" s="1"/>
  <c r="BO199" i="25" s="1"/>
  <c r="BS191" i="25"/>
  <c r="BM191" i="25" s="1"/>
  <c r="BN191" i="25" s="1"/>
  <c r="BO191" i="25" s="1"/>
  <c r="BS183" i="25"/>
  <c r="BM183" i="25" s="1"/>
  <c r="BN183" i="25" s="1"/>
  <c r="BO183" i="25" s="1"/>
  <c r="BS190" i="25"/>
  <c r="BM190" i="25" s="1"/>
  <c r="BN190" i="25" s="1"/>
  <c r="BO190" i="25" s="1"/>
  <c r="BS182" i="25"/>
  <c r="BM182" i="25" s="1"/>
  <c r="BN182" i="25" s="1"/>
  <c r="BO182" i="25" s="1"/>
  <c r="BJ185" i="25"/>
  <c r="BF187" i="25"/>
  <c r="BJ201" i="25"/>
  <c r="AY192" i="25"/>
  <c r="AZ192" i="25" s="1"/>
  <c r="BC192" i="25" s="1"/>
  <c r="BJ194" i="25"/>
  <c r="BF195" i="25"/>
  <c r="AX200" i="25"/>
  <c r="BA200" i="25" s="1"/>
  <c r="BB200" i="25" s="1"/>
  <c r="AX192" i="25"/>
  <c r="BA192" i="25" s="1"/>
  <c r="BB192" i="25" s="1"/>
  <c r="AX184" i="25"/>
  <c r="BA184" i="25" s="1"/>
  <c r="BB184" i="25" s="1"/>
  <c r="AU190" i="25"/>
  <c r="AY190" i="25" s="1"/>
  <c r="AZ190" i="25" s="1"/>
  <c r="BC190" i="25" s="1"/>
  <c r="AX199" i="25"/>
  <c r="BA199" i="25" s="1"/>
  <c r="BB199" i="25" s="1"/>
  <c r="AX191" i="25"/>
  <c r="BA191" i="25" s="1"/>
  <c r="BB191" i="25" s="1"/>
  <c r="AX183" i="25"/>
  <c r="BA183" i="25" s="1"/>
  <c r="BB183" i="25" s="1"/>
  <c r="BJ186" i="25"/>
  <c r="AU198" i="25"/>
  <c r="AY198" i="25" s="1"/>
  <c r="AZ198" i="25" s="1"/>
  <c r="BC198" i="25" s="1"/>
  <c r="AU182" i="25"/>
  <c r="AY182" i="25" s="1"/>
  <c r="AZ182" i="25" s="1"/>
  <c r="BC182" i="25" s="1"/>
  <c r="AY195" i="25"/>
  <c r="AZ195" i="25" s="1"/>
  <c r="BC195" i="25" s="1"/>
  <c r="AW186" i="25"/>
  <c r="AY186" i="25" s="1"/>
  <c r="AZ186" i="25" s="1"/>
  <c r="BC186" i="25" s="1"/>
  <c r="AY201" i="25"/>
  <c r="AZ201" i="25" s="1"/>
  <c r="BC201" i="25" s="1"/>
  <c r="AY193" i="25"/>
  <c r="AZ193" i="25" s="1"/>
  <c r="BC193" i="25" s="1"/>
  <c r="AY185" i="25"/>
  <c r="AZ185" i="25" s="1"/>
  <c r="BC185" i="25" s="1"/>
  <c r="AX201" i="25"/>
  <c r="BA201" i="25" s="1"/>
  <c r="BB201" i="25" s="1"/>
  <c r="AX193" i="25"/>
  <c r="BA193" i="25" s="1"/>
  <c r="BB193" i="25" s="1"/>
  <c r="AX185" i="25"/>
  <c r="BA185" i="25" s="1"/>
  <c r="BB185" i="25" s="1"/>
  <c r="BJ196" i="25"/>
  <c r="BJ188" i="25"/>
  <c r="BF200" i="25"/>
  <c r="BF192" i="25"/>
  <c r="BF184" i="25"/>
  <c r="AW197" i="25"/>
  <c r="AY197" i="25" s="1"/>
  <c r="AZ197" i="25" s="1"/>
  <c r="BC197" i="25" s="1"/>
  <c r="AW189" i="25"/>
  <c r="AY189" i="25" s="1"/>
  <c r="AZ189" i="25" s="1"/>
  <c r="BC189" i="25" s="1"/>
  <c r="AW181" i="25"/>
  <c r="AY181" i="25" s="1"/>
  <c r="AZ181" i="25" s="1"/>
  <c r="BC181" i="25" s="1"/>
  <c r="AU199" i="25"/>
  <c r="AY199" i="25" s="1"/>
  <c r="AZ199" i="25" s="1"/>
  <c r="BC199" i="25" s="1"/>
  <c r="AU191" i="25"/>
  <c r="AY191" i="25" s="1"/>
  <c r="AZ191" i="25" s="1"/>
  <c r="BC191" i="25" s="1"/>
  <c r="AU183" i="25"/>
  <c r="AY183" i="25" s="1"/>
  <c r="AZ183" i="25" s="1"/>
  <c r="BC183" i="25" s="1"/>
  <c r="BQ7" i="25"/>
  <c r="BQ8" i="25"/>
  <c r="BQ9" i="25"/>
  <c r="BQ10" i="25"/>
  <c r="BQ11" i="25"/>
  <c r="BQ12" i="25"/>
  <c r="BQ13" i="25"/>
  <c r="BQ14" i="25"/>
  <c r="BQ15" i="25"/>
  <c r="BQ16" i="25"/>
  <c r="BQ17" i="25"/>
  <c r="BQ18" i="25"/>
  <c r="BQ19" i="25"/>
  <c r="BQ20" i="25"/>
  <c r="BQ21" i="25"/>
  <c r="BQ22" i="25"/>
  <c r="BQ23" i="25"/>
  <c r="BQ24" i="25"/>
  <c r="BQ25" i="25"/>
  <c r="BQ26" i="25"/>
  <c r="BQ27" i="25"/>
  <c r="BQ28" i="25"/>
  <c r="BQ29" i="25"/>
  <c r="BQ30" i="25"/>
  <c r="BQ31" i="25"/>
  <c r="BQ32" i="25"/>
  <c r="BQ33" i="25"/>
  <c r="BQ34" i="25"/>
  <c r="BQ35" i="25"/>
  <c r="BQ36" i="25"/>
  <c r="BQ37" i="25"/>
  <c r="BQ38" i="25"/>
  <c r="BQ39" i="25"/>
  <c r="BQ40" i="25"/>
  <c r="BQ41" i="25"/>
  <c r="BQ42" i="25"/>
  <c r="BQ43" i="25"/>
  <c r="BQ44" i="25"/>
  <c r="BQ45" i="25"/>
  <c r="BQ46" i="25"/>
  <c r="BQ47" i="25"/>
  <c r="BQ48" i="25"/>
  <c r="BQ49" i="25"/>
  <c r="BQ50" i="25"/>
  <c r="BQ51" i="25"/>
  <c r="BQ52" i="25"/>
  <c r="BQ53" i="25"/>
  <c r="BQ54" i="25"/>
  <c r="BQ55" i="25"/>
  <c r="BQ56" i="25"/>
  <c r="BQ57" i="25"/>
  <c r="BQ58" i="25"/>
  <c r="BQ59" i="25"/>
  <c r="BQ60" i="25"/>
  <c r="BQ61" i="25"/>
  <c r="BQ62" i="25"/>
  <c r="BQ63" i="25"/>
  <c r="BQ64" i="25"/>
  <c r="BQ65" i="25"/>
  <c r="BQ66" i="25"/>
  <c r="BQ67" i="25"/>
  <c r="BQ68" i="25"/>
  <c r="BQ69" i="25"/>
  <c r="BQ70" i="25"/>
  <c r="BQ71" i="25"/>
  <c r="BQ72" i="25"/>
  <c r="BQ73" i="25"/>
  <c r="BQ74" i="25"/>
  <c r="BQ75" i="25"/>
  <c r="BQ76" i="25"/>
  <c r="BQ77" i="25"/>
  <c r="BQ78" i="25"/>
  <c r="BQ79" i="25"/>
  <c r="BQ80" i="25"/>
  <c r="BQ81" i="25"/>
  <c r="BQ82" i="25"/>
  <c r="BQ83" i="25"/>
  <c r="BQ84" i="25"/>
  <c r="BQ85" i="25"/>
  <c r="BQ86" i="25"/>
  <c r="BQ87" i="25"/>
  <c r="BQ88" i="25"/>
  <c r="BQ89" i="25"/>
  <c r="BQ90" i="25"/>
  <c r="BQ91" i="25"/>
  <c r="BQ92" i="25"/>
  <c r="BQ93" i="25"/>
  <c r="BQ94" i="25"/>
  <c r="BQ95" i="25"/>
  <c r="BQ96" i="25"/>
  <c r="BQ97" i="25"/>
  <c r="BQ98" i="25"/>
  <c r="BQ99" i="25"/>
  <c r="BQ100" i="25"/>
  <c r="BQ101" i="25"/>
  <c r="BQ102" i="25"/>
  <c r="BQ103" i="25"/>
  <c r="BQ104" i="25"/>
  <c r="BQ105" i="25"/>
  <c r="BQ106" i="25"/>
  <c r="BQ107" i="25"/>
  <c r="BQ108" i="25"/>
  <c r="BQ109" i="25"/>
  <c r="BQ110" i="25"/>
  <c r="BQ111" i="25"/>
  <c r="BQ112" i="25"/>
  <c r="BQ113" i="25"/>
  <c r="BQ114" i="25"/>
  <c r="BQ115" i="25"/>
  <c r="BQ116" i="25"/>
  <c r="BQ117" i="25"/>
  <c r="BQ118" i="25"/>
  <c r="BQ119" i="25"/>
  <c r="BQ120" i="25"/>
  <c r="BQ121" i="25"/>
  <c r="BQ122" i="25"/>
  <c r="BQ123" i="25"/>
  <c r="BQ124" i="25"/>
  <c r="BQ125" i="25"/>
  <c r="BQ126" i="25"/>
  <c r="BQ127" i="25"/>
  <c r="BQ128" i="25"/>
  <c r="BQ129" i="25"/>
  <c r="BQ130" i="25"/>
  <c r="BQ131" i="25"/>
  <c r="BQ132" i="25"/>
  <c r="BQ134" i="25"/>
  <c r="BQ135" i="25"/>
  <c r="BQ136" i="25"/>
  <c r="BQ137" i="25"/>
  <c r="BQ138" i="25"/>
  <c r="BQ139" i="25"/>
  <c r="BQ140" i="25"/>
  <c r="BQ141" i="25"/>
  <c r="BQ142" i="25"/>
  <c r="BQ143" i="25"/>
  <c r="BQ144" i="25"/>
  <c r="BQ145" i="25"/>
  <c r="BQ146" i="25"/>
  <c r="BQ147" i="25"/>
  <c r="BQ148" i="25"/>
  <c r="BQ149" i="25"/>
  <c r="BQ150" i="25"/>
  <c r="BQ151" i="25"/>
  <c r="BQ152" i="25"/>
  <c r="BQ153" i="25"/>
  <c r="BQ154" i="25"/>
  <c r="BQ155" i="25"/>
  <c r="BQ156" i="25"/>
  <c r="BQ157" i="25"/>
  <c r="BQ158" i="25"/>
  <c r="BQ159" i="25"/>
  <c r="BQ160" i="25"/>
  <c r="BQ161" i="25"/>
  <c r="BQ162" i="25"/>
  <c r="BQ163" i="25"/>
  <c r="BQ164" i="25"/>
  <c r="BQ165" i="25"/>
  <c r="BQ166" i="25"/>
  <c r="BQ167" i="25"/>
  <c r="BQ168" i="25"/>
  <c r="BQ169" i="25"/>
  <c r="BQ170" i="25"/>
  <c r="BQ171" i="25"/>
  <c r="BQ172" i="25"/>
  <c r="BQ173" i="25"/>
  <c r="BQ174" i="25"/>
  <c r="BQ175" i="25"/>
  <c r="BQ176" i="25"/>
  <c r="BQ177" i="25"/>
  <c r="BQ178" i="25"/>
  <c r="BQ179" i="25"/>
  <c r="BQ180" i="25"/>
  <c r="BE7" i="25"/>
  <c r="BE8" i="25"/>
  <c r="BE9" i="25"/>
  <c r="BE10" i="25"/>
  <c r="BE11" i="25"/>
  <c r="BE12" i="25"/>
  <c r="BE13" i="25"/>
  <c r="BE14" i="25"/>
  <c r="BE15" i="25"/>
  <c r="BE16" i="25"/>
  <c r="BE17" i="25"/>
  <c r="BE18" i="25"/>
  <c r="BE19" i="25"/>
  <c r="BE20" i="25"/>
  <c r="BE21" i="25"/>
  <c r="BE22" i="25"/>
  <c r="BE23" i="25"/>
  <c r="BE24" i="25"/>
  <c r="BE25" i="25"/>
  <c r="BE26" i="25"/>
  <c r="BE27" i="25"/>
  <c r="BE28" i="25"/>
  <c r="BE29" i="25"/>
  <c r="BE30" i="25"/>
  <c r="BE31" i="25"/>
  <c r="BE32" i="25"/>
  <c r="BE33" i="25"/>
  <c r="BE34" i="25"/>
  <c r="BE35" i="25"/>
  <c r="BE36" i="25"/>
  <c r="BE37" i="25"/>
  <c r="BE38" i="25"/>
  <c r="BE39" i="25"/>
  <c r="BE40" i="25"/>
  <c r="BE41" i="25"/>
  <c r="BE42" i="25"/>
  <c r="BE43" i="25"/>
  <c r="BE44" i="25"/>
  <c r="BE45" i="25"/>
  <c r="BE46" i="25"/>
  <c r="BE47" i="25"/>
  <c r="BE48" i="25"/>
  <c r="BE49" i="25"/>
  <c r="BE50" i="25"/>
  <c r="BE51" i="25"/>
  <c r="BE52" i="25"/>
  <c r="BE53" i="25"/>
  <c r="BE54" i="25"/>
  <c r="BE55" i="25"/>
  <c r="BE56" i="25"/>
  <c r="BE57" i="25"/>
  <c r="BE58" i="25"/>
  <c r="BE59" i="25"/>
  <c r="BE60" i="25"/>
  <c r="BE61" i="25"/>
  <c r="BE62" i="25"/>
  <c r="BE63" i="25"/>
  <c r="BE64" i="25"/>
  <c r="BE65" i="25"/>
  <c r="BE66" i="25"/>
  <c r="BE67" i="25"/>
  <c r="BE68" i="25"/>
  <c r="BE69" i="25"/>
  <c r="BE70" i="25"/>
  <c r="BE71" i="25"/>
  <c r="BE72" i="25"/>
  <c r="BE73" i="25"/>
  <c r="BE74" i="25"/>
  <c r="BE75" i="25"/>
  <c r="BE76" i="25"/>
  <c r="BE77" i="25"/>
  <c r="BE78" i="25"/>
  <c r="BE79" i="25"/>
  <c r="BE80" i="25"/>
  <c r="BE81" i="25"/>
  <c r="BE82" i="25"/>
  <c r="BE83" i="25"/>
  <c r="BE84" i="25"/>
  <c r="BE85" i="25"/>
  <c r="BE86" i="25"/>
  <c r="BE87" i="25"/>
  <c r="BE88" i="25"/>
  <c r="BE89" i="25"/>
  <c r="BE90" i="25"/>
  <c r="BE91" i="25"/>
  <c r="BE92" i="25"/>
  <c r="BE93" i="25"/>
  <c r="BE94" i="25"/>
  <c r="BE95" i="25"/>
  <c r="BE96" i="25"/>
  <c r="BE97" i="25"/>
  <c r="BE98" i="25"/>
  <c r="BE99" i="25"/>
  <c r="BE100" i="25"/>
  <c r="BE101" i="25"/>
  <c r="BE102" i="25"/>
  <c r="BE103" i="25"/>
  <c r="BE104" i="25"/>
  <c r="BE105" i="25"/>
  <c r="BE106" i="25"/>
  <c r="BE107" i="25"/>
  <c r="BE108" i="25"/>
  <c r="BE109" i="25"/>
  <c r="BE110" i="25"/>
  <c r="BE111" i="25"/>
  <c r="BE112" i="25"/>
  <c r="BE113" i="25"/>
  <c r="BE114" i="25"/>
  <c r="BE115" i="25"/>
  <c r="BE116" i="25"/>
  <c r="BE117" i="25"/>
  <c r="BE118" i="25"/>
  <c r="BE119" i="25"/>
  <c r="BE120" i="25"/>
  <c r="BE121" i="25"/>
  <c r="BE122" i="25"/>
  <c r="BE123" i="25"/>
  <c r="BE124" i="25"/>
  <c r="BE125" i="25"/>
  <c r="BE126" i="25"/>
  <c r="BE127" i="25"/>
  <c r="BE128" i="25"/>
  <c r="BE129" i="25"/>
  <c r="BE130" i="25"/>
  <c r="BE131" i="25"/>
  <c r="BE132" i="25"/>
  <c r="BE134" i="25"/>
  <c r="BE135" i="25"/>
  <c r="BE136" i="25"/>
  <c r="BE137" i="25"/>
  <c r="BE138" i="25"/>
  <c r="BE139" i="25"/>
  <c r="BE140" i="25"/>
  <c r="BE141" i="25"/>
  <c r="BE142" i="25"/>
  <c r="BE143" i="25"/>
  <c r="BE144" i="25"/>
  <c r="BE145" i="25"/>
  <c r="BE146" i="25"/>
  <c r="BE147" i="25"/>
  <c r="BE148" i="25"/>
  <c r="BE149" i="25"/>
  <c r="BE150" i="25"/>
  <c r="BE151" i="25"/>
  <c r="BE152" i="25"/>
  <c r="BE153" i="25"/>
  <c r="BE154" i="25"/>
  <c r="BE155" i="25"/>
  <c r="BE156" i="25"/>
  <c r="BE157" i="25"/>
  <c r="BE158" i="25"/>
  <c r="BE159" i="25"/>
  <c r="BE160" i="25"/>
  <c r="BE161" i="25"/>
  <c r="BE162" i="25"/>
  <c r="BE163" i="25"/>
  <c r="BE164" i="25"/>
  <c r="BE165" i="25"/>
  <c r="BE166" i="25"/>
  <c r="BE167" i="25"/>
  <c r="BE168" i="25"/>
  <c r="BE169" i="25"/>
  <c r="BE170" i="25"/>
  <c r="BE171" i="25"/>
  <c r="BE172" i="25"/>
  <c r="BE173" i="25"/>
  <c r="BE174" i="25"/>
  <c r="BE175" i="25"/>
  <c r="BE176" i="25"/>
  <c r="BE177" i="25"/>
  <c r="BE178" i="25"/>
  <c r="BE179" i="25"/>
  <c r="BE180" i="25"/>
  <c r="G7" i="25" l="1"/>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11" i="25"/>
  <c r="G112" i="25"/>
  <c r="G113" i="25"/>
  <c r="G114" i="25"/>
  <c r="G115" i="25"/>
  <c r="G116" i="25"/>
  <c r="G117" i="25"/>
  <c r="G118" i="25"/>
  <c r="G119" i="25"/>
  <c r="G120" i="25"/>
  <c r="G121" i="25"/>
  <c r="G122" i="25"/>
  <c r="G123" i="25"/>
  <c r="G124" i="25"/>
  <c r="G125" i="25"/>
  <c r="G126" i="25"/>
  <c r="G127" i="25"/>
  <c r="G128" i="25"/>
  <c r="G129" i="25"/>
  <c r="G130" i="25"/>
  <c r="G131" i="25"/>
  <c r="G132" i="25"/>
  <c r="G134" i="25"/>
  <c r="G135" i="25"/>
  <c r="G136" i="25"/>
  <c r="G137" i="25"/>
  <c r="G138" i="25"/>
  <c r="G139" i="25"/>
  <c r="G140" i="25"/>
  <c r="G141" i="25"/>
  <c r="G142" i="25"/>
  <c r="G143" i="25"/>
  <c r="G144" i="25"/>
  <c r="G145" i="25"/>
  <c r="G146" i="25"/>
  <c r="G147" i="25"/>
  <c r="G148" i="25"/>
  <c r="G149" i="25"/>
  <c r="G150" i="25"/>
  <c r="G151" i="25"/>
  <c r="G152" i="25"/>
  <c r="G153" i="25"/>
  <c r="G154" i="25"/>
  <c r="G155" i="25"/>
  <c r="G156" i="25"/>
  <c r="G157" i="25"/>
  <c r="G158" i="25"/>
  <c r="G159" i="25"/>
  <c r="G160" i="25"/>
  <c r="G161" i="25"/>
  <c r="G162" i="25"/>
  <c r="G163" i="25"/>
  <c r="G164" i="25"/>
  <c r="G165" i="25"/>
  <c r="G166" i="25"/>
  <c r="G167" i="25"/>
  <c r="G168" i="25"/>
  <c r="G169" i="25"/>
  <c r="G170" i="25"/>
  <c r="G171" i="25"/>
  <c r="G172" i="25"/>
  <c r="G173" i="25"/>
  <c r="G174" i="25"/>
  <c r="G175" i="25"/>
  <c r="G176" i="25"/>
  <c r="G177" i="25"/>
  <c r="G178" i="25"/>
  <c r="G179" i="25"/>
  <c r="AT176" i="25"/>
  <c r="AU176" i="25" s="1"/>
  <c r="AT177" i="25"/>
  <c r="AU177" i="25" s="1"/>
  <c r="AT178" i="25"/>
  <c r="AT179" i="25"/>
  <c r="AU179" i="25" s="1"/>
  <c r="AT180" i="25"/>
  <c r="AU180" i="25" s="1"/>
  <c r="AV176" i="25"/>
  <c r="AV177" i="25"/>
  <c r="AW177" i="25" s="1"/>
  <c r="AV178" i="25"/>
  <c r="AW178" i="25" s="1"/>
  <c r="AV179" i="25"/>
  <c r="AV180" i="25"/>
  <c r="AW180" i="25" s="1"/>
  <c r="BD176" i="25"/>
  <c r="BD177" i="25"/>
  <c r="BD178" i="25"/>
  <c r="BD179" i="25"/>
  <c r="BD180" i="25"/>
  <c r="BJ176" i="25"/>
  <c r="BJ177" i="25"/>
  <c r="BF178" i="25"/>
  <c r="BJ179" i="25"/>
  <c r="BF180" i="25"/>
  <c r="BG176" i="25"/>
  <c r="BG177" i="25"/>
  <c r="BG178" i="25"/>
  <c r="BG179" i="25"/>
  <c r="BG180" i="25"/>
  <c r="BH176" i="25"/>
  <c r="BI176" i="25" s="1"/>
  <c r="BH177" i="25"/>
  <c r="BI177" i="25" s="1"/>
  <c r="BH178" i="25"/>
  <c r="BI178" i="25" s="1"/>
  <c r="BH179" i="25"/>
  <c r="BI179" i="25" s="1"/>
  <c r="BH180" i="25"/>
  <c r="BI180" i="25" s="1"/>
  <c r="BK176" i="25"/>
  <c r="BP176" i="25" s="1"/>
  <c r="BK177" i="25"/>
  <c r="BP177" i="25" s="1"/>
  <c r="BK178" i="25"/>
  <c r="BP178" i="25" s="1"/>
  <c r="BK179" i="25"/>
  <c r="BP179" i="25" s="1"/>
  <c r="BK180" i="25"/>
  <c r="BP180" i="25" s="1"/>
  <c r="BL176" i="25"/>
  <c r="BL177" i="25"/>
  <c r="BL178" i="25"/>
  <c r="BL179" i="25"/>
  <c r="BL180" i="25"/>
  <c r="BR176" i="25"/>
  <c r="BR177" i="25"/>
  <c r="BR178" i="25"/>
  <c r="BR179" i="25"/>
  <c r="BR180" i="25"/>
  <c r="BT176" i="25"/>
  <c r="BT177" i="25"/>
  <c r="BT178" i="25"/>
  <c r="BT179" i="25"/>
  <c r="BT180" i="25"/>
  <c r="BU176" i="25"/>
  <c r="BU177" i="25"/>
  <c r="BU178" i="25"/>
  <c r="BU179" i="25"/>
  <c r="BU180" i="25"/>
  <c r="BV176" i="25"/>
  <c r="BV177" i="25"/>
  <c r="BV178" i="25"/>
  <c r="BV179" i="25"/>
  <c r="BV180" i="25"/>
  <c r="BW176" i="25"/>
  <c r="BW177" i="25"/>
  <c r="BW179" i="25"/>
  <c r="BW180" i="25"/>
  <c r="BX176" i="25"/>
  <c r="BX177" i="25"/>
  <c r="BX179" i="25"/>
  <c r="BX180" i="25"/>
  <c r="BY176" i="25"/>
  <c r="BY177" i="25"/>
  <c r="BY179" i="25"/>
  <c r="BY180" i="25"/>
  <c r="BZ176" i="25"/>
  <c r="BZ177" i="25"/>
  <c r="BZ179" i="25"/>
  <c r="BZ180" i="25"/>
  <c r="CA176" i="25"/>
  <c r="CA177" i="25"/>
  <c r="CA178" i="25"/>
  <c r="CA179" i="25"/>
  <c r="CA180" i="25"/>
  <c r="AT151" i="25"/>
  <c r="AU151" i="25" s="1"/>
  <c r="AT152" i="25"/>
  <c r="AU152" i="25" s="1"/>
  <c r="AT153" i="25"/>
  <c r="AU153" i="25" s="1"/>
  <c r="AT154" i="25"/>
  <c r="AT155" i="25"/>
  <c r="AU155" i="25" s="1"/>
  <c r="AT156" i="25"/>
  <c r="AU156" i="25" s="1"/>
  <c r="AT157" i="25"/>
  <c r="AU157" i="25" s="1"/>
  <c r="AT158" i="25"/>
  <c r="AU158" i="25" s="1"/>
  <c r="AT159" i="25"/>
  <c r="AU159" i="25" s="1"/>
  <c r="AT160" i="25"/>
  <c r="AU160" i="25" s="1"/>
  <c r="AT161" i="25"/>
  <c r="AU161" i="25" s="1"/>
  <c r="AT162" i="25"/>
  <c r="AT163" i="25"/>
  <c r="AU163" i="25" s="1"/>
  <c r="AT164" i="25"/>
  <c r="AU164" i="25" s="1"/>
  <c r="AT165" i="25"/>
  <c r="AU165" i="25" s="1"/>
  <c r="AT166" i="25"/>
  <c r="AU166" i="25" s="1"/>
  <c r="AT167" i="25"/>
  <c r="AU167" i="25" s="1"/>
  <c r="AT168" i="25"/>
  <c r="AU168" i="25" s="1"/>
  <c r="AT169" i="25"/>
  <c r="AU169" i="25" s="1"/>
  <c r="AT170" i="25"/>
  <c r="AT171" i="25"/>
  <c r="AU171" i="25" s="1"/>
  <c r="AT172" i="25"/>
  <c r="AU172" i="25" s="1"/>
  <c r="AT173" i="25"/>
  <c r="AU173" i="25" s="1"/>
  <c r="AT174" i="25"/>
  <c r="AU174" i="25" s="1"/>
  <c r="AT175" i="25"/>
  <c r="AU175" i="25" s="1"/>
  <c r="AV151" i="25"/>
  <c r="AW151" i="25" s="1"/>
  <c r="AV152" i="25"/>
  <c r="AW152" i="25" s="1"/>
  <c r="AV153" i="25"/>
  <c r="AV154" i="25"/>
  <c r="AW154" i="25" s="1"/>
  <c r="AV155" i="25"/>
  <c r="AW155" i="25" s="1"/>
  <c r="AV156" i="25"/>
  <c r="AW156" i="25" s="1"/>
  <c r="AV157" i="25"/>
  <c r="AW157" i="25" s="1"/>
  <c r="AV158" i="25"/>
  <c r="AW158" i="25" s="1"/>
  <c r="AV159" i="25"/>
  <c r="AW159" i="25" s="1"/>
  <c r="AV160" i="25"/>
  <c r="AW160" i="25" s="1"/>
  <c r="AV161" i="25"/>
  <c r="AW161" i="25" s="1"/>
  <c r="AV162" i="25"/>
  <c r="AW162" i="25" s="1"/>
  <c r="AV163" i="25"/>
  <c r="AW163" i="25" s="1"/>
  <c r="AV164" i="25"/>
  <c r="AW164" i="25" s="1"/>
  <c r="AV165" i="25"/>
  <c r="AW165" i="25" s="1"/>
  <c r="AV166" i="25"/>
  <c r="AV167" i="25"/>
  <c r="AW167" i="25" s="1"/>
  <c r="AV168" i="25"/>
  <c r="AW168" i="25" s="1"/>
  <c r="AV169" i="25"/>
  <c r="AW169" i="25" s="1"/>
  <c r="AV170" i="25"/>
  <c r="AW170" i="25" s="1"/>
  <c r="AV171" i="25"/>
  <c r="AW171" i="25" s="1"/>
  <c r="AV172" i="25"/>
  <c r="AW172" i="25" s="1"/>
  <c r="AV173" i="25"/>
  <c r="AW173" i="25" s="1"/>
  <c r="AV174" i="25"/>
  <c r="AW174" i="25" s="1"/>
  <c r="AV175" i="25"/>
  <c r="AW175" i="25" s="1"/>
  <c r="BD151" i="25"/>
  <c r="BD152" i="25"/>
  <c r="BD153" i="25"/>
  <c r="BD154" i="25"/>
  <c r="BD155" i="25"/>
  <c r="BD156" i="25"/>
  <c r="BD157" i="25"/>
  <c r="BD158" i="25"/>
  <c r="BD159" i="25"/>
  <c r="BD160" i="25"/>
  <c r="BD161" i="25"/>
  <c r="BD162" i="25"/>
  <c r="BD163" i="25"/>
  <c r="BD164" i="25"/>
  <c r="BD165" i="25"/>
  <c r="BD166" i="25"/>
  <c r="BD167" i="25"/>
  <c r="BD168" i="25"/>
  <c r="BD169" i="25"/>
  <c r="BD170" i="25"/>
  <c r="BD171" i="25"/>
  <c r="BD172" i="25"/>
  <c r="BD173" i="25"/>
  <c r="BD174" i="25"/>
  <c r="BD175" i="25"/>
  <c r="BJ151" i="25"/>
  <c r="BJ152" i="25"/>
  <c r="BJ153" i="25"/>
  <c r="BF154" i="25"/>
  <c r="BF155" i="25"/>
  <c r="BJ156" i="25"/>
  <c r="BJ157" i="25"/>
  <c r="BF158" i="25"/>
  <c r="BJ159" i="25"/>
  <c r="BF160" i="25"/>
  <c r="BF161" i="25"/>
  <c r="BF162" i="25"/>
  <c r="BF163" i="25"/>
  <c r="BF164" i="25"/>
  <c r="BF165" i="25"/>
  <c r="BF166" i="25"/>
  <c r="BJ167" i="25"/>
  <c r="BF168" i="25"/>
  <c r="BF169" i="25"/>
  <c r="BF170" i="25"/>
  <c r="BF171" i="25"/>
  <c r="BF172" i="25"/>
  <c r="BJ173" i="25"/>
  <c r="BF174" i="25"/>
  <c r="BJ175" i="25"/>
  <c r="BF152" i="25"/>
  <c r="BF153" i="25"/>
  <c r="BG151" i="25"/>
  <c r="BG152" i="25"/>
  <c r="BG153" i="25"/>
  <c r="BG154" i="25"/>
  <c r="BG155" i="25"/>
  <c r="BG156" i="25"/>
  <c r="BG157" i="25"/>
  <c r="BG158" i="25"/>
  <c r="BG159" i="25"/>
  <c r="BG160" i="25"/>
  <c r="BG161" i="25"/>
  <c r="BG162" i="25"/>
  <c r="BG163" i="25"/>
  <c r="BG164" i="25"/>
  <c r="BG165" i="25"/>
  <c r="BG166" i="25"/>
  <c r="BG167" i="25"/>
  <c r="BG168" i="25"/>
  <c r="BG169" i="25"/>
  <c r="BG170" i="25"/>
  <c r="BG171" i="25"/>
  <c r="BG172" i="25"/>
  <c r="BG173" i="25"/>
  <c r="BG174" i="25"/>
  <c r="BG175" i="25"/>
  <c r="BH151" i="25"/>
  <c r="BI151" i="25" s="1"/>
  <c r="BH152" i="25"/>
  <c r="BI152" i="25" s="1"/>
  <c r="BH153" i="25"/>
  <c r="BI153" i="25" s="1"/>
  <c r="BH154" i="25"/>
  <c r="BI154" i="25" s="1"/>
  <c r="BH155" i="25"/>
  <c r="BI155" i="25" s="1"/>
  <c r="BH156" i="25"/>
  <c r="BI156" i="25" s="1"/>
  <c r="BH157" i="25"/>
  <c r="BI157" i="25" s="1"/>
  <c r="BH158" i="25"/>
  <c r="BI158" i="25" s="1"/>
  <c r="BH159" i="25"/>
  <c r="BI159" i="25" s="1"/>
  <c r="BH160" i="25"/>
  <c r="BI160" i="25" s="1"/>
  <c r="BH161" i="25"/>
  <c r="BI161" i="25" s="1"/>
  <c r="BH162" i="25"/>
  <c r="BI162" i="25" s="1"/>
  <c r="BH163" i="25"/>
  <c r="BI163" i="25" s="1"/>
  <c r="BH164" i="25"/>
  <c r="BI164" i="25" s="1"/>
  <c r="BH165" i="25"/>
  <c r="BI165" i="25" s="1"/>
  <c r="BH166" i="25"/>
  <c r="BI166" i="25" s="1"/>
  <c r="BH167" i="25"/>
  <c r="BI167" i="25" s="1"/>
  <c r="BH168" i="25"/>
  <c r="BI168" i="25" s="1"/>
  <c r="BH169" i="25"/>
  <c r="BI169" i="25" s="1"/>
  <c r="BH170" i="25"/>
  <c r="BI170" i="25" s="1"/>
  <c r="BH171" i="25"/>
  <c r="BI171" i="25" s="1"/>
  <c r="BH172" i="25"/>
  <c r="BI172" i="25" s="1"/>
  <c r="BH173" i="25"/>
  <c r="BI173" i="25" s="1"/>
  <c r="BH174" i="25"/>
  <c r="BI174" i="25" s="1"/>
  <c r="BH175" i="25"/>
  <c r="BI175" i="25" s="1"/>
  <c r="BK151" i="25"/>
  <c r="BP151" i="25" s="1"/>
  <c r="BK152" i="25"/>
  <c r="BP152" i="25" s="1"/>
  <c r="BK153" i="25"/>
  <c r="BP153" i="25" s="1"/>
  <c r="BK154" i="25"/>
  <c r="BP154" i="25" s="1"/>
  <c r="BK155" i="25"/>
  <c r="BP155" i="25" s="1"/>
  <c r="BK156" i="25"/>
  <c r="BK157" i="25"/>
  <c r="BP157" i="25" s="1"/>
  <c r="BK158" i="25"/>
  <c r="BP158" i="25" s="1"/>
  <c r="BK159" i="25"/>
  <c r="BP159" i="25" s="1"/>
  <c r="BK160" i="25"/>
  <c r="BP160" i="25" s="1"/>
  <c r="BK161" i="25"/>
  <c r="BP161" i="25" s="1"/>
  <c r="BK162" i="25"/>
  <c r="BP162" i="25" s="1"/>
  <c r="BK163" i="25"/>
  <c r="BP163" i="25" s="1"/>
  <c r="BK164" i="25"/>
  <c r="BK165" i="25"/>
  <c r="BP165" i="25" s="1"/>
  <c r="BK166" i="25"/>
  <c r="BP166" i="25" s="1"/>
  <c r="BK167" i="25"/>
  <c r="BP167" i="25" s="1"/>
  <c r="BK168" i="25"/>
  <c r="BP168" i="25" s="1"/>
  <c r="BK169" i="25"/>
  <c r="BP169" i="25" s="1"/>
  <c r="BK170" i="25"/>
  <c r="BP170" i="25" s="1"/>
  <c r="BK171" i="25"/>
  <c r="BP171" i="25" s="1"/>
  <c r="BK172" i="25"/>
  <c r="BK173" i="25"/>
  <c r="BP173" i="25" s="1"/>
  <c r="BK174" i="25"/>
  <c r="BP174" i="25" s="1"/>
  <c r="BK175" i="25"/>
  <c r="BL151" i="25"/>
  <c r="BL152" i="25"/>
  <c r="BL153" i="25"/>
  <c r="BL154" i="25"/>
  <c r="BL155" i="25"/>
  <c r="BL156" i="25"/>
  <c r="BL157" i="25"/>
  <c r="BL158" i="25"/>
  <c r="BL159" i="25"/>
  <c r="BL160" i="25"/>
  <c r="BL161" i="25"/>
  <c r="BL162" i="25"/>
  <c r="BL163" i="25"/>
  <c r="BL164" i="25"/>
  <c r="BL165" i="25"/>
  <c r="BL166" i="25"/>
  <c r="BL167" i="25"/>
  <c r="BL168" i="25"/>
  <c r="BL169" i="25"/>
  <c r="BL170" i="25"/>
  <c r="BL171" i="25"/>
  <c r="BL172" i="25"/>
  <c r="BL173" i="25"/>
  <c r="BL174" i="25"/>
  <c r="BL175" i="25"/>
  <c r="BR151" i="25"/>
  <c r="BR152" i="25"/>
  <c r="BR153" i="25"/>
  <c r="BR154" i="25"/>
  <c r="BR155" i="25"/>
  <c r="BR156" i="25"/>
  <c r="BR157" i="25"/>
  <c r="BR158" i="25"/>
  <c r="BR159" i="25"/>
  <c r="BR160" i="25"/>
  <c r="BR161" i="25"/>
  <c r="BR162" i="25"/>
  <c r="BR163" i="25"/>
  <c r="BR164" i="25"/>
  <c r="BR165" i="25"/>
  <c r="BR166" i="25"/>
  <c r="BR167" i="25"/>
  <c r="BR168" i="25"/>
  <c r="BR169" i="25"/>
  <c r="BR170" i="25"/>
  <c r="BR171" i="25"/>
  <c r="BR172" i="25"/>
  <c r="BR173" i="25"/>
  <c r="BR174" i="25"/>
  <c r="BR175" i="25"/>
  <c r="BT151" i="25"/>
  <c r="BT152" i="25"/>
  <c r="BT153" i="25"/>
  <c r="BT154" i="25"/>
  <c r="BT155" i="25"/>
  <c r="BT156" i="25"/>
  <c r="BT157" i="25"/>
  <c r="BT158" i="25"/>
  <c r="BT159" i="25"/>
  <c r="BT160" i="25"/>
  <c r="BT161" i="25"/>
  <c r="BT162" i="25"/>
  <c r="BT163" i="25"/>
  <c r="BT164" i="25"/>
  <c r="BT165" i="25"/>
  <c r="BT166" i="25"/>
  <c r="BT167" i="25"/>
  <c r="BT168" i="25"/>
  <c r="BT169" i="25"/>
  <c r="BT170" i="25"/>
  <c r="BT171" i="25"/>
  <c r="BT172" i="25"/>
  <c r="BT173" i="25"/>
  <c r="BT174" i="25"/>
  <c r="BT175" i="25"/>
  <c r="BU151" i="25"/>
  <c r="BU152" i="25"/>
  <c r="BU153" i="25"/>
  <c r="BU154" i="25"/>
  <c r="BU155" i="25"/>
  <c r="BU156" i="25"/>
  <c r="BU157" i="25"/>
  <c r="BU158" i="25"/>
  <c r="BU159" i="25"/>
  <c r="BU160" i="25"/>
  <c r="BU161" i="25"/>
  <c r="BU162" i="25"/>
  <c r="BU163" i="25"/>
  <c r="BU164" i="25"/>
  <c r="BU165" i="25"/>
  <c r="BU166" i="25"/>
  <c r="BU167" i="25"/>
  <c r="BU168" i="25"/>
  <c r="BU169" i="25"/>
  <c r="BU170" i="25"/>
  <c r="BU171" i="25"/>
  <c r="BU172" i="25"/>
  <c r="BU173" i="25"/>
  <c r="BU174" i="25"/>
  <c r="BU175" i="25"/>
  <c r="BV151" i="25"/>
  <c r="BV152" i="25"/>
  <c r="BV153" i="25"/>
  <c r="BV154" i="25"/>
  <c r="BV155" i="25"/>
  <c r="BV156" i="25"/>
  <c r="BV157" i="25"/>
  <c r="BV158" i="25"/>
  <c r="BV159" i="25"/>
  <c r="BV160" i="25"/>
  <c r="BV161" i="25"/>
  <c r="BV162" i="25"/>
  <c r="BV163" i="25"/>
  <c r="BV164" i="25"/>
  <c r="BV165" i="25"/>
  <c r="BV166" i="25"/>
  <c r="BV167" i="25"/>
  <c r="BV168" i="25"/>
  <c r="BV169" i="25"/>
  <c r="BV170" i="25"/>
  <c r="BV171" i="25"/>
  <c r="BV172" i="25"/>
  <c r="BV173" i="25"/>
  <c r="BV174" i="25"/>
  <c r="BV175" i="25"/>
  <c r="BW151" i="25"/>
  <c r="BW152" i="25"/>
  <c r="BW153" i="25"/>
  <c r="BW154" i="25"/>
  <c r="BW155" i="25"/>
  <c r="BW156" i="25"/>
  <c r="BW157" i="25"/>
  <c r="BW158" i="25"/>
  <c r="BW159" i="25"/>
  <c r="BW160" i="25"/>
  <c r="BW161" i="25"/>
  <c r="BW162" i="25"/>
  <c r="BW163" i="25"/>
  <c r="BW164" i="25"/>
  <c r="BW165" i="25"/>
  <c r="BW166" i="25"/>
  <c r="BW167" i="25"/>
  <c r="BW168" i="25"/>
  <c r="BW169" i="25"/>
  <c r="BW170" i="25"/>
  <c r="BW171" i="25"/>
  <c r="BW172" i="25"/>
  <c r="BW173" i="25"/>
  <c r="BW174" i="25"/>
  <c r="BW175" i="25"/>
  <c r="BX151" i="25"/>
  <c r="BX152" i="25"/>
  <c r="BX153" i="25"/>
  <c r="BX154" i="25"/>
  <c r="BX155" i="25"/>
  <c r="BX156" i="25"/>
  <c r="BX157" i="25"/>
  <c r="BX158" i="25"/>
  <c r="BX159" i="25"/>
  <c r="BX160" i="25"/>
  <c r="BX161" i="25"/>
  <c r="BX162" i="25"/>
  <c r="BX163" i="25"/>
  <c r="BX164" i="25"/>
  <c r="BX165" i="25"/>
  <c r="BX166" i="25"/>
  <c r="BX167" i="25"/>
  <c r="BX168" i="25"/>
  <c r="BX169" i="25"/>
  <c r="BX170" i="25"/>
  <c r="BX171" i="25"/>
  <c r="BX172" i="25"/>
  <c r="BX173" i="25"/>
  <c r="BX174" i="25"/>
  <c r="BX175" i="25"/>
  <c r="BY151" i="25"/>
  <c r="BY152" i="25"/>
  <c r="BY153" i="25"/>
  <c r="BY154" i="25"/>
  <c r="BY155" i="25"/>
  <c r="BY156" i="25"/>
  <c r="BY157" i="25"/>
  <c r="BY158" i="25"/>
  <c r="BY159" i="25"/>
  <c r="BY160" i="25"/>
  <c r="BY161" i="25"/>
  <c r="BY162" i="25"/>
  <c r="BY163" i="25"/>
  <c r="BY164" i="25"/>
  <c r="BY165" i="25"/>
  <c r="BY166" i="25"/>
  <c r="BY167" i="25"/>
  <c r="BY168" i="25"/>
  <c r="BY169" i="25"/>
  <c r="BY170" i="25"/>
  <c r="BY171" i="25"/>
  <c r="BY172" i="25"/>
  <c r="BY173" i="25"/>
  <c r="BY174" i="25"/>
  <c r="BY175" i="25"/>
  <c r="BZ151" i="25"/>
  <c r="BZ152" i="25"/>
  <c r="BZ153" i="25"/>
  <c r="BZ154" i="25"/>
  <c r="BZ155" i="25"/>
  <c r="BZ156" i="25"/>
  <c r="BZ157" i="25"/>
  <c r="BZ158" i="25"/>
  <c r="BZ159" i="25"/>
  <c r="BZ160" i="25"/>
  <c r="BZ161" i="25"/>
  <c r="BZ162" i="25"/>
  <c r="BZ163" i="25"/>
  <c r="BZ164" i="25"/>
  <c r="BZ165" i="25"/>
  <c r="BZ166" i="25"/>
  <c r="BZ167" i="25"/>
  <c r="BZ168" i="25"/>
  <c r="BZ169" i="25"/>
  <c r="BZ170" i="25"/>
  <c r="BZ171" i="25"/>
  <c r="BZ172" i="25"/>
  <c r="BZ173" i="25"/>
  <c r="BZ174" i="25"/>
  <c r="BZ175" i="25"/>
  <c r="CA151" i="25"/>
  <c r="CA152" i="25"/>
  <c r="CA153" i="25"/>
  <c r="CA154" i="25"/>
  <c r="CA155" i="25"/>
  <c r="CA156" i="25"/>
  <c r="CA157" i="25"/>
  <c r="CA158" i="25"/>
  <c r="CA159" i="25"/>
  <c r="CA160" i="25"/>
  <c r="CA161" i="25"/>
  <c r="CA162" i="25"/>
  <c r="CA163" i="25"/>
  <c r="CA164" i="25"/>
  <c r="CA165" i="25"/>
  <c r="CA166" i="25"/>
  <c r="CA167" i="25"/>
  <c r="CA168" i="25"/>
  <c r="CA169" i="25"/>
  <c r="CA170" i="25"/>
  <c r="CA171" i="25"/>
  <c r="CA172" i="25"/>
  <c r="CA173" i="25"/>
  <c r="CA174" i="25"/>
  <c r="CA175" i="25"/>
  <c r="AT146" i="25"/>
  <c r="AU146" i="25" s="1"/>
  <c r="AT147" i="25"/>
  <c r="AT148" i="25"/>
  <c r="AT149" i="25"/>
  <c r="AU149" i="25" s="1"/>
  <c r="AT150" i="25"/>
  <c r="AU150" i="25" s="1"/>
  <c r="AV146" i="25"/>
  <c r="AV147" i="25"/>
  <c r="AW147" i="25" s="1"/>
  <c r="AV148" i="25"/>
  <c r="AW148" i="25" s="1"/>
  <c r="AV149" i="25"/>
  <c r="AW149" i="25" s="1"/>
  <c r="AV150" i="25"/>
  <c r="AW150" i="25" s="1"/>
  <c r="BD146" i="25"/>
  <c r="BD147" i="25"/>
  <c r="BD148" i="25"/>
  <c r="BD149" i="25"/>
  <c r="BD150" i="25"/>
  <c r="BF146" i="25"/>
  <c r="BF147" i="25"/>
  <c r="BF148" i="25"/>
  <c r="BJ149" i="25"/>
  <c r="BF150" i="25"/>
  <c r="BG146" i="25"/>
  <c r="BG147" i="25"/>
  <c r="BG148" i="25"/>
  <c r="BG149" i="25"/>
  <c r="BG150" i="25"/>
  <c r="BH146" i="25"/>
  <c r="BI146" i="25" s="1"/>
  <c r="BH147" i="25"/>
  <c r="BI147" i="25" s="1"/>
  <c r="BH148" i="25"/>
  <c r="BI148" i="25" s="1"/>
  <c r="BH149" i="25"/>
  <c r="BI149" i="25" s="1"/>
  <c r="BH150" i="25"/>
  <c r="BI150" i="25" s="1"/>
  <c r="BK146" i="25"/>
  <c r="BP146" i="25" s="1"/>
  <c r="BK147" i="25"/>
  <c r="BP147" i="25" s="1"/>
  <c r="BK148" i="25"/>
  <c r="BP148" i="25" s="1"/>
  <c r="BK149" i="25"/>
  <c r="BP149" i="25" s="1"/>
  <c r="BK150" i="25"/>
  <c r="BP150" i="25" s="1"/>
  <c r="BL146" i="25"/>
  <c r="BL147" i="25"/>
  <c r="BL148" i="25"/>
  <c r="BL149" i="25"/>
  <c r="BL150" i="25"/>
  <c r="BR146" i="25"/>
  <c r="BR147" i="25"/>
  <c r="BR148" i="25"/>
  <c r="BR149" i="25"/>
  <c r="BR150" i="25"/>
  <c r="BT146" i="25"/>
  <c r="BT147" i="25"/>
  <c r="BT148" i="25"/>
  <c r="BT149" i="25"/>
  <c r="BT150" i="25"/>
  <c r="BU146" i="25"/>
  <c r="BU147" i="25"/>
  <c r="BU148" i="25"/>
  <c r="BU149" i="25"/>
  <c r="BU150" i="25"/>
  <c r="BV146" i="25"/>
  <c r="BV147" i="25"/>
  <c r="BV148" i="25"/>
  <c r="BV149" i="25"/>
  <c r="BV150" i="25"/>
  <c r="BW146" i="25"/>
  <c r="BW147" i="25"/>
  <c r="BW148" i="25"/>
  <c r="BW149" i="25"/>
  <c r="BW150" i="25"/>
  <c r="BX146" i="25"/>
  <c r="BX147" i="25"/>
  <c r="BX148" i="25"/>
  <c r="BX149" i="25"/>
  <c r="BX150" i="25"/>
  <c r="BY146" i="25"/>
  <c r="BY147" i="25"/>
  <c r="BY148" i="25"/>
  <c r="BY149" i="25"/>
  <c r="BY150" i="25"/>
  <c r="BZ146" i="25"/>
  <c r="BZ147" i="25"/>
  <c r="BZ148" i="25"/>
  <c r="BZ149" i="25"/>
  <c r="BZ150" i="25"/>
  <c r="CA146" i="25"/>
  <c r="CA147" i="25"/>
  <c r="CA148" i="25"/>
  <c r="CA149" i="25"/>
  <c r="CA150" i="25"/>
  <c r="AT144" i="25"/>
  <c r="AU144" i="25" s="1"/>
  <c r="AT145" i="25"/>
  <c r="AU145" i="25" s="1"/>
  <c r="AV144" i="25"/>
  <c r="AW144" i="25" s="1"/>
  <c r="AV145" i="25"/>
  <c r="BD144" i="25"/>
  <c r="BD145" i="25"/>
  <c r="BF144" i="25"/>
  <c r="BF145" i="25"/>
  <c r="BG144" i="25"/>
  <c r="BG145" i="25"/>
  <c r="BH144" i="25"/>
  <c r="BI144" i="25" s="1"/>
  <c r="BH145" i="25"/>
  <c r="BI145" i="25" s="1"/>
  <c r="BK144" i="25"/>
  <c r="BP144" i="25" s="1"/>
  <c r="BK145" i="25"/>
  <c r="BP145" i="25" s="1"/>
  <c r="BL144" i="25"/>
  <c r="BL145" i="25"/>
  <c r="BR144" i="25"/>
  <c r="BR145" i="25"/>
  <c r="BT144" i="25"/>
  <c r="BT145" i="25"/>
  <c r="BU144" i="25"/>
  <c r="BU145" i="25"/>
  <c r="BV144" i="25"/>
  <c r="BV145" i="25"/>
  <c r="BW144" i="25"/>
  <c r="BW145" i="25"/>
  <c r="BX144" i="25"/>
  <c r="BX145" i="25"/>
  <c r="BY144" i="25"/>
  <c r="BY145" i="25"/>
  <c r="BZ144" i="25"/>
  <c r="BZ145" i="25"/>
  <c r="CA144" i="25"/>
  <c r="CA145" i="25"/>
  <c r="AT74" i="25"/>
  <c r="AU74" i="25" s="1"/>
  <c r="AT75" i="25"/>
  <c r="AT76" i="25"/>
  <c r="AU76" i="25" s="1"/>
  <c r="AT77" i="25"/>
  <c r="AU77" i="25" s="1"/>
  <c r="AT78" i="25"/>
  <c r="AU78" i="25" s="1"/>
  <c r="AT79" i="25"/>
  <c r="AU79" i="25" s="1"/>
  <c r="AT80" i="25"/>
  <c r="AU80" i="25" s="1"/>
  <c r="AT81" i="25"/>
  <c r="AU81" i="25" s="1"/>
  <c r="AT82" i="25"/>
  <c r="AU82" i="25" s="1"/>
  <c r="AT83" i="25"/>
  <c r="AT84" i="25"/>
  <c r="AU84" i="25" s="1"/>
  <c r="AT85" i="25"/>
  <c r="AU85" i="25" s="1"/>
  <c r="AT86" i="25"/>
  <c r="AU86" i="25" s="1"/>
  <c r="AT87" i="25"/>
  <c r="AU87" i="25" s="1"/>
  <c r="AT88" i="25"/>
  <c r="AU88" i="25" s="1"/>
  <c r="AT89" i="25"/>
  <c r="AU89" i="25" s="1"/>
  <c r="AT90" i="25"/>
  <c r="AU90" i="25" s="1"/>
  <c r="AT91" i="25"/>
  <c r="AT92" i="25"/>
  <c r="AU92" i="25" s="1"/>
  <c r="AT93" i="25"/>
  <c r="AU93" i="25" s="1"/>
  <c r="AT94" i="25"/>
  <c r="AU94" i="25" s="1"/>
  <c r="AT95" i="25"/>
  <c r="AU95" i="25" s="1"/>
  <c r="AT96" i="25"/>
  <c r="AU96" i="25" s="1"/>
  <c r="AT97" i="25"/>
  <c r="AU97" i="25" s="1"/>
  <c r="AT98" i="25"/>
  <c r="AU98" i="25" s="1"/>
  <c r="AT99" i="25"/>
  <c r="AT100" i="25"/>
  <c r="AU100" i="25" s="1"/>
  <c r="AT101" i="25"/>
  <c r="AU101" i="25" s="1"/>
  <c r="AT102" i="25"/>
  <c r="AU102" i="25" s="1"/>
  <c r="AT103" i="25"/>
  <c r="AU103" i="25" s="1"/>
  <c r="AT104" i="25"/>
  <c r="AU104" i="25" s="1"/>
  <c r="AT105" i="25"/>
  <c r="AU105" i="25" s="1"/>
  <c r="AT106" i="25"/>
  <c r="AU106" i="25" s="1"/>
  <c r="AT107" i="25"/>
  <c r="AT108" i="25"/>
  <c r="AU108" i="25" s="1"/>
  <c r="AT109" i="25"/>
  <c r="AU109" i="25" s="1"/>
  <c r="AT110" i="25"/>
  <c r="AU110" i="25" s="1"/>
  <c r="AT111" i="25"/>
  <c r="AU111" i="25" s="1"/>
  <c r="AT112" i="25"/>
  <c r="AU112" i="25" s="1"/>
  <c r="AT113" i="25"/>
  <c r="AU113" i="25" s="1"/>
  <c r="AT114" i="25"/>
  <c r="AU114" i="25" s="1"/>
  <c r="AT115" i="25"/>
  <c r="AT116" i="25"/>
  <c r="AU116" i="25" s="1"/>
  <c r="AT117" i="25"/>
  <c r="AU117" i="25" s="1"/>
  <c r="AT118" i="25"/>
  <c r="AU118" i="25" s="1"/>
  <c r="AT119" i="25"/>
  <c r="AU119" i="25" s="1"/>
  <c r="AT120" i="25"/>
  <c r="AU120" i="25" s="1"/>
  <c r="AT121" i="25"/>
  <c r="AU121" i="25" s="1"/>
  <c r="AT122" i="25"/>
  <c r="AU122" i="25" s="1"/>
  <c r="AT123" i="25"/>
  <c r="AT124" i="25"/>
  <c r="AU124" i="25" s="1"/>
  <c r="AT125" i="25"/>
  <c r="AU125" i="25" s="1"/>
  <c r="AT126" i="25"/>
  <c r="AU126" i="25" s="1"/>
  <c r="AT127" i="25"/>
  <c r="AU127" i="25" s="1"/>
  <c r="AT128" i="25"/>
  <c r="AU128" i="25" s="1"/>
  <c r="AT129" i="25"/>
  <c r="AU129" i="25" s="1"/>
  <c r="AT130" i="25"/>
  <c r="AU130" i="25" s="1"/>
  <c r="AT131" i="25"/>
  <c r="AT132" i="25"/>
  <c r="AU132" i="25" s="1"/>
  <c r="AT134" i="25"/>
  <c r="AU134" i="25" s="1"/>
  <c r="AT135" i="25"/>
  <c r="AU135" i="25" s="1"/>
  <c r="AT136" i="25"/>
  <c r="AU136" i="25" s="1"/>
  <c r="AT137" i="25"/>
  <c r="AU137" i="25" s="1"/>
  <c r="AT138" i="25"/>
  <c r="AU138" i="25" s="1"/>
  <c r="AT139" i="25"/>
  <c r="AU139" i="25" s="1"/>
  <c r="AT140" i="25"/>
  <c r="AT141" i="25"/>
  <c r="AU141" i="25" s="1"/>
  <c r="AT142" i="25"/>
  <c r="AU142" i="25" s="1"/>
  <c r="AT143" i="25"/>
  <c r="AU143" i="25" s="1"/>
  <c r="AV74" i="25"/>
  <c r="AW74" i="25" s="1"/>
  <c r="AV75" i="25"/>
  <c r="AW75" i="25" s="1"/>
  <c r="AV76" i="25"/>
  <c r="AW76" i="25" s="1"/>
  <c r="AV77" i="25"/>
  <c r="AW77" i="25" s="1"/>
  <c r="AV78" i="25"/>
  <c r="AV79" i="25"/>
  <c r="AW79" i="25" s="1"/>
  <c r="AV80" i="25"/>
  <c r="AW80" i="25" s="1"/>
  <c r="AV81" i="25"/>
  <c r="AV82" i="25"/>
  <c r="AW82" i="25" s="1"/>
  <c r="AV83" i="25"/>
  <c r="AW83" i="25" s="1"/>
  <c r="AV84" i="25"/>
  <c r="AW84" i="25" s="1"/>
  <c r="AV85" i="25"/>
  <c r="AW85" i="25" s="1"/>
  <c r="AV86" i="25"/>
  <c r="AW86" i="25" s="1"/>
  <c r="AV87" i="25"/>
  <c r="AW87" i="25" s="1"/>
  <c r="AV88" i="25"/>
  <c r="AV89" i="25"/>
  <c r="AV90" i="25"/>
  <c r="AV91" i="25"/>
  <c r="AW91" i="25" s="1"/>
  <c r="AV92" i="25"/>
  <c r="AV93" i="25"/>
  <c r="AW93" i="25" s="1"/>
  <c r="AV94" i="25"/>
  <c r="AV95" i="25"/>
  <c r="AW95" i="25" s="1"/>
  <c r="AV96" i="25"/>
  <c r="AW96" i="25" s="1"/>
  <c r="AV97" i="25"/>
  <c r="AV98" i="25"/>
  <c r="AV99" i="25"/>
  <c r="AW99" i="25" s="1"/>
  <c r="AV100" i="25"/>
  <c r="AW100" i="25" s="1"/>
  <c r="AV101" i="25"/>
  <c r="AW101" i="25" s="1"/>
  <c r="AV102" i="25"/>
  <c r="AW102" i="25" s="1"/>
  <c r="AV103" i="25"/>
  <c r="AW103" i="25" s="1"/>
  <c r="AV104" i="25"/>
  <c r="AV105" i="25"/>
  <c r="AV106" i="25"/>
  <c r="AW106" i="25" s="1"/>
  <c r="AV107" i="25"/>
  <c r="AW107" i="25" s="1"/>
  <c r="AV108" i="25"/>
  <c r="AW108" i="25" s="1"/>
  <c r="AV109" i="25"/>
  <c r="AW109" i="25" s="1"/>
  <c r="AV110" i="25"/>
  <c r="AV111" i="25"/>
  <c r="AW111" i="25" s="1"/>
  <c r="AV112" i="25"/>
  <c r="AW112" i="25" s="1"/>
  <c r="AV113" i="25"/>
  <c r="AV114" i="25"/>
  <c r="AW114" i="25" s="1"/>
  <c r="AV115" i="25"/>
  <c r="AW115" i="25" s="1"/>
  <c r="AV116" i="25"/>
  <c r="AW116" i="25" s="1"/>
  <c r="AV117" i="25"/>
  <c r="AW117" i="25" s="1"/>
  <c r="AV118" i="25"/>
  <c r="AW118" i="25" s="1"/>
  <c r="AV119" i="25"/>
  <c r="AW119" i="25" s="1"/>
  <c r="AV120" i="25"/>
  <c r="AW120" i="25" s="1"/>
  <c r="AV121" i="25"/>
  <c r="AV122" i="25"/>
  <c r="AW122" i="25" s="1"/>
  <c r="AV123" i="25"/>
  <c r="AW123" i="25" s="1"/>
  <c r="AV124" i="25"/>
  <c r="AW124" i="25" s="1"/>
  <c r="AV125" i="25"/>
  <c r="AW125" i="25" s="1"/>
  <c r="AV126" i="25"/>
  <c r="AV127" i="25"/>
  <c r="AW127" i="25" s="1"/>
  <c r="AV128" i="25"/>
  <c r="AW128" i="25" s="1"/>
  <c r="AV129" i="25"/>
  <c r="AV130" i="25"/>
  <c r="AW130" i="25" s="1"/>
  <c r="AV131" i="25"/>
  <c r="AW131" i="25" s="1"/>
  <c r="AV132" i="25"/>
  <c r="AW132" i="25" s="1"/>
  <c r="AV134" i="25"/>
  <c r="AW134" i="25" s="1"/>
  <c r="AV135" i="25"/>
  <c r="AW135" i="25" s="1"/>
  <c r="AV136" i="25"/>
  <c r="AW136" i="25" s="1"/>
  <c r="AV137" i="25"/>
  <c r="AV138" i="25"/>
  <c r="AV139" i="25"/>
  <c r="AW139" i="25" s="1"/>
  <c r="AV140" i="25"/>
  <c r="AW140" i="25" s="1"/>
  <c r="AV141" i="25"/>
  <c r="AW141" i="25" s="1"/>
  <c r="AV142" i="25"/>
  <c r="AW142" i="25" s="1"/>
  <c r="AV143" i="25"/>
  <c r="BD74" i="25"/>
  <c r="BD75" i="25"/>
  <c r="BD76" i="25"/>
  <c r="BD77" i="25"/>
  <c r="BD78" i="25"/>
  <c r="BD79" i="25"/>
  <c r="BD80" i="25"/>
  <c r="BD81" i="25"/>
  <c r="BD82" i="25"/>
  <c r="BD83" i="25"/>
  <c r="BD84" i="25"/>
  <c r="BD85" i="25"/>
  <c r="BD86" i="25"/>
  <c r="BD87" i="25"/>
  <c r="BD88" i="25"/>
  <c r="BD89" i="25"/>
  <c r="BD90" i="25"/>
  <c r="BD91" i="25"/>
  <c r="BD92" i="25"/>
  <c r="BD93" i="25"/>
  <c r="BD94" i="25"/>
  <c r="BD95" i="25"/>
  <c r="BD96" i="25"/>
  <c r="BD97" i="25"/>
  <c r="BD98" i="25"/>
  <c r="BD99" i="25"/>
  <c r="BD100" i="25"/>
  <c r="BD101" i="25"/>
  <c r="BD102" i="25"/>
  <c r="BD103" i="25"/>
  <c r="BD104" i="25"/>
  <c r="BD105" i="25"/>
  <c r="BD106" i="25"/>
  <c r="BD107" i="25"/>
  <c r="BD108" i="25"/>
  <c r="BD109" i="25"/>
  <c r="BD110" i="25"/>
  <c r="BD111" i="25"/>
  <c r="BD112" i="25"/>
  <c r="BD113" i="25"/>
  <c r="BD114" i="25"/>
  <c r="BD115" i="25"/>
  <c r="BD116" i="25"/>
  <c r="BD117" i="25"/>
  <c r="BD118" i="25"/>
  <c r="BD119" i="25"/>
  <c r="BD120" i="25"/>
  <c r="BD121" i="25"/>
  <c r="BD122" i="25"/>
  <c r="BD123" i="25"/>
  <c r="BD124" i="25"/>
  <c r="BD125" i="25"/>
  <c r="BD126" i="25"/>
  <c r="BD127" i="25"/>
  <c r="BD128" i="25"/>
  <c r="BD129" i="25"/>
  <c r="BD130" i="25"/>
  <c r="BD131" i="25"/>
  <c r="BD132" i="25"/>
  <c r="BD134" i="25"/>
  <c r="BD135" i="25"/>
  <c r="BD136" i="25"/>
  <c r="BD137" i="25"/>
  <c r="BD138" i="25"/>
  <c r="BD139" i="25"/>
  <c r="BD140" i="25"/>
  <c r="BD141" i="25"/>
  <c r="BD142" i="25"/>
  <c r="BD143" i="25"/>
  <c r="BF74" i="25"/>
  <c r="BF75" i="25"/>
  <c r="BJ76" i="25"/>
  <c r="BJ77" i="25"/>
  <c r="BF78" i="25"/>
  <c r="BF79" i="25"/>
  <c r="BF80" i="25"/>
  <c r="BF81" i="25"/>
  <c r="BF82" i="25"/>
  <c r="BJ83" i="25"/>
  <c r="BF84" i="25"/>
  <c r="BJ85" i="25"/>
  <c r="BF86" i="25"/>
  <c r="BF87" i="25"/>
  <c r="BF88" i="25"/>
  <c r="BJ89" i="25"/>
  <c r="BF90" i="25"/>
  <c r="BF91" i="25"/>
  <c r="BJ92" i="25"/>
  <c r="BF93" i="25"/>
  <c r="BF94" i="25"/>
  <c r="BJ95" i="25"/>
  <c r="BF96" i="25"/>
  <c r="BF97" i="25"/>
  <c r="BF98" i="25"/>
  <c r="BF99" i="25"/>
  <c r="BF100" i="25"/>
  <c r="BJ101" i="25"/>
  <c r="BF102" i="25"/>
  <c r="BF103" i="25"/>
  <c r="BF104" i="25"/>
  <c r="BJ105" i="25"/>
  <c r="BF106" i="25"/>
  <c r="BF107" i="25"/>
  <c r="BJ108" i="25"/>
  <c r="BF109" i="25"/>
  <c r="BF110" i="25"/>
  <c r="BF111" i="25"/>
  <c r="BF112" i="25"/>
  <c r="BF113" i="25"/>
  <c r="BF114" i="25"/>
  <c r="BF115" i="25"/>
  <c r="BF116" i="25"/>
  <c r="BF117" i="25"/>
  <c r="BF118" i="25"/>
  <c r="BF119" i="25"/>
  <c r="BF120" i="25"/>
  <c r="BJ121" i="25"/>
  <c r="BF122" i="25"/>
  <c r="BF123" i="25"/>
  <c r="BF124" i="25"/>
  <c r="BF125" i="25"/>
  <c r="BF126" i="25"/>
  <c r="BJ127" i="25"/>
  <c r="BF128" i="25"/>
  <c r="BF129" i="25"/>
  <c r="BJ130" i="25"/>
  <c r="BF131" i="25"/>
  <c r="BF132" i="25"/>
  <c r="BF134" i="25"/>
  <c r="BF135" i="25"/>
  <c r="BF136" i="25"/>
  <c r="BF137" i="25"/>
  <c r="BJ138" i="25"/>
  <c r="BJ139" i="25"/>
  <c r="BJ140" i="25"/>
  <c r="BJ141" i="25"/>
  <c r="BF142" i="25"/>
  <c r="BF143" i="25"/>
  <c r="BG74" i="25"/>
  <c r="BG75" i="25"/>
  <c r="BG76" i="25"/>
  <c r="BG77" i="25"/>
  <c r="BG78" i="25"/>
  <c r="BG79" i="25"/>
  <c r="BG80" i="25"/>
  <c r="BG81" i="25"/>
  <c r="BG82" i="25"/>
  <c r="BG83" i="25"/>
  <c r="BG84" i="25"/>
  <c r="BG85" i="25"/>
  <c r="BG86" i="25"/>
  <c r="BG87" i="25"/>
  <c r="BG88" i="25"/>
  <c r="BG89" i="25"/>
  <c r="BG90" i="25"/>
  <c r="BG91" i="25"/>
  <c r="BG92" i="25"/>
  <c r="BG93" i="25"/>
  <c r="BG94" i="25"/>
  <c r="BG95" i="25"/>
  <c r="BG96" i="25"/>
  <c r="BG97" i="25"/>
  <c r="BG98" i="25"/>
  <c r="BG99" i="25"/>
  <c r="BG100" i="25"/>
  <c r="BG101" i="25"/>
  <c r="BG102" i="25"/>
  <c r="BG103" i="25"/>
  <c r="BG104" i="25"/>
  <c r="BG105" i="25"/>
  <c r="BG106" i="25"/>
  <c r="BG107" i="25"/>
  <c r="BG108" i="25"/>
  <c r="BG109" i="25"/>
  <c r="BG110" i="25"/>
  <c r="BG111" i="25"/>
  <c r="BG112" i="25"/>
  <c r="BG113" i="25"/>
  <c r="BG114" i="25"/>
  <c r="BG115" i="25"/>
  <c r="BG116" i="25"/>
  <c r="BG117" i="25"/>
  <c r="BG118" i="25"/>
  <c r="BG119" i="25"/>
  <c r="BG120" i="25"/>
  <c r="BG121" i="25"/>
  <c r="BG122" i="25"/>
  <c r="BG123" i="25"/>
  <c r="BG124" i="25"/>
  <c r="BG125" i="25"/>
  <c r="BG126" i="25"/>
  <c r="BG127" i="25"/>
  <c r="BG128" i="25"/>
  <c r="BG129" i="25"/>
  <c r="BG130" i="25"/>
  <c r="BG131" i="25"/>
  <c r="BG132" i="25"/>
  <c r="BG134" i="25"/>
  <c r="BG135" i="25"/>
  <c r="BG136" i="25"/>
  <c r="BG137" i="25"/>
  <c r="BG138" i="25"/>
  <c r="BG139" i="25"/>
  <c r="BG140" i="25"/>
  <c r="BG141" i="25"/>
  <c r="BG142" i="25"/>
  <c r="BG143" i="25"/>
  <c r="BH74" i="25"/>
  <c r="BI74" i="25" s="1"/>
  <c r="BH75" i="25"/>
  <c r="BI75" i="25" s="1"/>
  <c r="BH76" i="25"/>
  <c r="BI76" i="25" s="1"/>
  <c r="BH77" i="25"/>
  <c r="BI77" i="25" s="1"/>
  <c r="BH78" i="25"/>
  <c r="BI78" i="25" s="1"/>
  <c r="BH79" i="25"/>
  <c r="BI79" i="25" s="1"/>
  <c r="BH80" i="25"/>
  <c r="BI80" i="25" s="1"/>
  <c r="BH81" i="25"/>
  <c r="BI81" i="25" s="1"/>
  <c r="BH82" i="25"/>
  <c r="BI82" i="25" s="1"/>
  <c r="BH83" i="25"/>
  <c r="BI83" i="25" s="1"/>
  <c r="BH84" i="25"/>
  <c r="BI84" i="25" s="1"/>
  <c r="BH85" i="25"/>
  <c r="BI85" i="25" s="1"/>
  <c r="BH86" i="25"/>
  <c r="BI86" i="25" s="1"/>
  <c r="BH87" i="25"/>
  <c r="BI87" i="25" s="1"/>
  <c r="BH88" i="25"/>
  <c r="BI88" i="25" s="1"/>
  <c r="BH89" i="25"/>
  <c r="BI89" i="25" s="1"/>
  <c r="BH90" i="25"/>
  <c r="BI90" i="25" s="1"/>
  <c r="BH91" i="25"/>
  <c r="BI91" i="25" s="1"/>
  <c r="BH92" i="25"/>
  <c r="BI92" i="25" s="1"/>
  <c r="BH93" i="25"/>
  <c r="BI93" i="25" s="1"/>
  <c r="BH94" i="25"/>
  <c r="BI94" i="25" s="1"/>
  <c r="BH95" i="25"/>
  <c r="BI95" i="25" s="1"/>
  <c r="BH96" i="25"/>
  <c r="BI96" i="25" s="1"/>
  <c r="BH97" i="25"/>
  <c r="BI97" i="25" s="1"/>
  <c r="BH98" i="25"/>
  <c r="BI98" i="25" s="1"/>
  <c r="BH99" i="25"/>
  <c r="BI99" i="25" s="1"/>
  <c r="BH100" i="25"/>
  <c r="BI100" i="25" s="1"/>
  <c r="BH101" i="25"/>
  <c r="BI101" i="25" s="1"/>
  <c r="BH102" i="25"/>
  <c r="BI102" i="25" s="1"/>
  <c r="BH103" i="25"/>
  <c r="BI103" i="25" s="1"/>
  <c r="BH104" i="25"/>
  <c r="BI104" i="25" s="1"/>
  <c r="BH105" i="25"/>
  <c r="BI105" i="25" s="1"/>
  <c r="BH106" i="25"/>
  <c r="BI106" i="25" s="1"/>
  <c r="BH107" i="25"/>
  <c r="BI107" i="25" s="1"/>
  <c r="BH108" i="25"/>
  <c r="BI108" i="25" s="1"/>
  <c r="BH109" i="25"/>
  <c r="BI109" i="25" s="1"/>
  <c r="BH110" i="25"/>
  <c r="BI110" i="25" s="1"/>
  <c r="BH111" i="25"/>
  <c r="BI111" i="25" s="1"/>
  <c r="BH112" i="25"/>
  <c r="BI112" i="25" s="1"/>
  <c r="BH113" i="25"/>
  <c r="BI113" i="25" s="1"/>
  <c r="BH114" i="25"/>
  <c r="BI114" i="25" s="1"/>
  <c r="BH115" i="25"/>
  <c r="BI115" i="25" s="1"/>
  <c r="BH116" i="25"/>
  <c r="BI116" i="25" s="1"/>
  <c r="BH117" i="25"/>
  <c r="BI117" i="25" s="1"/>
  <c r="BH118" i="25"/>
  <c r="BI118" i="25" s="1"/>
  <c r="BH119" i="25"/>
  <c r="BI119" i="25" s="1"/>
  <c r="BH120" i="25"/>
  <c r="BI120" i="25" s="1"/>
  <c r="BH121" i="25"/>
  <c r="BI121" i="25" s="1"/>
  <c r="BH122" i="25"/>
  <c r="BI122" i="25" s="1"/>
  <c r="BH123" i="25"/>
  <c r="BI123" i="25" s="1"/>
  <c r="BH124" i="25"/>
  <c r="BI124" i="25" s="1"/>
  <c r="BH125" i="25"/>
  <c r="BI125" i="25" s="1"/>
  <c r="BH126" i="25"/>
  <c r="BI126" i="25" s="1"/>
  <c r="BH127" i="25"/>
  <c r="BI127" i="25" s="1"/>
  <c r="BH128" i="25"/>
  <c r="BI128" i="25" s="1"/>
  <c r="BH129" i="25"/>
  <c r="BI129" i="25" s="1"/>
  <c r="BH130" i="25"/>
  <c r="BI130" i="25" s="1"/>
  <c r="BH131" i="25"/>
  <c r="BI131" i="25" s="1"/>
  <c r="BH132" i="25"/>
  <c r="BI132" i="25" s="1"/>
  <c r="BH134" i="25"/>
  <c r="BI134" i="25" s="1"/>
  <c r="BH135" i="25"/>
  <c r="BI135" i="25" s="1"/>
  <c r="BH136" i="25"/>
  <c r="BI136" i="25" s="1"/>
  <c r="BH137" i="25"/>
  <c r="BI137" i="25" s="1"/>
  <c r="BH138" i="25"/>
  <c r="BI138" i="25" s="1"/>
  <c r="BH139" i="25"/>
  <c r="BI139" i="25" s="1"/>
  <c r="BH140" i="25"/>
  <c r="BI140" i="25" s="1"/>
  <c r="BH141" i="25"/>
  <c r="BI141" i="25" s="1"/>
  <c r="BH142" i="25"/>
  <c r="BI142" i="25" s="1"/>
  <c r="BH143" i="25"/>
  <c r="BI143" i="25" s="1"/>
  <c r="BK74" i="25"/>
  <c r="BP74" i="25" s="1"/>
  <c r="BK75" i="25"/>
  <c r="BP75" i="25" s="1"/>
  <c r="BK76" i="25"/>
  <c r="BP76" i="25" s="1"/>
  <c r="BK77" i="25"/>
  <c r="BP77" i="25" s="1"/>
  <c r="BK78" i="25"/>
  <c r="BP78" i="25" s="1"/>
  <c r="BK79" i="25"/>
  <c r="BP79" i="25" s="1"/>
  <c r="BK80" i="25"/>
  <c r="BK81" i="25"/>
  <c r="BP81" i="25" s="1"/>
  <c r="BK82" i="25"/>
  <c r="BP82" i="25" s="1"/>
  <c r="BK83" i="25"/>
  <c r="BP83" i="25" s="1"/>
  <c r="BK84" i="25"/>
  <c r="BP84" i="25" s="1"/>
  <c r="BK85" i="25"/>
  <c r="BP85" i="25" s="1"/>
  <c r="BK86" i="25"/>
  <c r="BP86" i="25" s="1"/>
  <c r="BK87" i="25"/>
  <c r="BP87" i="25" s="1"/>
  <c r="BK88" i="25"/>
  <c r="BK89" i="25"/>
  <c r="BP89" i="25" s="1"/>
  <c r="BK90" i="25"/>
  <c r="BP90" i="25" s="1"/>
  <c r="BK91" i="25"/>
  <c r="BP91" i="25" s="1"/>
  <c r="BK92" i="25"/>
  <c r="BP92" i="25" s="1"/>
  <c r="BK93" i="25"/>
  <c r="BP93" i="25" s="1"/>
  <c r="BK94" i="25"/>
  <c r="BP94" i="25" s="1"/>
  <c r="BK95" i="25"/>
  <c r="BP95" i="25" s="1"/>
  <c r="BK96" i="25"/>
  <c r="BK97" i="25"/>
  <c r="BP97" i="25" s="1"/>
  <c r="BK98" i="25"/>
  <c r="BP98" i="25" s="1"/>
  <c r="BK99" i="25"/>
  <c r="BP99" i="25" s="1"/>
  <c r="BK100" i="25"/>
  <c r="BP100" i="25" s="1"/>
  <c r="BK101" i="25"/>
  <c r="BP101" i="25" s="1"/>
  <c r="BK102" i="25"/>
  <c r="BP102" i="25" s="1"/>
  <c r="BK103" i="25"/>
  <c r="BP103" i="25" s="1"/>
  <c r="BK104" i="25"/>
  <c r="BK105" i="25"/>
  <c r="BP105" i="25" s="1"/>
  <c r="BK106" i="25"/>
  <c r="BP106" i="25" s="1"/>
  <c r="BK107" i="25"/>
  <c r="BP107" i="25" s="1"/>
  <c r="BK108" i="25"/>
  <c r="BK109" i="25"/>
  <c r="BP109" i="25" s="1"/>
  <c r="BK110" i="25"/>
  <c r="BP110" i="25" s="1"/>
  <c r="BK111" i="25"/>
  <c r="BP111" i="25" s="1"/>
  <c r="BK112" i="25"/>
  <c r="BK113" i="25"/>
  <c r="BP113" i="25" s="1"/>
  <c r="BK114" i="25"/>
  <c r="BP114" i="25" s="1"/>
  <c r="BK115" i="25"/>
  <c r="BP115" i="25" s="1"/>
  <c r="BK116" i="25"/>
  <c r="BP116" i="25" s="1"/>
  <c r="BK117" i="25"/>
  <c r="BP117" i="25" s="1"/>
  <c r="BK118" i="25"/>
  <c r="BP118" i="25" s="1"/>
  <c r="BK119" i="25"/>
  <c r="BP119" i="25" s="1"/>
  <c r="BK120" i="25"/>
  <c r="BK121" i="25"/>
  <c r="BP121" i="25" s="1"/>
  <c r="BK122" i="25"/>
  <c r="BP122" i="25" s="1"/>
  <c r="BK123" i="25"/>
  <c r="BP123" i="25" s="1"/>
  <c r="BK124" i="25"/>
  <c r="BP124" i="25" s="1"/>
  <c r="BK125" i="25"/>
  <c r="BP125" i="25" s="1"/>
  <c r="BK126" i="25"/>
  <c r="BP126" i="25" s="1"/>
  <c r="BK127" i="25"/>
  <c r="BP127" i="25" s="1"/>
  <c r="BK128" i="25"/>
  <c r="BK129" i="25"/>
  <c r="BP129" i="25" s="1"/>
  <c r="BK130" i="25"/>
  <c r="BP130" i="25" s="1"/>
  <c r="BK131" i="25"/>
  <c r="BP131" i="25" s="1"/>
  <c r="BK132" i="25"/>
  <c r="BP132" i="25" s="1"/>
  <c r="BK134" i="25"/>
  <c r="BP134" i="25" s="1"/>
  <c r="BK135" i="25"/>
  <c r="BP135" i="25" s="1"/>
  <c r="BK136" i="25"/>
  <c r="BP136" i="25" s="1"/>
  <c r="BK137" i="25"/>
  <c r="BK138" i="25"/>
  <c r="BP138" i="25" s="1"/>
  <c r="BK139" i="25"/>
  <c r="BP139" i="25" s="1"/>
  <c r="BK140" i="25"/>
  <c r="BP140" i="25" s="1"/>
  <c r="BK141" i="25"/>
  <c r="BP141" i="25" s="1"/>
  <c r="BK142" i="25"/>
  <c r="BP142" i="25" s="1"/>
  <c r="BK143" i="25"/>
  <c r="BP143" i="25" s="1"/>
  <c r="BL74" i="25"/>
  <c r="BL75" i="25"/>
  <c r="BL76" i="25"/>
  <c r="BL77" i="25"/>
  <c r="BL78" i="25"/>
  <c r="BL79" i="25"/>
  <c r="BL80" i="25"/>
  <c r="BL81" i="25"/>
  <c r="BL82" i="25"/>
  <c r="BL83" i="25"/>
  <c r="BL84" i="25"/>
  <c r="BL85" i="25"/>
  <c r="BL86" i="25"/>
  <c r="BL87" i="25"/>
  <c r="BL88" i="25"/>
  <c r="BL89" i="25"/>
  <c r="BL90" i="25"/>
  <c r="BL91" i="25"/>
  <c r="BL92" i="25"/>
  <c r="BL93" i="25"/>
  <c r="BL94" i="25"/>
  <c r="BL95" i="25"/>
  <c r="BL96" i="25"/>
  <c r="BL97" i="25"/>
  <c r="BL98" i="25"/>
  <c r="BL99" i="25"/>
  <c r="BL100" i="25"/>
  <c r="BL101" i="25"/>
  <c r="BL102" i="25"/>
  <c r="BL103" i="25"/>
  <c r="BL104" i="25"/>
  <c r="BL105" i="25"/>
  <c r="BL106" i="25"/>
  <c r="BL107" i="25"/>
  <c r="BL108" i="25"/>
  <c r="BL109" i="25"/>
  <c r="BL110" i="25"/>
  <c r="BL111" i="25"/>
  <c r="BL112" i="25"/>
  <c r="BL113" i="25"/>
  <c r="BL114" i="25"/>
  <c r="BL115" i="25"/>
  <c r="BL116" i="25"/>
  <c r="BL117" i="25"/>
  <c r="BL118" i="25"/>
  <c r="BL119" i="25"/>
  <c r="BL120" i="25"/>
  <c r="BL121" i="25"/>
  <c r="BL122" i="25"/>
  <c r="BL123" i="25"/>
  <c r="BL124" i="25"/>
  <c r="BL125" i="25"/>
  <c r="BL126" i="25"/>
  <c r="BL127" i="25"/>
  <c r="BL128" i="25"/>
  <c r="BL129" i="25"/>
  <c r="BL130" i="25"/>
  <c r="BL131" i="25"/>
  <c r="BL132" i="25"/>
  <c r="BL134" i="25"/>
  <c r="BL135" i="25"/>
  <c r="BL136" i="25"/>
  <c r="BL137" i="25"/>
  <c r="BL138" i="25"/>
  <c r="BL139" i="25"/>
  <c r="BL140" i="25"/>
  <c r="BL141" i="25"/>
  <c r="BL142" i="25"/>
  <c r="BL143" i="25"/>
  <c r="BP108" i="25"/>
  <c r="BR74" i="25"/>
  <c r="BR75" i="25"/>
  <c r="BR76" i="25"/>
  <c r="BR77" i="25"/>
  <c r="BR78" i="25"/>
  <c r="BR79" i="25"/>
  <c r="BR80" i="25"/>
  <c r="BR81" i="25"/>
  <c r="BR82" i="25"/>
  <c r="BR83" i="25"/>
  <c r="BR84" i="25"/>
  <c r="BR85" i="25"/>
  <c r="BR86" i="25"/>
  <c r="BR87" i="25"/>
  <c r="BR88" i="25"/>
  <c r="BR89" i="25"/>
  <c r="BR90" i="25"/>
  <c r="BR91" i="25"/>
  <c r="BR92" i="25"/>
  <c r="BR93" i="25"/>
  <c r="BR94" i="25"/>
  <c r="BR95" i="25"/>
  <c r="BR96" i="25"/>
  <c r="BR97" i="25"/>
  <c r="BR98" i="25"/>
  <c r="BR99" i="25"/>
  <c r="BR100" i="25"/>
  <c r="BR101" i="25"/>
  <c r="BR102" i="25"/>
  <c r="BR103" i="25"/>
  <c r="BR104" i="25"/>
  <c r="BR105" i="25"/>
  <c r="BR106" i="25"/>
  <c r="BR107" i="25"/>
  <c r="BR108" i="25"/>
  <c r="BR109" i="25"/>
  <c r="BR110" i="25"/>
  <c r="BR111" i="25"/>
  <c r="BR112" i="25"/>
  <c r="BR113" i="25"/>
  <c r="BR114" i="25"/>
  <c r="BR115" i="25"/>
  <c r="BR116" i="25"/>
  <c r="BR117" i="25"/>
  <c r="BR118" i="25"/>
  <c r="BR119" i="25"/>
  <c r="BR120" i="25"/>
  <c r="BR121" i="25"/>
  <c r="BR122" i="25"/>
  <c r="BR123" i="25"/>
  <c r="BR124" i="25"/>
  <c r="BR125" i="25"/>
  <c r="BR126" i="25"/>
  <c r="BR127" i="25"/>
  <c r="BR128" i="25"/>
  <c r="BR129" i="25"/>
  <c r="BR130" i="25"/>
  <c r="BR131" i="25"/>
  <c r="BR132" i="25"/>
  <c r="BR134" i="25"/>
  <c r="BR135" i="25"/>
  <c r="BR136" i="25"/>
  <c r="BR137" i="25"/>
  <c r="BR138" i="25"/>
  <c r="BR139" i="25"/>
  <c r="BR140" i="25"/>
  <c r="BR141" i="25"/>
  <c r="BR142" i="25"/>
  <c r="BR143" i="25"/>
  <c r="BT74" i="25"/>
  <c r="BT75" i="25"/>
  <c r="BT76" i="25"/>
  <c r="BT77" i="25"/>
  <c r="BT78" i="25"/>
  <c r="BT79" i="25"/>
  <c r="BT80" i="25"/>
  <c r="BT81" i="25"/>
  <c r="BT82" i="25"/>
  <c r="BT83" i="25"/>
  <c r="BT84" i="25"/>
  <c r="BT85" i="25"/>
  <c r="BT86" i="25"/>
  <c r="BT87" i="25"/>
  <c r="BT88" i="25"/>
  <c r="BT89" i="25"/>
  <c r="BT90" i="25"/>
  <c r="BT91" i="25"/>
  <c r="BT92" i="25"/>
  <c r="BT93" i="25"/>
  <c r="BT94" i="25"/>
  <c r="BT95" i="25"/>
  <c r="BT96" i="25"/>
  <c r="BT97" i="25"/>
  <c r="BT98" i="25"/>
  <c r="BT99" i="25"/>
  <c r="BT100" i="25"/>
  <c r="BT101" i="25"/>
  <c r="BT102" i="25"/>
  <c r="BT103" i="25"/>
  <c r="BT104" i="25"/>
  <c r="BT105" i="25"/>
  <c r="BT106" i="25"/>
  <c r="BT107" i="25"/>
  <c r="BT108" i="25"/>
  <c r="BT109" i="25"/>
  <c r="BT110" i="25"/>
  <c r="BT111" i="25"/>
  <c r="BT112" i="25"/>
  <c r="BT113" i="25"/>
  <c r="BT114" i="25"/>
  <c r="BT115" i="25"/>
  <c r="BT116" i="25"/>
  <c r="BT117" i="25"/>
  <c r="BT118" i="25"/>
  <c r="BT119" i="25"/>
  <c r="BT120" i="25"/>
  <c r="BT121" i="25"/>
  <c r="BT122" i="25"/>
  <c r="BT123" i="25"/>
  <c r="BT124" i="25"/>
  <c r="BT125" i="25"/>
  <c r="BT126" i="25"/>
  <c r="BT127" i="25"/>
  <c r="BT128" i="25"/>
  <c r="BT129" i="25"/>
  <c r="BT130" i="25"/>
  <c r="BT131" i="25"/>
  <c r="BT132" i="25"/>
  <c r="BT134" i="25"/>
  <c r="BT135" i="25"/>
  <c r="BT136" i="25"/>
  <c r="BT137" i="25"/>
  <c r="BT138" i="25"/>
  <c r="BT139" i="25"/>
  <c r="BT140" i="25"/>
  <c r="BT141" i="25"/>
  <c r="BT142" i="25"/>
  <c r="BT143" i="25"/>
  <c r="BU74" i="25"/>
  <c r="BU75" i="25"/>
  <c r="BU76" i="25"/>
  <c r="BU77" i="25"/>
  <c r="BU78" i="25"/>
  <c r="BU79" i="25"/>
  <c r="BU80" i="25"/>
  <c r="BU81" i="25"/>
  <c r="BU82" i="25"/>
  <c r="BU83" i="25"/>
  <c r="BU84" i="25"/>
  <c r="BU85" i="25"/>
  <c r="BU86" i="25"/>
  <c r="BU87" i="25"/>
  <c r="BU88" i="25"/>
  <c r="BU89" i="25"/>
  <c r="BU90" i="25"/>
  <c r="BU91" i="25"/>
  <c r="BU92" i="25"/>
  <c r="BU93" i="25"/>
  <c r="BU94" i="25"/>
  <c r="BU95" i="25"/>
  <c r="BU96" i="25"/>
  <c r="BU97" i="25"/>
  <c r="BU98" i="25"/>
  <c r="BU99" i="25"/>
  <c r="BU100" i="25"/>
  <c r="BU101" i="25"/>
  <c r="BU102" i="25"/>
  <c r="BU103" i="25"/>
  <c r="BU104" i="25"/>
  <c r="BU105" i="25"/>
  <c r="BU106" i="25"/>
  <c r="BU107" i="25"/>
  <c r="BU108" i="25"/>
  <c r="BU109" i="25"/>
  <c r="BU110" i="25"/>
  <c r="BU111" i="25"/>
  <c r="BU112" i="25"/>
  <c r="BU113" i="25"/>
  <c r="BU114" i="25"/>
  <c r="BU115" i="25"/>
  <c r="BU116" i="25"/>
  <c r="BU117" i="25"/>
  <c r="BU118" i="25"/>
  <c r="BU119" i="25"/>
  <c r="BU120" i="25"/>
  <c r="BU121" i="25"/>
  <c r="BU122" i="25"/>
  <c r="BU123" i="25"/>
  <c r="BU124" i="25"/>
  <c r="BU125" i="25"/>
  <c r="BU126" i="25"/>
  <c r="BU127" i="25"/>
  <c r="BU128" i="25"/>
  <c r="BU129" i="25"/>
  <c r="BU130" i="25"/>
  <c r="BU131" i="25"/>
  <c r="BU132" i="25"/>
  <c r="BU134" i="25"/>
  <c r="BU135" i="25"/>
  <c r="BU136" i="25"/>
  <c r="BU137" i="25"/>
  <c r="BU138" i="25"/>
  <c r="BU139" i="25"/>
  <c r="BU140" i="25"/>
  <c r="BU141" i="25"/>
  <c r="BU142" i="25"/>
  <c r="BU143" i="25"/>
  <c r="BV74" i="25"/>
  <c r="BV75" i="25"/>
  <c r="BV76" i="25"/>
  <c r="BV77" i="25"/>
  <c r="BV78" i="25"/>
  <c r="BV79" i="25"/>
  <c r="BV80" i="25"/>
  <c r="BV81" i="25"/>
  <c r="BV82" i="25"/>
  <c r="BV83" i="25"/>
  <c r="BV84" i="25"/>
  <c r="BV85" i="25"/>
  <c r="BV86" i="25"/>
  <c r="BV87" i="25"/>
  <c r="BV88" i="25"/>
  <c r="BV89" i="25"/>
  <c r="BV90" i="25"/>
  <c r="BV91" i="25"/>
  <c r="BV92" i="25"/>
  <c r="BV93" i="25"/>
  <c r="BV94" i="25"/>
  <c r="BV95" i="25"/>
  <c r="BV96" i="25"/>
  <c r="BV97" i="25"/>
  <c r="BV98" i="25"/>
  <c r="BV99" i="25"/>
  <c r="BV100" i="25"/>
  <c r="BV101" i="25"/>
  <c r="BV102" i="25"/>
  <c r="BV103" i="25"/>
  <c r="BV104" i="25"/>
  <c r="BV105" i="25"/>
  <c r="BV106" i="25"/>
  <c r="BV107" i="25"/>
  <c r="BV108" i="25"/>
  <c r="BV109" i="25"/>
  <c r="BV110" i="25"/>
  <c r="BV111" i="25"/>
  <c r="BV112" i="25"/>
  <c r="BV113" i="25"/>
  <c r="BV114" i="25"/>
  <c r="BV115" i="25"/>
  <c r="BV116" i="25"/>
  <c r="BV117" i="25"/>
  <c r="BV118" i="25"/>
  <c r="BV119" i="25"/>
  <c r="BV120" i="25"/>
  <c r="BV121" i="25"/>
  <c r="BV122" i="25"/>
  <c r="BV123" i="25"/>
  <c r="BV124" i="25"/>
  <c r="BV125" i="25"/>
  <c r="BV126" i="25"/>
  <c r="BV127" i="25"/>
  <c r="BV128" i="25"/>
  <c r="BV129" i="25"/>
  <c r="BV130" i="25"/>
  <c r="BV131" i="25"/>
  <c r="BV132" i="25"/>
  <c r="BV134" i="25"/>
  <c r="BV135" i="25"/>
  <c r="BV136" i="25"/>
  <c r="BV137" i="25"/>
  <c r="BV138" i="25"/>
  <c r="BV139" i="25"/>
  <c r="BV140" i="25"/>
  <c r="BV141" i="25"/>
  <c r="BV142" i="25"/>
  <c r="BV143" i="25"/>
  <c r="BW74" i="25"/>
  <c r="BW75" i="25"/>
  <c r="BW76" i="25"/>
  <c r="BW77" i="25"/>
  <c r="BW78" i="25"/>
  <c r="BW79" i="25"/>
  <c r="BW80" i="25"/>
  <c r="BW81" i="25"/>
  <c r="BW82" i="25"/>
  <c r="BW83" i="25"/>
  <c r="BW84" i="25"/>
  <c r="BW85" i="25"/>
  <c r="BW86" i="25"/>
  <c r="BW87" i="25"/>
  <c r="BW88" i="25"/>
  <c r="BW89" i="25"/>
  <c r="BW90" i="25"/>
  <c r="BW91" i="25"/>
  <c r="BW92" i="25"/>
  <c r="BW93" i="25"/>
  <c r="BW94" i="25"/>
  <c r="BW95" i="25"/>
  <c r="BW96" i="25"/>
  <c r="BW97" i="25"/>
  <c r="BW98" i="25"/>
  <c r="BW99" i="25"/>
  <c r="BW100" i="25"/>
  <c r="BW101" i="25"/>
  <c r="BW102" i="25"/>
  <c r="BW103" i="25"/>
  <c r="BW104" i="25"/>
  <c r="BW105" i="25"/>
  <c r="BW106" i="25"/>
  <c r="BW107" i="25"/>
  <c r="BW108" i="25"/>
  <c r="BW109" i="25"/>
  <c r="BW110" i="25"/>
  <c r="BW111" i="25"/>
  <c r="BW112" i="25"/>
  <c r="BW113" i="25"/>
  <c r="BW114" i="25"/>
  <c r="BW115" i="25"/>
  <c r="BW116" i="25"/>
  <c r="BW117" i="25"/>
  <c r="BW118" i="25"/>
  <c r="BW119" i="25"/>
  <c r="BW120" i="25"/>
  <c r="BW121" i="25"/>
  <c r="BW122" i="25"/>
  <c r="BW123" i="25"/>
  <c r="BW124" i="25"/>
  <c r="BW125" i="25"/>
  <c r="BW126" i="25"/>
  <c r="BW127" i="25"/>
  <c r="BW128" i="25"/>
  <c r="BW129" i="25"/>
  <c r="BW130" i="25"/>
  <c r="BW131" i="25"/>
  <c r="BW132" i="25"/>
  <c r="BW134" i="25"/>
  <c r="BW135" i="25"/>
  <c r="BW136" i="25"/>
  <c r="BW137" i="25"/>
  <c r="BW138" i="25"/>
  <c r="BW139" i="25"/>
  <c r="BW140" i="25"/>
  <c r="BW141" i="25"/>
  <c r="BW142" i="25"/>
  <c r="BW143" i="25"/>
  <c r="BX74" i="25"/>
  <c r="BX75" i="25"/>
  <c r="BX76" i="25"/>
  <c r="BX77" i="25"/>
  <c r="BX78" i="25"/>
  <c r="BX79" i="25"/>
  <c r="BX80" i="25"/>
  <c r="BX81" i="25"/>
  <c r="BX82" i="25"/>
  <c r="BX83" i="25"/>
  <c r="BX84" i="25"/>
  <c r="BX85" i="25"/>
  <c r="BX86" i="25"/>
  <c r="BX87" i="25"/>
  <c r="BX88" i="25"/>
  <c r="BX89" i="25"/>
  <c r="BX90" i="25"/>
  <c r="BX91" i="25"/>
  <c r="BX92" i="25"/>
  <c r="BX93" i="25"/>
  <c r="BX94" i="25"/>
  <c r="BX95" i="25"/>
  <c r="BX96" i="25"/>
  <c r="BX97" i="25"/>
  <c r="BX98" i="25"/>
  <c r="BX99" i="25"/>
  <c r="BX100" i="25"/>
  <c r="BX101" i="25"/>
  <c r="BX102" i="25"/>
  <c r="BX103" i="25"/>
  <c r="BX104" i="25"/>
  <c r="BX105" i="25"/>
  <c r="BX106" i="25"/>
  <c r="BX107" i="25"/>
  <c r="BX108" i="25"/>
  <c r="BX109" i="25"/>
  <c r="BX110" i="25"/>
  <c r="BX111" i="25"/>
  <c r="BX112" i="25"/>
  <c r="BX113" i="25"/>
  <c r="BX114" i="25"/>
  <c r="BX115" i="25"/>
  <c r="BX116" i="25"/>
  <c r="BX117" i="25"/>
  <c r="BX118" i="25"/>
  <c r="BX119" i="25"/>
  <c r="BX120" i="25"/>
  <c r="BX121" i="25"/>
  <c r="BX122" i="25"/>
  <c r="BX123" i="25"/>
  <c r="BX124" i="25"/>
  <c r="BX125" i="25"/>
  <c r="BX126" i="25"/>
  <c r="BX127" i="25"/>
  <c r="BX128" i="25"/>
  <c r="BX129" i="25"/>
  <c r="BX130" i="25"/>
  <c r="BX131" i="25"/>
  <c r="BX132" i="25"/>
  <c r="BX134" i="25"/>
  <c r="BX135" i="25"/>
  <c r="BX136" i="25"/>
  <c r="BX137" i="25"/>
  <c r="BX138" i="25"/>
  <c r="BX139" i="25"/>
  <c r="BX140" i="25"/>
  <c r="BX141" i="25"/>
  <c r="BX142" i="25"/>
  <c r="BX143" i="25"/>
  <c r="BY74" i="25"/>
  <c r="BY75" i="25"/>
  <c r="BY76" i="25"/>
  <c r="BY77" i="25"/>
  <c r="BY78" i="25"/>
  <c r="BY79" i="25"/>
  <c r="BY80" i="25"/>
  <c r="BY81" i="25"/>
  <c r="BY82" i="25"/>
  <c r="BY83" i="25"/>
  <c r="BY84" i="25"/>
  <c r="BY85" i="25"/>
  <c r="BY86" i="25"/>
  <c r="BY87" i="25"/>
  <c r="BY88" i="25"/>
  <c r="BY89" i="25"/>
  <c r="BY90" i="25"/>
  <c r="BY91" i="25"/>
  <c r="BY92" i="25"/>
  <c r="BY93" i="25"/>
  <c r="BY94" i="25"/>
  <c r="BY95" i="25"/>
  <c r="BY96" i="25"/>
  <c r="BY97" i="25"/>
  <c r="BY98" i="25"/>
  <c r="BY99" i="25"/>
  <c r="BY100" i="25"/>
  <c r="BY101" i="25"/>
  <c r="BY102" i="25"/>
  <c r="BY103" i="25"/>
  <c r="BY104" i="25"/>
  <c r="BY105" i="25"/>
  <c r="BY106" i="25"/>
  <c r="BY107" i="25"/>
  <c r="BY108" i="25"/>
  <c r="BY109" i="25"/>
  <c r="BY110" i="25"/>
  <c r="BY111" i="25"/>
  <c r="BY112" i="25"/>
  <c r="BY113" i="25"/>
  <c r="BY114" i="25"/>
  <c r="BY115" i="25"/>
  <c r="BY116" i="25"/>
  <c r="BY117" i="25"/>
  <c r="BY118" i="25"/>
  <c r="BY119" i="25"/>
  <c r="BY120" i="25"/>
  <c r="BY121" i="25"/>
  <c r="BY122" i="25"/>
  <c r="BY123" i="25"/>
  <c r="BY124" i="25"/>
  <c r="BY125" i="25"/>
  <c r="BY126" i="25"/>
  <c r="BY127" i="25"/>
  <c r="BY128" i="25"/>
  <c r="BY129" i="25"/>
  <c r="BY130" i="25"/>
  <c r="BY131" i="25"/>
  <c r="BY132" i="25"/>
  <c r="BY134" i="25"/>
  <c r="BY135" i="25"/>
  <c r="BY136" i="25"/>
  <c r="BY137" i="25"/>
  <c r="BY138" i="25"/>
  <c r="BY139" i="25"/>
  <c r="BY140" i="25"/>
  <c r="BY141" i="25"/>
  <c r="BY142" i="25"/>
  <c r="BY143" i="25"/>
  <c r="BZ74" i="25"/>
  <c r="BZ75" i="25"/>
  <c r="BZ76" i="25"/>
  <c r="BZ77" i="25"/>
  <c r="BZ78" i="25"/>
  <c r="BZ79" i="25"/>
  <c r="BZ80" i="25"/>
  <c r="BZ81" i="25"/>
  <c r="BZ82" i="25"/>
  <c r="BZ83" i="25"/>
  <c r="BZ84" i="25"/>
  <c r="BZ85" i="25"/>
  <c r="BZ86" i="25"/>
  <c r="BZ87" i="25"/>
  <c r="BZ88" i="25"/>
  <c r="BZ89" i="25"/>
  <c r="BZ90" i="25"/>
  <c r="BZ91" i="25"/>
  <c r="BZ92" i="25"/>
  <c r="BZ93" i="25"/>
  <c r="BZ94" i="25"/>
  <c r="BZ95" i="25"/>
  <c r="BZ96" i="25"/>
  <c r="BZ97" i="25"/>
  <c r="BZ98" i="25"/>
  <c r="BZ99" i="25"/>
  <c r="BZ100" i="25"/>
  <c r="BZ101" i="25"/>
  <c r="BZ102" i="25"/>
  <c r="BZ103" i="25"/>
  <c r="BZ104" i="25"/>
  <c r="BZ105" i="25"/>
  <c r="BZ106" i="25"/>
  <c r="BZ107" i="25"/>
  <c r="BZ108" i="25"/>
  <c r="BZ109" i="25"/>
  <c r="BZ110" i="25"/>
  <c r="BZ111" i="25"/>
  <c r="BZ112" i="25"/>
  <c r="BZ113" i="25"/>
  <c r="BZ114" i="25"/>
  <c r="BZ115" i="25"/>
  <c r="BZ116" i="25"/>
  <c r="BZ117" i="25"/>
  <c r="BZ118" i="25"/>
  <c r="BZ119" i="25"/>
  <c r="BZ120" i="25"/>
  <c r="BZ121" i="25"/>
  <c r="BZ122" i="25"/>
  <c r="BZ123" i="25"/>
  <c r="BZ124" i="25"/>
  <c r="BZ125" i="25"/>
  <c r="BZ126" i="25"/>
  <c r="BZ127" i="25"/>
  <c r="BZ128" i="25"/>
  <c r="BZ129" i="25"/>
  <c r="BZ130" i="25"/>
  <c r="BZ131" i="25"/>
  <c r="BZ132" i="25"/>
  <c r="BZ134" i="25"/>
  <c r="BZ135" i="25"/>
  <c r="BZ136" i="25"/>
  <c r="BZ137" i="25"/>
  <c r="BZ138" i="25"/>
  <c r="BZ139" i="25"/>
  <c r="BZ140" i="25"/>
  <c r="BZ141" i="25"/>
  <c r="BZ142" i="25"/>
  <c r="BZ143" i="25"/>
  <c r="CA74" i="25"/>
  <c r="CA75" i="25"/>
  <c r="CA76" i="25"/>
  <c r="CA77" i="25"/>
  <c r="CA78" i="25"/>
  <c r="CA79" i="25"/>
  <c r="CA80" i="25"/>
  <c r="CA81" i="25"/>
  <c r="CA82" i="25"/>
  <c r="CA83" i="25"/>
  <c r="CA84" i="25"/>
  <c r="CA85" i="25"/>
  <c r="CA86" i="25"/>
  <c r="CA87" i="25"/>
  <c r="CA88" i="25"/>
  <c r="CA89" i="25"/>
  <c r="CA90" i="25"/>
  <c r="CA91" i="25"/>
  <c r="CA92" i="25"/>
  <c r="CA93" i="25"/>
  <c r="CA94" i="25"/>
  <c r="CA95" i="25"/>
  <c r="CA96" i="25"/>
  <c r="CA97" i="25"/>
  <c r="CA98" i="25"/>
  <c r="CA99" i="25"/>
  <c r="CA100" i="25"/>
  <c r="CA101" i="25"/>
  <c r="CA102" i="25"/>
  <c r="CA103" i="25"/>
  <c r="CA104" i="25"/>
  <c r="CA105" i="25"/>
  <c r="CA106" i="25"/>
  <c r="CA107" i="25"/>
  <c r="CA108" i="25"/>
  <c r="CA109" i="25"/>
  <c r="CA110" i="25"/>
  <c r="CA111" i="25"/>
  <c r="CA112" i="25"/>
  <c r="CA113" i="25"/>
  <c r="CA114" i="25"/>
  <c r="CA115" i="25"/>
  <c r="CA116" i="25"/>
  <c r="CA117" i="25"/>
  <c r="CA118" i="25"/>
  <c r="CA119" i="25"/>
  <c r="CA120" i="25"/>
  <c r="CA121" i="25"/>
  <c r="CA122" i="25"/>
  <c r="CA123" i="25"/>
  <c r="CA124" i="25"/>
  <c r="CA125" i="25"/>
  <c r="CA126" i="25"/>
  <c r="CA127" i="25"/>
  <c r="CA128" i="25"/>
  <c r="CA129" i="25"/>
  <c r="CA130" i="25"/>
  <c r="CA131" i="25"/>
  <c r="CA132" i="25"/>
  <c r="CA134" i="25"/>
  <c r="CA135" i="25"/>
  <c r="CA136" i="25"/>
  <c r="CA137" i="25"/>
  <c r="CA138" i="25"/>
  <c r="CA139" i="25"/>
  <c r="CA140" i="25"/>
  <c r="CA141" i="25"/>
  <c r="CA142" i="25"/>
  <c r="CA143" i="25"/>
  <c r="AT69" i="25"/>
  <c r="AU69" i="25" s="1"/>
  <c r="AT70" i="25"/>
  <c r="AT71" i="25"/>
  <c r="AU71" i="25" s="1"/>
  <c r="AT72" i="25"/>
  <c r="AU72" i="25" s="1"/>
  <c r="AT73" i="25"/>
  <c r="AU73" i="25" s="1"/>
  <c r="AV69" i="25"/>
  <c r="AV70" i="25"/>
  <c r="AW70" i="25" s="1"/>
  <c r="AV71" i="25"/>
  <c r="AW71" i="25" s="1"/>
  <c r="AV72" i="25"/>
  <c r="AV73" i="25"/>
  <c r="AW73" i="25" s="1"/>
  <c r="BD69" i="25"/>
  <c r="BD70" i="25"/>
  <c r="BD71" i="25"/>
  <c r="BD72" i="25"/>
  <c r="BD73" i="25"/>
  <c r="BJ69" i="25"/>
  <c r="BF70" i="25"/>
  <c r="BF71" i="25"/>
  <c r="BJ72" i="25"/>
  <c r="BF73" i="25"/>
  <c r="BG69" i="25"/>
  <c r="BG70" i="25"/>
  <c r="BG71" i="25"/>
  <c r="BG72" i="25"/>
  <c r="BG73" i="25"/>
  <c r="BH69" i="25"/>
  <c r="BI69" i="25" s="1"/>
  <c r="BH70" i="25"/>
  <c r="BI70" i="25" s="1"/>
  <c r="BH71" i="25"/>
  <c r="BI71" i="25" s="1"/>
  <c r="BH72" i="25"/>
  <c r="BI72" i="25" s="1"/>
  <c r="BH73" i="25"/>
  <c r="BI73" i="25" s="1"/>
  <c r="BK69" i="25"/>
  <c r="BP69" i="25" s="1"/>
  <c r="BK70" i="25"/>
  <c r="BP70" i="25" s="1"/>
  <c r="BK71" i="25"/>
  <c r="BP71" i="25" s="1"/>
  <c r="BK72" i="25"/>
  <c r="BP72" i="25" s="1"/>
  <c r="BK73" i="25"/>
  <c r="BL69" i="25"/>
  <c r="BL70" i="25"/>
  <c r="BL71" i="25"/>
  <c r="BL72" i="25"/>
  <c r="BL73" i="25"/>
  <c r="BR69" i="25"/>
  <c r="BR70" i="25"/>
  <c r="BR71" i="25"/>
  <c r="BR72" i="25"/>
  <c r="BR73" i="25"/>
  <c r="BT69" i="25"/>
  <c r="BT70" i="25"/>
  <c r="BT71" i="25"/>
  <c r="BT72" i="25"/>
  <c r="BT73" i="25"/>
  <c r="BU69" i="25"/>
  <c r="BU70" i="25"/>
  <c r="BU71" i="25"/>
  <c r="BU72" i="25"/>
  <c r="BU73" i="25"/>
  <c r="BV69" i="25"/>
  <c r="BV70" i="25"/>
  <c r="BV71" i="25"/>
  <c r="BV72" i="25"/>
  <c r="BV73" i="25"/>
  <c r="BW69" i="25"/>
  <c r="BW70" i="25"/>
  <c r="BW71" i="25"/>
  <c r="BW72" i="25"/>
  <c r="BW73" i="25"/>
  <c r="BX69" i="25"/>
  <c r="BX70" i="25"/>
  <c r="BX71" i="25"/>
  <c r="BX72" i="25"/>
  <c r="BX73" i="25"/>
  <c r="BY69" i="25"/>
  <c r="BY70" i="25"/>
  <c r="BY71" i="25"/>
  <c r="BY72" i="25"/>
  <c r="BY73" i="25"/>
  <c r="BZ69" i="25"/>
  <c r="BZ70" i="25"/>
  <c r="BZ71" i="25"/>
  <c r="BZ72" i="25"/>
  <c r="BZ73" i="25"/>
  <c r="CA69" i="25"/>
  <c r="CA70" i="25"/>
  <c r="CA71" i="25"/>
  <c r="CA72" i="25"/>
  <c r="CA73" i="25"/>
  <c r="AT62" i="25"/>
  <c r="AU62" i="25" s="1"/>
  <c r="AT63" i="25"/>
  <c r="AU63" i="25" s="1"/>
  <c r="AT64" i="25"/>
  <c r="AU64" i="25" s="1"/>
  <c r="AT65" i="25"/>
  <c r="AU65" i="25" s="1"/>
  <c r="AT66" i="25"/>
  <c r="AU66" i="25" s="1"/>
  <c r="AT67" i="25"/>
  <c r="AU67" i="25" s="1"/>
  <c r="AT68" i="25"/>
  <c r="AU68" i="25" s="1"/>
  <c r="AW62" i="25"/>
  <c r="AV63" i="25"/>
  <c r="AV64" i="25"/>
  <c r="AW64" i="25" s="1"/>
  <c r="AV65" i="25"/>
  <c r="AW65" i="25" s="1"/>
  <c r="AV66" i="25"/>
  <c r="AV67" i="25"/>
  <c r="AW67" i="25" s="1"/>
  <c r="AV68" i="25"/>
  <c r="AW68" i="25" s="1"/>
  <c r="BD62" i="25"/>
  <c r="BD63" i="25"/>
  <c r="BD64" i="25"/>
  <c r="BD65" i="25"/>
  <c r="BD66" i="25"/>
  <c r="BD67" i="25"/>
  <c r="BD68" i="25"/>
  <c r="BJ62" i="25"/>
  <c r="BJ63" i="25"/>
  <c r="BJ64" i="25"/>
  <c r="BF65" i="25"/>
  <c r="BJ66" i="25"/>
  <c r="BJ67" i="25"/>
  <c r="BJ68" i="25"/>
  <c r="BG62" i="25"/>
  <c r="BG63" i="25"/>
  <c r="BG64" i="25"/>
  <c r="BG65" i="25"/>
  <c r="BG66" i="25"/>
  <c r="BG67" i="25"/>
  <c r="BG68" i="25"/>
  <c r="BH62" i="25"/>
  <c r="BI62" i="25" s="1"/>
  <c r="BH63" i="25"/>
  <c r="BI63" i="25" s="1"/>
  <c r="BH64" i="25"/>
  <c r="BI64" i="25" s="1"/>
  <c r="BH65" i="25"/>
  <c r="BI65" i="25" s="1"/>
  <c r="BH66" i="25"/>
  <c r="BI66" i="25" s="1"/>
  <c r="BH67" i="25"/>
  <c r="BI67" i="25" s="1"/>
  <c r="BH68" i="25"/>
  <c r="BI68" i="25" s="1"/>
  <c r="BK62" i="25"/>
  <c r="BP62" i="25" s="1"/>
  <c r="BK63" i="25"/>
  <c r="BP63" i="25" s="1"/>
  <c r="BK64" i="25"/>
  <c r="BP64" i="25" s="1"/>
  <c r="BK65" i="25"/>
  <c r="BK66" i="25"/>
  <c r="BP66" i="25" s="1"/>
  <c r="BK67" i="25"/>
  <c r="BP67" i="25" s="1"/>
  <c r="BK68" i="25"/>
  <c r="BL62" i="25"/>
  <c r="BL63" i="25"/>
  <c r="BL64" i="25"/>
  <c r="BL65" i="25"/>
  <c r="BL66" i="25"/>
  <c r="BL67" i="25"/>
  <c r="BL68" i="25"/>
  <c r="BR62" i="25"/>
  <c r="BR63" i="25"/>
  <c r="BR64" i="25"/>
  <c r="BR65" i="25"/>
  <c r="BR66" i="25"/>
  <c r="BR67" i="25"/>
  <c r="BR68" i="25"/>
  <c r="BT62" i="25"/>
  <c r="BT63" i="25"/>
  <c r="BT64" i="25"/>
  <c r="BT65" i="25"/>
  <c r="BT66" i="25"/>
  <c r="BT67" i="25"/>
  <c r="BT68" i="25"/>
  <c r="BU62" i="25"/>
  <c r="BU63" i="25"/>
  <c r="BU64" i="25"/>
  <c r="BU65" i="25"/>
  <c r="BU66" i="25"/>
  <c r="BU67" i="25"/>
  <c r="BU68" i="25"/>
  <c r="BV62" i="25"/>
  <c r="BV63" i="25"/>
  <c r="BV64" i="25"/>
  <c r="BV65" i="25"/>
  <c r="BV66" i="25"/>
  <c r="BV67" i="25"/>
  <c r="BV68" i="25"/>
  <c r="BW62" i="25"/>
  <c r="BW63" i="25"/>
  <c r="BW64" i="25"/>
  <c r="BW65" i="25"/>
  <c r="BW66" i="25"/>
  <c r="BW67" i="25"/>
  <c r="BW68" i="25"/>
  <c r="BX62" i="25"/>
  <c r="BX63" i="25"/>
  <c r="BX64" i="25"/>
  <c r="BX65" i="25"/>
  <c r="BX66" i="25"/>
  <c r="BX67" i="25"/>
  <c r="BX68" i="25"/>
  <c r="BY62" i="25"/>
  <c r="BY63" i="25"/>
  <c r="BY64" i="25"/>
  <c r="BY65" i="25"/>
  <c r="BY66" i="25"/>
  <c r="BY67" i="25"/>
  <c r="BY68" i="25"/>
  <c r="BZ62" i="25"/>
  <c r="BZ63" i="25"/>
  <c r="BZ64" i="25"/>
  <c r="BZ65" i="25"/>
  <c r="BZ66" i="25"/>
  <c r="BZ67" i="25"/>
  <c r="BZ68" i="25"/>
  <c r="CA62" i="25"/>
  <c r="CA63" i="25"/>
  <c r="CA64" i="25"/>
  <c r="CA65" i="25"/>
  <c r="CA66" i="25"/>
  <c r="CA67" i="25"/>
  <c r="CA68" i="25"/>
  <c r="G37" i="89"/>
  <c r="AX153" i="25" l="1"/>
  <c r="BA153" i="25" s="1"/>
  <c r="BB153" i="25" s="1"/>
  <c r="BF156" i="25"/>
  <c r="BJ172" i="25"/>
  <c r="BS172" i="25"/>
  <c r="BM172" i="25" s="1"/>
  <c r="BN172" i="25" s="1"/>
  <c r="BO172" i="25" s="1"/>
  <c r="BS164" i="25"/>
  <c r="BM164" i="25" s="1"/>
  <c r="BN164" i="25" s="1"/>
  <c r="BO164" i="25" s="1"/>
  <c r="BS156" i="25"/>
  <c r="BM156" i="25" s="1"/>
  <c r="BN156" i="25" s="1"/>
  <c r="BO156" i="25" s="1"/>
  <c r="BS169" i="25"/>
  <c r="BM169" i="25" s="1"/>
  <c r="BN169" i="25" s="1"/>
  <c r="BO169" i="25" s="1"/>
  <c r="BS161" i="25"/>
  <c r="BM161" i="25" s="1"/>
  <c r="BN161" i="25" s="1"/>
  <c r="BO161" i="25" s="1"/>
  <c r="BS177" i="25"/>
  <c r="BM177" i="25" s="1"/>
  <c r="BN177" i="25" s="1"/>
  <c r="BO177" i="25" s="1"/>
  <c r="AX176" i="25"/>
  <c r="BA176" i="25" s="1"/>
  <c r="BB176" i="25" s="1"/>
  <c r="BJ160" i="25"/>
  <c r="BS137" i="25"/>
  <c r="BS128" i="25"/>
  <c r="BM128" i="25" s="1"/>
  <c r="BN128" i="25" s="1"/>
  <c r="BO128" i="25" s="1"/>
  <c r="BS120" i="25"/>
  <c r="BM120" i="25" s="1"/>
  <c r="BN120" i="25" s="1"/>
  <c r="BO120" i="25" s="1"/>
  <c r="BS112" i="25"/>
  <c r="BM112" i="25" s="1"/>
  <c r="BN112" i="25" s="1"/>
  <c r="BO112" i="25" s="1"/>
  <c r="BS104" i="25"/>
  <c r="BM104" i="25" s="1"/>
  <c r="BN104" i="25" s="1"/>
  <c r="BO104" i="25" s="1"/>
  <c r="BS96" i="25"/>
  <c r="BM96" i="25" s="1"/>
  <c r="BN96" i="25" s="1"/>
  <c r="BO96" i="25" s="1"/>
  <c r="BS176" i="25"/>
  <c r="BM176" i="25" s="1"/>
  <c r="BN176" i="25" s="1"/>
  <c r="BO176" i="25" s="1"/>
  <c r="BS180" i="25"/>
  <c r="BM180" i="25" s="1"/>
  <c r="BN180" i="25" s="1"/>
  <c r="BO180" i="25" s="1"/>
  <c r="BJ180" i="25"/>
  <c r="BS179" i="25"/>
  <c r="BM179" i="25" s="1"/>
  <c r="BN179" i="25" s="1"/>
  <c r="BO179" i="25" s="1"/>
  <c r="AY151" i="25"/>
  <c r="AZ151" i="25" s="1"/>
  <c r="BC151" i="25" s="1"/>
  <c r="BS174" i="25"/>
  <c r="BM174" i="25" s="1"/>
  <c r="BN174" i="25" s="1"/>
  <c r="BO174" i="25" s="1"/>
  <c r="BS166" i="25"/>
  <c r="BM166" i="25" s="1"/>
  <c r="BN166" i="25" s="1"/>
  <c r="BO166" i="25" s="1"/>
  <c r="BJ168" i="25"/>
  <c r="BS147" i="25"/>
  <c r="BM147" i="25" s="1"/>
  <c r="BN147" i="25" s="1"/>
  <c r="BO147" i="25" s="1"/>
  <c r="AX92" i="25"/>
  <c r="BA92" i="25" s="1"/>
  <c r="BB92" i="25" s="1"/>
  <c r="BS88" i="25"/>
  <c r="BM88" i="25" s="1"/>
  <c r="BN88" i="25" s="1"/>
  <c r="BO88" i="25" s="1"/>
  <c r="BS80" i="25"/>
  <c r="BM80" i="25" s="1"/>
  <c r="BN80" i="25" s="1"/>
  <c r="BO80" i="25" s="1"/>
  <c r="BJ174" i="25"/>
  <c r="BS178" i="25"/>
  <c r="BM178" i="25" s="1"/>
  <c r="BN178" i="25" s="1"/>
  <c r="BO178" i="25" s="1"/>
  <c r="BF127" i="25"/>
  <c r="AX149" i="25"/>
  <c r="BA149" i="25" s="1"/>
  <c r="BB149" i="25" s="1"/>
  <c r="AX69" i="25"/>
  <c r="BA69" i="25" s="1"/>
  <c r="BB69" i="25" s="1"/>
  <c r="BS110" i="25"/>
  <c r="BM110" i="25" s="1"/>
  <c r="BN110" i="25" s="1"/>
  <c r="BO110" i="25" s="1"/>
  <c r="BS153" i="25"/>
  <c r="BM153" i="25" s="1"/>
  <c r="BN153" i="25" s="1"/>
  <c r="BO153" i="25" s="1"/>
  <c r="BF177" i="25"/>
  <c r="BJ111" i="25"/>
  <c r="BS175" i="25"/>
  <c r="BM175" i="25" s="1"/>
  <c r="BN175" i="25" s="1"/>
  <c r="BO175" i="25" s="1"/>
  <c r="BS159" i="25"/>
  <c r="BM159" i="25" s="1"/>
  <c r="BN159" i="25" s="1"/>
  <c r="BO159" i="25" s="1"/>
  <c r="BS158" i="25"/>
  <c r="BM158" i="25" s="1"/>
  <c r="BN158" i="25" s="1"/>
  <c r="BO158" i="25" s="1"/>
  <c r="AX177" i="25"/>
  <c r="BA177" i="25" s="1"/>
  <c r="BB177" i="25" s="1"/>
  <c r="BJ178" i="25"/>
  <c r="AX178" i="25"/>
  <c r="BA178" i="25" s="1"/>
  <c r="BB178" i="25" s="1"/>
  <c r="AX179" i="25"/>
  <c r="BA179" i="25" s="1"/>
  <c r="BB179" i="25" s="1"/>
  <c r="BF173" i="25"/>
  <c r="BF157" i="25"/>
  <c r="AY159" i="25"/>
  <c r="AZ159" i="25" s="1"/>
  <c r="BC159" i="25" s="1"/>
  <c r="BJ150" i="25"/>
  <c r="BS148" i="25"/>
  <c r="BM148" i="25" s="1"/>
  <c r="BN148" i="25" s="1"/>
  <c r="BO148" i="25" s="1"/>
  <c r="AY144" i="25"/>
  <c r="AZ144" i="25" s="1"/>
  <c r="BC144" i="25" s="1"/>
  <c r="BJ87" i="25"/>
  <c r="AX119" i="25"/>
  <c r="BA119" i="25" s="1"/>
  <c r="BB119" i="25" s="1"/>
  <c r="BS140" i="25"/>
  <c r="BM140" i="25" s="1"/>
  <c r="BN140" i="25" s="1"/>
  <c r="BO140" i="25" s="1"/>
  <c r="BS131" i="25"/>
  <c r="BM131" i="25" s="1"/>
  <c r="BN131" i="25" s="1"/>
  <c r="BO131" i="25" s="1"/>
  <c r="BS123" i="25"/>
  <c r="BM123" i="25" s="1"/>
  <c r="BN123" i="25" s="1"/>
  <c r="BO123" i="25" s="1"/>
  <c r="BS115" i="25"/>
  <c r="BM115" i="25" s="1"/>
  <c r="BN115" i="25" s="1"/>
  <c r="BO115" i="25" s="1"/>
  <c r="BS107" i="25"/>
  <c r="BM107" i="25" s="1"/>
  <c r="BN107" i="25" s="1"/>
  <c r="BO107" i="25" s="1"/>
  <c r="BS99" i="25"/>
  <c r="BM99" i="25" s="1"/>
  <c r="BN99" i="25" s="1"/>
  <c r="BO99" i="25" s="1"/>
  <c r="BS91" i="25"/>
  <c r="BM91" i="25" s="1"/>
  <c r="BN91" i="25" s="1"/>
  <c r="BO91" i="25" s="1"/>
  <c r="BS83" i="25"/>
  <c r="BM83" i="25" s="1"/>
  <c r="BN83" i="25" s="1"/>
  <c r="BO83" i="25" s="1"/>
  <c r="BS75" i="25"/>
  <c r="BM75" i="25" s="1"/>
  <c r="BN75" i="25" s="1"/>
  <c r="BO75" i="25" s="1"/>
  <c r="AW92" i="25"/>
  <c r="AY92" i="25" s="1"/>
  <c r="AZ92" i="25" s="1"/>
  <c r="BC92" i="25" s="1"/>
  <c r="BJ136" i="25"/>
  <c r="BJ147" i="25"/>
  <c r="AX166" i="25"/>
  <c r="BA166" i="25" s="1"/>
  <c r="BB166" i="25" s="1"/>
  <c r="BJ164" i="25"/>
  <c r="AX170" i="25"/>
  <c r="BA170" i="25" s="1"/>
  <c r="BB170" i="25" s="1"/>
  <c r="AX162" i="25"/>
  <c r="BA162" i="25" s="1"/>
  <c r="BB162" i="25" s="1"/>
  <c r="AX154" i="25"/>
  <c r="BA154" i="25" s="1"/>
  <c r="BB154" i="25" s="1"/>
  <c r="BF176" i="25"/>
  <c r="AY177" i="25"/>
  <c r="AZ177" i="25" s="1"/>
  <c r="BC177" i="25" s="1"/>
  <c r="AX72" i="25"/>
  <c r="BA72" i="25" s="1"/>
  <c r="BB72" i="25" s="1"/>
  <c r="BF138" i="25"/>
  <c r="AX79" i="25"/>
  <c r="BA79" i="25" s="1"/>
  <c r="BB79" i="25" s="1"/>
  <c r="BS167" i="25"/>
  <c r="BM167" i="25" s="1"/>
  <c r="BN167" i="25" s="1"/>
  <c r="BO167" i="25" s="1"/>
  <c r="BS151" i="25"/>
  <c r="BM151" i="25" s="1"/>
  <c r="BN151" i="25" s="1"/>
  <c r="BO151" i="25" s="1"/>
  <c r="BJ161" i="25"/>
  <c r="AW166" i="25"/>
  <c r="AY166" i="25" s="1"/>
  <c r="AZ166" i="25" s="1"/>
  <c r="BC166" i="25" s="1"/>
  <c r="BJ117" i="25"/>
  <c r="BF101" i="25"/>
  <c r="AX174" i="25"/>
  <c r="BA174" i="25" s="1"/>
  <c r="BB174" i="25" s="1"/>
  <c r="BF92" i="25"/>
  <c r="AX98" i="25"/>
  <c r="BA98" i="25" s="1"/>
  <c r="BB98" i="25" s="1"/>
  <c r="AX90" i="25"/>
  <c r="BA90" i="25" s="1"/>
  <c r="BB90" i="25" s="1"/>
  <c r="AY174" i="25"/>
  <c r="AZ174" i="25" s="1"/>
  <c r="BC174" i="25" s="1"/>
  <c r="AY158" i="25"/>
  <c r="AZ158" i="25" s="1"/>
  <c r="BC158" i="25" s="1"/>
  <c r="AW179" i="25"/>
  <c r="AY179" i="25" s="1"/>
  <c r="AZ179" i="25" s="1"/>
  <c r="BC179" i="25" s="1"/>
  <c r="AW153" i="25"/>
  <c r="AY153" i="25" s="1"/>
  <c r="AZ153" i="25" s="1"/>
  <c r="BC153" i="25" s="1"/>
  <c r="AY169" i="25"/>
  <c r="AZ169" i="25" s="1"/>
  <c r="BC169" i="25" s="1"/>
  <c r="AY180" i="25"/>
  <c r="AZ180" i="25" s="1"/>
  <c r="BC180" i="25" s="1"/>
  <c r="AX82" i="25"/>
  <c r="BA82" i="25" s="1"/>
  <c r="BB82" i="25" s="1"/>
  <c r="BS146" i="25"/>
  <c r="BM146" i="25" s="1"/>
  <c r="BN146" i="25" s="1"/>
  <c r="BO146" i="25" s="1"/>
  <c r="BS171" i="25"/>
  <c r="BM171" i="25" s="1"/>
  <c r="BN171" i="25" s="1"/>
  <c r="BO171" i="25" s="1"/>
  <c r="BS163" i="25"/>
  <c r="BM163" i="25" s="1"/>
  <c r="BN163" i="25" s="1"/>
  <c r="BO163" i="25" s="1"/>
  <c r="BS155" i="25"/>
  <c r="BM155" i="25" s="1"/>
  <c r="BN155" i="25" s="1"/>
  <c r="BO155" i="25" s="1"/>
  <c r="BJ166" i="25"/>
  <c r="AX169" i="25"/>
  <c r="BA169" i="25" s="1"/>
  <c r="BB169" i="25" s="1"/>
  <c r="AY173" i="25"/>
  <c r="AZ173" i="25" s="1"/>
  <c r="BC173" i="25" s="1"/>
  <c r="AY165" i="25"/>
  <c r="AZ165" i="25" s="1"/>
  <c r="BC165" i="25" s="1"/>
  <c r="AY157" i="25"/>
  <c r="AZ157" i="25" s="1"/>
  <c r="BC157" i="25" s="1"/>
  <c r="BF121" i="25"/>
  <c r="AX139" i="25"/>
  <c r="BA139" i="25" s="1"/>
  <c r="BB139" i="25" s="1"/>
  <c r="AX137" i="25"/>
  <c r="BA137" i="25" s="1"/>
  <c r="BB137" i="25" s="1"/>
  <c r="AX104" i="25"/>
  <c r="BA104" i="25" s="1"/>
  <c r="BB104" i="25" s="1"/>
  <c r="AX88" i="25"/>
  <c r="BA88" i="25" s="1"/>
  <c r="BB88" i="25" s="1"/>
  <c r="AY139" i="25"/>
  <c r="AZ139" i="25" s="1"/>
  <c r="BC139" i="25" s="1"/>
  <c r="BS170" i="25"/>
  <c r="BM170" i="25" s="1"/>
  <c r="BN170" i="25" s="1"/>
  <c r="BO170" i="25" s="1"/>
  <c r="BS162" i="25"/>
  <c r="BM162" i="25" s="1"/>
  <c r="BN162" i="25" s="1"/>
  <c r="BO162" i="25" s="1"/>
  <c r="BS154" i="25"/>
  <c r="BM154" i="25" s="1"/>
  <c r="BN154" i="25" s="1"/>
  <c r="BO154" i="25" s="1"/>
  <c r="BJ165" i="25"/>
  <c r="AY171" i="25"/>
  <c r="AZ171" i="25" s="1"/>
  <c r="BC171" i="25" s="1"/>
  <c r="AY163" i="25"/>
  <c r="AZ163" i="25" s="1"/>
  <c r="BC163" i="25" s="1"/>
  <c r="AY155" i="25"/>
  <c r="AZ155" i="25" s="1"/>
  <c r="BC155" i="25" s="1"/>
  <c r="AX180" i="25"/>
  <c r="BA180" i="25" s="1"/>
  <c r="BB180" i="25" s="1"/>
  <c r="BJ134" i="25"/>
  <c r="BF108" i="25"/>
  <c r="AX132" i="25"/>
  <c r="BA132" i="25" s="1"/>
  <c r="BB132" i="25" s="1"/>
  <c r="AY76" i="25"/>
  <c r="AZ76" i="25" s="1"/>
  <c r="BC76" i="25" s="1"/>
  <c r="AX147" i="25"/>
  <c r="BA147" i="25" s="1"/>
  <c r="BB147" i="25" s="1"/>
  <c r="BS168" i="25"/>
  <c r="BM168" i="25" s="1"/>
  <c r="BN168" i="25" s="1"/>
  <c r="BO168" i="25" s="1"/>
  <c r="BS160" i="25"/>
  <c r="BM160" i="25" s="1"/>
  <c r="BN160" i="25" s="1"/>
  <c r="BO160" i="25" s="1"/>
  <c r="BS152" i="25"/>
  <c r="BM152" i="25" s="1"/>
  <c r="BN152" i="25" s="1"/>
  <c r="BO152" i="25" s="1"/>
  <c r="AX161" i="25"/>
  <c r="BA161" i="25" s="1"/>
  <c r="BB161" i="25" s="1"/>
  <c r="AY167" i="25"/>
  <c r="AZ167" i="25" s="1"/>
  <c r="BC167" i="25" s="1"/>
  <c r="BF179" i="25"/>
  <c r="AW176" i="25"/>
  <c r="AY176" i="25" s="1"/>
  <c r="AZ176" i="25" s="1"/>
  <c r="BC176" i="25" s="1"/>
  <c r="AU178" i="25"/>
  <c r="AY178" i="25" s="1"/>
  <c r="AZ178" i="25" s="1"/>
  <c r="BC178" i="25" s="1"/>
  <c r="AX130" i="25"/>
  <c r="BA130" i="25" s="1"/>
  <c r="BB130" i="25" s="1"/>
  <c r="AX158" i="25"/>
  <c r="BA158" i="25" s="1"/>
  <c r="BB158" i="25" s="1"/>
  <c r="BS150" i="25"/>
  <c r="BM150" i="25" s="1"/>
  <c r="BN150" i="25" s="1"/>
  <c r="BO150" i="25" s="1"/>
  <c r="AY168" i="25"/>
  <c r="AZ168" i="25" s="1"/>
  <c r="BC168" i="25" s="1"/>
  <c r="AY160" i="25"/>
  <c r="AZ160" i="25" s="1"/>
  <c r="BC160" i="25" s="1"/>
  <c r="AY152" i="25"/>
  <c r="AZ152" i="25" s="1"/>
  <c r="BC152" i="25" s="1"/>
  <c r="BS143" i="25"/>
  <c r="BM143" i="25" s="1"/>
  <c r="BN143" i="25" s="1"/>
  <c r="BO143" i="25" s="1"/>
  <c r="BS135" i="25"/>
  <c r="BM135" i="25" s="1"/>
  <c r="BN135" i="25" s="1"/>
  <c r="BO135" i="25" s="1"/>
  <c r="BS126" i="25"/>
  <c r="BM126" i="25" s="1"/>
  <c r="BN126" i="25" s="1"/>
  <c r="BO126" i="25" s="1"/>
  <c r="BS102" i="25"/>
  <c r="BM102" i="25" s="1"/>
  <c r="BN102" i="25" s="1"/>
  <c r="BO102" i="25" s="1"/>
  <c r="BS78" i="25"/>
  <c r="BM78" i="25" s="1"/>
  <c r="BN78" i="25" s="1"/>
  <c r="BO78" i="25" s="1"/>
  <c r="BJ109" i="25"/>
  <c r="AX108" i="25"/>
  <c r="BA108" i="25" s="1"/>
  <c r="BB108" i="25" s="1"/>
  <c r="AY132" i="25"/>
  <c r="AZ132" i="25" s="1"/>
  <c r="BC132" i="25" s="1"/>
  <c r="AX116" i="25"/>
  <c r="BA116" i="25" s="1"/>
  <c r="BB116" i="25" s="1"/>
  <c r="AY108" i="25"/>
  <c r="AZ108" i="25" s="1"/>
  <c r="BC108" i="25" s="1"/>
  <c r="AX84" i="25"/>
  <c r="BA84" i="25" s="1"/>
  <c r="BB84" i="25" s="1"/>
  <c r="AX76" i="25"/>
  <c r="BA76" i="25" s="1"/>
  <c r="BB76" i="25" s="1"/>
  <c r="AX146" i="25"/>
  <c r="BA146" i="25" s="1"/>
  <c r="BB146" i="25" s="1"/>
  <c r="BS173" i="25"/>
  <c r="BM173" i="25" s="1"/>
  <c r="BN173" i="25" s="1"/>
  <c r="BO173" i="25" s="1"/>
  <c r="BS165" i="25"/>
  <c r="BM165" i="25" s="1"/>
  <c r="BN165" i="25" s="1"/>
  <c r="BO165" i="25" s="1"/>
  <c r="BS157" i="25"/>
  <c r="BM157" i="25" s="1"/>
  <c r="BN157" i="25" s="1"/>
  <c r="BO157" i="25" s="1"/>
  <c r="BP175" i="25"/>
  <c r="BJ158" i="25"/>
  <c r="AY175" i="25"/>
  <c r="AZ175" i="25" s="1"/>
  <c r="BC175" i="25" s="1"/>
  <c r="AX175" i="25"/>
  <c r="BA175" i="25" s="1"/>
  <c r="BB175" i="25" s="1"/>
  <c r="AX167" i="25"/>
  <c r="BA167" i="25" s="1"/>
  <c r="BB167" i="25" s="1"/>
  <c r="AX159" i="25"/>
  <c r="BA159" i="25" s="1"/>
  <c r="BB159" i="25" s="1"/>
  <c r="AX151" i="25"/>
  <c r="BA151" i="25" s="1"/>
  <c r="BB151" i="25" s="1"/>
  <c r="BF85" i="25"/>
  <c r="AX106" i="25"/>
  <c r="BA106" i="25" s="1"/>
  <c r="BB106" i="25" s="1"/>
  <c r="BJ148" i="25"/>
  <c r="BJ169" i="25"/>
  <c r="AY161" i="25"/>
  <c r="AZ161" i="25" s="1"/>
  <c r="BC161" i="25" s="1"/>
  <c r="AY156" i="25"/>
  <c r="AZ156" i="25" s="1"/>
  <c r="BC156" i="25" s="1"/>
  <c r="AY74" i="25"/>
  <c r="AZ74" i="25" s="1"/>
  <c r="BC74" i="25" s="1"/>
  <c r="AY164" i="25"/>
  <c r="AZ164" i="25" s="1"/>
  <c r="BC164" i="25" s="1"/>
  <c r="AY172" i="25"/>
  <c r="AZ172" i="25" s="1"/>
  <c r="BC172" i="25" s="1"/>
  <c r="BJ142" i="25"/>
  <c r="BF77" i="25"/>
  <c r="AX74" i="25"/>
  <c r="BA74" i="25" s="1"/>
  <c r="BB74" i="25" s="1"/>
  <c r="AU147" i="25"/>
  <c r="AY147" i="25" s="1"/>
  <c r="AZ147" i="25" s="1"/>
  <c r="BC147" i="25" s="1"/>
  <c r="AX168" i="25"/>
  <c r="BA168" i="25" s="1"/>
  <c r="BB168" i="25" s="1"/>
  <c r="AX160" i="25"/>
  <c r="BA160" i="25" s="1"/>
  <c r="BB160" i="25" s="1"/>
  <c r="AX152" i="25"/>
  <c r="BA152" i="25" s="1"/>
  <c r="BB152" i="25" s="1"/>
  <c r="BS62" i="25"/>
  <c r="BM62" i="25" s="1"/>
  <c r="BN62" i="25" s="1"/>
  <c r="BO62" i="25" s="1"/>
  <c r="BJ93" i="25"/>
  <c r="AW104" i="25"/>
  <c r="AY104" i="25" s="1"/>
  <c r="AZ104" i="25" s="1"/>
  <c r="BC104" i="25" s="1"/>
  <c r="BJ171" i="25"/>
  <c r="BJ163" i="25"/>
  <c r="BJ155" i="25"/>
  <c r="BF175" i="25"/>
  <c r="BF167" i="25"/>
  <c r="BF159" i="25"/>
  <c r="BF151" i="25"/>
  <c r="AU170" i="25"/>
  <c r="AY170" i="25" s="1"/>
  <c r="AZ170" i="25" s="1"/>
  <c r="BC170" i="25" s="1"/>
  <c r="AU162" i="25"/>
  <c r="AY162" i="25" s="1"/>
  <c r="AZ162" i="25" s="1"/>
  <c r="BC162" i="25" s="1"/>
  <c r="AU154" i="25"/>
  <c r="AY154" i="25" s="1"/>
  <c r="AZ154" i="25" s="1"/>
  <c r="BC154" i="25" s="1"/>
  <c r="BS118" i="25"/>
  <c r="BM118" i="25" s="1"/>
  <c r="BN118" i="25" s="1"/>
  <c r="BO118" i="25" s="1"/>
  <c r="BS94" i="25"/>
  <c r="BM94" i="25" s="1"/>
  <c r="BN94" i="25" s="1"/>
  <c r="BO94" i="25" s="1"/>
  <c r="BS86" i="25"/>
  <c r="BM86" i="25" s="1"/>
  <c r="BN86" i="25" s="1"/>
  <c r="BO86" i="25" s="1"/>
  <c r="BP172" i="25"/>
  <c r="BP164" i="25"/>
  <c r="BP156" i="25"/>
  <c r="BJ170" i="25"/>
  <c r="BJ162" i="25"/>
  <c r="BJ154" i="25"/>
  <c r="BS142" i="25"/>
  <c r="BM142" i="25" s="1"/>
  <c r="BN142" i="25" s="1"/>
  <c r="BO142" i="25" s="1"/>
  <c r="BS134" i="25"/>
  <c r="BM134" i="25" s="1"/>
  <c r="BN134" i="25" s="1"/>
  <c r="BO134" i="25" s="1"/>
  <c r="BS125" i="25"/>
  <c r="BM125" i="25" s="1"/>
  <c r="BN125" i="25" s="1"/>
  <c r="BO125" i="25" s="1"/>
  <c r="BS117" i="25"/>
  <c r="BM117" i="25" s="1"/>
  <c r="BN117" i="25" s="1"/>
  <c r="BO117" i="25" s="1"/>
  <c r="BS109" i="25"/>
  <c r="BM109" i="25" s="1"/>
  <c r="BN109" i="25" s="1"/>
  <c r="BO109" i="25" s="1"/>
  <c r="BS101" i="25"/>
  <c r="BM101" i="25" s="1"/>
  <c r="BN101" i="25" s="1"/>
  <c r="BO101" i="25" s="1"/>
  <c r="BS93" i="25"/>
  <c r="BM93" i="25" s="1"/>
  <c r="BN93" i="25" s="1"/>
  <c r="BO93" i="25" s="1"/>
  <c r="BS85" i="25"/>
  <c r="BM85" i="25" s="1"/>
  <c r="BN85" i="25" s="1"/>
  <c r="BO85" i="25" s="1"/>
  <c r="BS77" i="25"/>
  <c r="BM77" i="25" s="1"/>
  <c r="BN77" i="25" s="1"/>
  <c r="BO77" i="25" s="1"/>
  <c r="BJ125" i="25"/>
  <c r="BF95" i="25"/>
  <c r="AX95" i="25"/>
  <c r="BA95" i="25" s="1"/>
  <c r="BB95" i="25" s="1"/>
  <c r="AY100" i="25"/>
  <c r="AZ100" i="25" s="1"/>
  <c r="BC100" i="25" s="1"/>
  <c r="AX141" i="25"/>
  <c r="BA141" i="25" s="1"/>
  <c r="BB141" i="25" s="1"/>
  <c r="BS149" i="25"/>
  <c r="BM149" i="25" s="1"/>
  <c r="BN149" i="25" s="1"/>
  <c r="BO149" i="25" s="1"/>
  <c r="AY149" i="25"/>
  <c r="AZ149" i="25" s="1"/>
  <c r="BC149" i="25" s="1"/>
  <c r="AX173" i="25"/>
  <c r="BA173" i="25" s="1"/>
  <c r="BB173" i="25" s="1"/>
  <c r="AX165" i="25"/>
  <c r="BA165" i="25" s="1"/>
  <c r="BB165" i="25" s="1"/>
  <c r="AX157" i="25"/>
  <c r="BA157" i="25" s="1"/>
  <c r="BB157" i="25" s="1"/>
  <c r="BS67" i="25"/>
  <c r="BM67" i="25" s="1"/>
  <c r="BN67" i="25" s="1"/>
  <c r="BO67" i="25" s="1"/>
  <c r="BJ119" i="25"/>
  <c r="AW90" i="25"/>
  <c r="AY90" i="25" s="1"/>
  <c r="AZ90" i="25" s="1"/>
  <c r="BC90" i="25" s="1"/>
  <c r="AX148" i="25"/>
  <c r="BA148" i="25" s="1"/>
  <c r="BB148" i="25" s="1"/>
  <c r="AX172" i="25"/>
  <c r="BA172" i="25" s="1"/>
  <c r="BB172" i="25" s="1"/>
  <c r="AX164" i="25"/>
  <c r="BA164" i="25" s="1"/>
  <c r="BB164" i="25" s="1"/>
  <c r="AX156" i="25"/>
  <c r="BA156" i="25" s="1"/>
  <c r="BB156" i="25" s="1"/>
  <c r="AY106" i="25"/>
  <c r="AZ106" i="25" s="1"/>
  <c r="BC106" i="25" s="1"/>
  <c r="AX145" i="25"/>
  <c r="BA145" i="25" s="1"/>
  <c r="BB145" i="25" s="1"/>
  <c r="AX171" i="25"/>
  <c r="BA171" i="25" s="1"/>
  <c r="BB171" i="25" s="1"/>
  <c r="AX163" i="25"/>
  <c r="BA163" i="25" s="1"/>
  <c r="BB163" i="25" s="1"/>
  <c r="AX155" i="25"/>
  <c r="BA155" i="25" s="1"/>
  <c r="BB155" i="25" s="1"/>
  <c r="AX80" i="25"/>
  <c r="BA80" i="25" s="1"/>
  <c r="BB80" i="25" s="1"/>
  <c r="AY120" i="25"/>
  <c r="AZ120" i="25" s="1"/>
  <c r="BC120" i="25" s="1"/>
  <c r="AY150" i="25"/>
  <c r="AZ150" i="25" s="1"/>
  <c r="BC150" i="25" s="1"/>
  <c r="BJ107" i="25"/>
  <c r="BJ79" i="25"/>
  <c r="AX124" i="25"/>
  <c r="BA124" i="25" s="1"/>
  <c r="BB124" i="25" s="1"/>
  <c r="AY124" i="25"/>
  <c r="AZ124" i="25" s="1"/>
  <c r="BC124" i="25" s="1"/>
  <c r="AY130" i="25"/>
  <c r="AZ130" i="25" s="1"/>
  <c r="BC130" i="25" s="1"/>
  <c r="AY114" i="25"/>
  <c r="AZ114" i="25" s="1"/>
  <c r="BC114" i="25" s="1"/>
  <c r="AY82" i="25"/>
  <c r="AZ82" i="25" s="1"/>
  <c r="BC82" i="25" s="1"/>
  <c r="BS145" i="25"/>
  <c r="BM145" i="25" s="1"/>
  <c r="BN145" i="25" s="1"/>
  <c r="BO145" i="25" s="1"/>
  <c r="AY67" i="25"/>
  <c r="AZ67" i="25" s="1"/>
  <c r="BC67" i="25" s="1"/>
  <c r="BS70" i="25"/>
  <c r="BM70" i="25" s="1"/>
  <c r="BN70" i="25" s="1"/>
  <c r="BO70" i="25" s="1"/>
  <c r="BJ103" i="25"/>
  <c r="BJ78" i="25"/>
  <c r="BF140" i="25"/>
  <c r="AX122" i="25"/>
  <c r="BA122" i="25" s="1"/>
  <c r="BB122" i="25" s="1"/>
  <c r="AX100" i="25"/>
  <c r="BA100" i="25" s="1"/>
  <c r="BB100" i="25" s="1"/>
  <c r="AX143" i="25"/>
  <c r="BA143" i="25" s="1"/>
  <c r="BB143" i="25" s="1"/>
  <c r="AX135" i="25"/>
  <c r="BA135" i="25" s="1"/>
  <c r="BB135" i="25" s="1"/>
  <c r="AX126" i="25"/>
  <c r="BA126" i="25" s="1"/>
  <c r="BB126" i="25" s="1"/>
  <c r="AX118" i="25"/>
  <c r="BA118" i="25" s="1"/>
  <c r="BB118" i="25" s="1"/>
  <c r="AX110" i="25"/>
  <c r="BA110" i="25" s="1"/>
  <c r="BB110" i="25" s="1"/>
  <c r="AX102" i="25"/>
  <c r="BA102" i="25" s="1"/>
  <c r="BB102" i="25" s="1"/>
  <c r="AX94" i="25"/>
  <c r="BA94" i="25" s="1"/>
  <c r="BB94" i="25" s="1"/>
  <c r="AX86" i="25"/>
  <c r="BA86" i="25" s="1"/>
  <c r="BB86" i="25" s="1"/>
  <c r="AX78" i="25"/>
  <c r="BA78" i="25" s="1"/>
  <c r="BB78" i="25" s="1"/>
  <c r="BS144" i="25"/>
  <c r="BM144" i="25" s="1"/>
  <c r="BN144" i="25" s="1"/>
  <c r="BO144" i="25" s="1"/>
  <c r="AW145" i="25"/>
  <c r="AY145" i="25" s="1"/>
  <c r="AZ145" i="25" s="1"/>
  <c r="BC145" i="25" s="1"/>
  <c r="BJ146" i="25"/>
  <c r="AX150" i="25"/>
  <c r="BA150" i="25" s="1"/>
  <c r="BB150" i="25" s="1"/>
  <c r="AX120" i="25"/>
  <c r="BA120" i="25" s="1"/>
  <c r="BB120" i="25" s="1"/>
  <c r="AX96" i="25"/>
  <c r="BA96" i="25" s="1"/>
  <c r="BB96" i="25" s="1"/>
  <c r="AY112" i="25"/>
  <c r="AZ112" i="25" s="1"/>
  <c r="BC112" i="25" s="1"/>
  <c r="BF149" i="25"/>
  <c r="AW146" i="25"/>
  <c r="AY146" i="25" s="1"/>
  <c r="AZ146" i="25" s="1"/>
  <c r="BC146" i="25" s="1"/>
  <c r="AU148" i="25"/>
  <c r="AY148" i="25" s="1"/>
  <c r="AZ148" i="25" s="1"/>
  <c r="BC148" i="25" s="1"/>
  <c r="AY128" i="25"/>
  <c r="AZ128" i="25" s="1"/>
  <c r="BC128" i="25" s="1"/>
  <c r="AY96" i="25"/>
  <c r="AZ96" i="25" s="1"/>
  <c r="BC96" i="25" s="1"/>
  <c r="AY80" i="25"/>
  <c r="AZ80" i="25" s="1"/>
  <c r="BC80" i="25" s="1"/>
  <c r="BJ65" i="25"/>
  <c r="AX66" i="25"/>
  <c r="BA66" i="25" s="1"/>
  <c r="BB66" i="25" s="1"/>
  <c r="BJ123" i="25"/>
  <c r="BJ75" i="25"/>
  <c r="AY141" i="25"/>
  <c r="AZ141" i="25" s="1"/>
  <c r="BC141" i="25" s="1"/>
  <c r="BJ70" i="25"/>
  <c r="BF83" i="25"/>
  <c r="AX117" i="25"/>
  <c r="BA117" i="25" s="1"/>
  <c r="BB117" i="25" s="1"/>
  <c r="AY116" i="25"/>
  <c r="AZ116" i="25" s="1"/>
  <c r="BC116" i="25" s="1"/>
  <c r="AW88" i="25"/>
  <c r="AY88" i="25" s="1"/>
  <c r="AZ88" i="25" s="1"/>
  <c r="BC88" i="25" s="1"/>
  <c r="AY122" i="25"/>
  <c r="AZ122" i="25" s="1"/>
  <c r="BC122" i="25" s="1"/>
  <c r="BS71" i="25"/>
  <c r="BM71" i="25" s="1"/>
  <c r="BN71" i="25" s="1"/>
  <c r="BO71" i="25" s="1"/>
  <c r="BJ91" i="25"/>
  <c r="AX136" i="25"/>
  <c r="BA136" i="25" s="1"/>
  <c r="BB136" i="25" s="1"/>
  <c r="AW137" i="25"/>
  <c r="AY137" i="25" s="1"/>
  <c r="AZ137" i="25" s="1"/>
  <c r="BC137" i="25" s="1"/>
  <c r="AY84" i="25"/>
  <c r="AZ84" i="25" s="1"/>
  <c r="BC84" i="25" s="1"/>
  <c r="BS68" i="25"/>
  <c r="BM68" i="25" s="1"/>
  <c r="BN68" i="25" s="1"/>
  <c r="BO68" i="25" s="1"/>
  <c r="AY68" i="25"/>
  <c r="AZ68" i="25" s="1"/>
  <c r="BC68" i="25" s="1"/>
  <c r="AX93" i="25"/>
  <c r="BA93" i="25" s="1"/>
  <c r="BB93" i="25" s="1"/>
  <c r="AY73" i="25"/>
  <c r="AZ73" i="25" s="1"/>
  <c r="BC73" i="25" s="1"/>
  <c r="BS138" i="25"/>
  <c r="BM138" i="25" s="1"/>
  <c r="BN138" i="25" s="1"/>
  <c r="BO138" i="25" s="1"/>
  <c r="BS129" i="25"/>
  <c r="BM129" i="25" s="1"/>
  <c r="BN129" i="25" s="1"/>
  <c r="BO129" i="25" s="1"/>
  <c r="BS121" i="25"/>
  <c r="BM121" i="25" s="1"/>
  <c r="BN121" i="25" s="1"/>
  <c r="BO121" i="25" s="1"/>
  <c r="BS113" i="25"/>
  <c r="BM113" i="25" s="1"/>
  <c r="BN113" i="25" s="1"/>
  <c r="BO113" i="25" s="1"/>
  <c r="BS105" i="25"/>
  <c r="BM105" i="25" s="1"/>
  <c r="BN105" i="25" s="1"/>
  <c r="BO105" i="25" s="1"/>
  <c r="BS97" i="25"/>
  <c r="BM97" i="25" s="1"/>
  <c r="BN97" i="25" s="1"/>
  <c r="BO97" i="25" s="1"/>
  <c r="BS89" i="25"/>
  <c r="BM89" i="25" s="1"/>
  <c r="BN89" i="25" s="1"/>
  <c r="BO89" i="25" s="1"/>
  <c r="BS81" i="25"/>
  <c r="BM81" i="25" s="1"/>
  <c r="BN81" i="25" s="1"/>
  <c r="BO81" i="25" s="1"/>
  <c r="BJ131" i="25"/>
  <c r="BJ115" i="25"/>
  <c r="BJ99" i="25"/>
  <c r="BF105" i="25"/>
  <c r="BF76" i="25"/>
  <c r="AX142" i="25"/>
  <c r="BA142" i="25" s="1"/>
  <c r="BB142" i="25" s="1"/>
  <c r="AX128" i="25"/>
  <c r="BA128" i="25" s="1"/>
  <c r="BB128" i="25" s="1"/>
  <c r="AX103" i="25"/>
  <c r="BA103" i="25" s="1"/>
  <c r="BB103" i="25" s="1"/>
  <c r="AX77" i="25"/>
  <c r="BA77" i="25" s="1"/>
  <c r="BB77" i="25" s="1"/>
  <c r="AY118" i="25"/>
  <c r="AZ118" i="25" s="1"/>
  <c r="BC118" i="25" s="1"/>
  <c r="BS65" i="25"/>
  <c r="BM65" i="25" s="1"/>
  <c r="BN65" i="25" s="1"/>
  <c r="BO65" i="25" s="1"/>
  <c r="BS73" i="25"/>
  <c r="BM73" i="25" s="1"/>
  <c r="BN73" i="25" s="1"/>
  <c r="BO73" i="25" s="1"/>
  <c r="BJ129" i="25"/>
  <c r="BJ113" i="25"/>
  <c r="BJ97" i="25"/>
  <c r="BJ81" i="25"/>
  <c r="BF89" i="25"/>
  <c r="AX127" i="25"/>
  <c r="BA127" i="25" s="1"/>
  <c r="BB127" i="25" s="1"/>
  <c r="AX114" i="25"/>
  <c r="BA114" i="25" s="1"/>
  <c r="BB114" i="25" s="1"/>
  <c r="AX101" i="25"/>
  <c r="BA101" i="25" s="1"/>
  <c r="BB101" i="25" s="1"/>
  <c r="AW98" i="25"/>
  <c r="AY98" i="25" s="1"/>
  <c r="AZ98" i="25" s="1"/>
  <c r="BC98" i="25" s="1"/>
  <c r="AY102" i="25"/>
  <c r="AZ102" i="25" s="1"/>
  <c r="BC102" i="25" s="1"/>
  <c r="AY64" i="25"/>
  <c r="AZ64" i="25" s="1"/>
  <c r="BC64" i="25" s="1"/>
  <c r="BS136" i="25"/>
  <c r="BM136" i="25" s="1"/>
  <c r="BN136" i="25" s="1"/>
  <c r="BO136" i="25" s="1"/>
  <c r="BS127" i="25"/>
  <c r="BM127" i="25" s="1"/>
  <c r="BN127" i="25" s="1"/>
  <c r="BO127" i="25" s="1"/>
  <c r="BS119" i="25"/>
  <c r="BM119" i="25" s="1"/>
  <c r="BN119" i="25" s="1"/>
  <c r="BO119" i="25" s="1"/>
  <c r="BS111" i="25"/>
  <c r="BM111" i="25" s="1"/>
  <c r="BN111" i="25" s="1"/>
  <c r="BO111" i="25" s="1"/>
  <c r="BS103" i="25"/>
  <c r="BM103" i="25" s="1"/>
  <c r="BN103" i="25" s="1"/>
  <c r="BO103" i="25" s="1"/>
  <c r="BS95" i="25"/>
  <c r="BM95" i="25" s="1"/>
  <c r="BN95" i="25" s="1"/>
  <c r="BO95" i="25" s="1"/>
  <c r="BS87" i="25"/>
  <c r="BM87" i="25" s="1"/>
  <c r="BN87" i="25" s="1"/>
  <c r="BO87" i="25" s="1"/>
  <c r="BS79" i="25"/>
  <c r="BM79" i="25" s="1"/>
  <c r="BN79" i="25" s="1"/>
  <c r="BO79" i="25" s="1"/>
  <c r="BS141" i="25"/>
  <c r="BM141" i="25" s="1"/>
  <c r="BN141" i="25" s="1"/>
  <c r="BO141" i="25" s="1"/>
  <c r="BS132" i="25"/>
  <c r="BM132" i="25" s="1"/>
  <c r="BN132" i="25" s="1"/>
  <c r="BO132" i="25" s="1"/>
  <c r="BS124" i="25"/>
  <c r="BM124" i="25" s="1"/>
  <c r="BN124" i="25" s="1"/>
  <c r="BO124" i="25" s="1"/>
  <c r="BS116" i="25"/>
  <c r="BM116" i="25" s="1"/>
  <c r="BN116" i="25" s="1"/>
  <c r="BO116" i="25" s="1"/>
  <c r="BS108" i="25"/>
  <c r="BM108" i="25" s="1"/>
  <c r="BN108" i="25" s="1"/>
  <c r="BO108" i="25" s="1"/>
  <c r="BS100" i="25"/>
  <c r="BM100" i="25" s="1"/>
  <c r="BN100" i="25" s="1"/>
  <c r="BO100" i="25" s="1"/>
  <c r="BS92" i="25"/>
  <c r="BM92" i="25" s="1"/>
  <c r="BN92" i="25" s="1"/>
  <c r="BO92" i="25" s="1"/>
  <c r="BS84" i="25"/>
  <c r="BM84" i="25" s="1"/>
  <c r="BN84" i="25" s="1"/>
  <c r="BO84" i="25" s="1"/>
  <c r="BS76" i="25"/>
  <c r="BM76" i="25" s="1"/>
  <c r="BN76" i="25" s="1"/>
  <c r="BO76" i="25" s="1"/>
  <c r="AX125" i="25"/>
  <c r="BA125" i="25" s="1"/>
  <c r="BB125" i="25" s="1"/>
  <c r="AX112" i="25"/>
  <c r="BA112" i="25" s="1"/>
  <c r="BB112" i="25" s="1"/>
  <c r="AX87" i="25"/>
  <c r="BA87" i="25" s="1"/>
  <c r="BB87" i="25" s="1"/>
  <c r="BJ145" i="25"/>
  <c r="AY135" i="25"/>
  <c r="AZ135" i="25" s="1"/>
  <c r="BC135" i="25" s="1"/>
  <c r="BS63" i="25"/>
  <c r="BM63" i="25" s="1"/>
  <c r="BN63" i="25" s="1"/>
  <c r="BO63" i="25" s="1"/>
  <c r="AX111" i="25"/>
  <c r="BA111" i="25" s="1"/>
  <c r="BB111" i="25" s="1"/>
  <c r="AX85" i="25"/>
  <c r="BA85" i="25" s="1"/>
  <c r="BB85" i="25" s="1"/>
  <c r="AW143" i="25"/>
  <c r="AY143" i="25" s="1"/>
  <c r="AZ143" i="25" s="1"/>
  <c r="BC143" i="25" s="1"/>
  <c r="AW126" i="25"/>
  <c r="AY126" i="25" s="1"/>
  <c r="AZ126" i="25" s="1"/>
  <c r="BC126" i="25" s="1"/>
  <c r="AW110" i="25"/>
  <c r="AY110" i="25" s="1"/>
  <c r="AZ110" i="25" s="1"/>
  <c r="BC110" i="25" s="1"/>
  <c r="AW94" i="25"/>
  <c r="AY94" i="25" s="1"/>
  <c r="AZ94" i="25" s="1"/>
  <c r="BC94" i="25" s="1"/>
  <c r="AW78" i="25"/>
  <c r="AY78" i="25" s="1"/>
  <c r="AZ78" i="25" s="1"/>
  <c r="BC78" i="25" s="1"/>
  <c r="BJ144" i="25"/>
  <c r="AX144" i="25"/>
  <c r="BA144" i="25" s="1"/>
  <c r="BB144" i="25" s="1"/>
  <c r="AX64" i="25"/>
  <c r="BA64" i="25" s="1"/>
  <c r="BB64" i="25" s="1"/>
  <c r="BS139" i="25"/>
  <c r="BM139" i="25" s="1"/>
  <c r="BN139" i="25" s="1"/>
  <c r="BO139" i="25" s="1"/>
  <c r="BS130" i="25"/>
  <c r="BM130" i="25" s="1"/>
  <c r="BN130" i="25" s="1"/>
  <c r="BO130" i="25" s="1"/>
  <c r="BS122" i="25"/>
  <c r="BM122" i="25" s="1"/>
  <c r="BN122" i="25" s="1"/>
  <c r="BO122" i="25" s="1"/>
  <c r="BS114" i="25"/>
  <c r="BM114" i="25" s="1"/>
  <c r="BN114" i="25" s="1"/>
  <c r="BO114" i="25" s="1"/>
  <c r="BS106" i="25"/>
  <c r="BM106" i="25" s="1"/>
  <c r="BN106" i="25" s="1"/>
  <c r="BO106" i="25" s="1"/>
  <c r="BS98" i="25"/>
  <c r="BM98" i="25" s="1"/>
  <c r="BN98" i="25" s="1"/>
  <c r="BO98" i="25" s="1"/>
  <c r="BS90" i="25"/>
  <c r="BM90" i="25" s="1"/>
  <c r="BN90" i="25" s="1"/>
  <c r="BO90" i="25" s="1"/>
  <c r="BS82" i="25"/>
  <c r="BM82" i="25" s="1"/>
  <c r="BN82" i="25" s="1"/>
  <c r="BO82" i="25" s="1"/>
  <c r="BS74" i="25"/>
  <c r="BM74" i="25" s="1"/>
  <c r="BN74" i="25" s="1"/>
  <c r="BO74" i="25" s="1"/>
  <c r="BM137" i="25"/>
  <c r="BN137" i="25" s="1"/>
  <c r="BO137" i="25" s="1"/>
  <c r="AX109" i="25"/>
  <c r="BA109" i="25" s="1"/>
  <c r="BB109" i="25" s="1"/>
  <c r="AY86" i="25"/>
  <c r="AZ86" i="25" s="1"/>
  <c r="BC86" i="25" s="1"/>
  <c r="BS69" i="25"/>
  <c r="BM69" i="25" s="1"/>
  <c r="BN69" i="25" s="1"/>
  <c r="BO69" i="25" s="1"/>
  <c r="AX134" i="25"/>
  <c r="BA134" i="25" s="1"/>
  <c r="BB134" i="25" s="1"/>
  <c r="BS66" i="25"/>
  <c r="BM66" i="25" s="1"/>
  <c r="BN66" i="25" s="1"/>
  <c r="BO66" i="25" s="1"/>
  <c r="AX68" i="25"/>
  <c r="BA68" i="25" s="1"/>
  <c r="BB68" i="25" s="1"/>
  <c r="AW72" i="25"/>
  <c r="AY72" i="25" s="1"/>
  <c r="AZ72" i="25" s="1"/>
  <c r="BC72" i="25" s="1"/>
  <c r="BP137" i="25"/>
  <c r="BP128" i="25"/>
  <c r="BP120" i="25"/>
  <c r="BP112" i="25"/>
  <c r="BP104" i="25"/>
  <c r="BP96" i="25"/>
  <c r="BP88" i="25"/>
  <c r="BP80" i="25"/>
  <c r="BJ143" i="25"/>
  <c r="BJ135" i="25"/>
  <c r="BJ126" i="25"/>
  <c r="BJ118" i="25"/>
  <c r="BJ110" i="25"/>
  <c r="BJ102" i="25"/>
  <c r="BJ94" i="25"/>
  <c r="BJ86" i="25"/>
  <c r="BF141" i="25"/>
  <c r="BF130" i="25"/>
  <c r="AX140" i="25"/>
  <c r="BA140" i="25" s="1"/>
  <c r="BB140" i="25" s="1"/>
  <c r="AU140" i="25"/>
  <c r="AY140" i="25" s="1"/>
  <c r="AZ140" i="25" s="1"/>
  <c r="BC140" i="25" s="1"/>
  <c r="AX131" i="25"/>
  <c r="BA131" i="25" s="1"/>
  <c r="BB131" i="25" s="1"/>
  <c r="AU131" i="25"/>
  <c r="AY131" i="25" s="1"/>
  <c r="AZ131" i="25" s="1"/>
  <c r="BC131" i="25" s="1"/>
  <c r="AX123" i="25"/>
  <c r="BA123" i="25" s="1"/>
  <c r="BB123" i="25" s="1"/>
  <c r="AU123" i="25"/>
  <c r="AY123" i="25" s="1"/>
  <c r="AZ123" i="25" s="1"/>
  <c r="BC123" i="25" s="1"/>
  <c r="AX115" i="25"/>
  <c r="BA115" i="25" s="1"/>
  <c r="BB115" i="25" s="1"/>
  <c r="AU115" i="25"/>
  <c r="AY115" i="25" s="1"/>
  <c r="AZ115" i="25" s="1"/>
  <c r="BC115" i="25" s="1"/>
  <c r="AX107" i="25"/>
  <c r="BA107" i="25" s="1"/>
  <c r="BB107" i="25" s="1"/>
  <c r="AU107" i="25"/>
  <c r="AY107" i="25" s="1"/>
  <c r="AZ107" i="25" s="1"/>
  <c r="BC107" i="25" s="1"/>
  <c r="AX99" i="25"/>
  <c r="BA99" i="25" s="1"/>
  <c r="BB99" i="25" s="1"/>
  <c r="AU99" i="25"/>
  <c r="AY99" i="25" s="1"/>
  <c r="AZ99" i="25" s="1"/>
  <c r="BC99" i="25" s="1"/>
  <c r="AX91" i="25"/>
  <c r="BA91" i="25" s="1"/>
  <c r="BB91" i="25" s="1"/>
  <c r="AU91" i="25"/>
  <c r="AY91" i="25" s="1"/>
  <c r="AZ91" i="25" s="1"/>
  <c r="BC91" i="25" s="1"/>
  <c r="AX83" i="25"/>
  <c r="BA83" i="25" s="1"/>
  <c r="BB83" i="25" s="1"/>
  <c r="AU83" i="25"/>
  <c r="AY83" i="25" s="1"/>
  <c r="AZ83" i="25" s="1"/>
  <c r="BC83" i="25" s="1"/>
  <c r="AX75" i="25"/>
  <c r="BA75" i="25" s="1"/>
  <c r="BB75" i="25" s="1"/>
  <c r="AU75" i="25"/>
  <c r="AY75" i="25" s="1"/>
  <c r="AZ75" i="25" s="1"/>
  <c r="BC75" i="25" s="1"/>
  <c r="BS64" i="25"/>
  <c r="BM64" i="25" s="1"/>
  <c r="BN64" i="25" s="1"/>
  <c r="BO64" i="25" s="1"/>
  <c r="AX73" i="25"/>
  <c r="BA73" i="25" s="1"/>
  <c r="BB73" i="25" s="1"/>
  <c r="BJ132" i="25"/>
  <c r="BJ124" i="25"/>
  <c r="BJ116" i="25"/>
  <c r="BJ100" i="25"/>
  <c r="BJ84" i="25"/>
  <c r="BF139" i="25"/>
  <c r="AY71" i="25"/>
  <c r="AZ71" i="25" s="1"/>
  <c r="BC71" i="25" s="1"/>
  <c r="AX138" i="25"/>
  <c r="BA138" i="25" s="1"/>
  <c r="BB138" i="25" s="1"/>
  <c r="AW138" i="25"/>
  <c r="AY138" i="25" s="1"/>
  <c r="AZ138" i="25" s="1"/>
  <c r="BC138" i="25" s="1"/>
  <c r="AX129" i="25"/>
  <c r="BA129" i="25" s="1"/>
  <c r="BB129" i="25" s="1"/>
  <c r="AW129" i="25"/>
  <c r="AY129" i="25" s="1"/>
  <c r="AZ129" i="25" s="1"/>
  <c r="BC129" i="25" s="1"/>
  <c r="AX121" i="25"/>
  <c r="BA121" i="25" s="1"/>
  <c r="BB121" i="25" s="1"/>
  <c r="AW121" i="25"/>
  <c r="AY121" i="25" s="1"/>
  <c r="AZ121" i="25" s="1"/>
  <c r="BC121" i="25" s="1"/>
  <c r="AX113" i="25"/>
  <c r="BA113" i="25" s="1"/>
  <c r="BB113" i="25" s="1"/>
  <c r="AW113" i="25"/>
  <c r="AY113" i="25" s="1"/>
  <c r="AZ113" i="25" s="1"/>
  <c r="BC113" i="25" s="1"/>
  <c r="AX105" i="25"/>
  <c r="BA105" i="25" s="1"/>
  <c r="BB105" i="25" s="1"/>
  <c r="AW105" i="25"/>
  <c r="AY105" i="25" s="1"/>
  <c r="AZ105" i="25" s="1"/>
  <c r="BC105" i="25" s="1"/>
  <c r="AX97" i="25"/>
  <c r="BA97" i="25" s="1"/>
  <c r="BB97" i="25" s="1"/>
  <c r="AW97" i="25"/>
  <c r="AY97" i="25" s="1"/>
  <c r="AZ97" i="25" s="1"/>
  <c r="BC97" i="25" s="1"/>
  <c r="AX89" i="25"/>
  <c r="BA89" i="25" s="1"/>
  <c r="BB89" i="25" s="1"/>
  <c r="AW89" i="25"/>
  <c r="AY89" i="25" s="1"/>
  <c r="AZ89" i="25" s="1"/>
  <c r="BC89" i="25" s="1"/>
  <c r="AX81" i="25"/>
  <c r="BA81" i="25" s="1"/>
  <c r="BB81" i="25" s="1"/>
  <c r="AW81" i="25"/>
  <c r="AY81" i="25" s="1"/>
  <c r="AZ81" i="25" s="1"/>
  <c r="BC81" i="25" s="1"/>
  <c r="BS72" i="25"/>
  <c r="BM72" i="25" s="1"/>
  <c r="BN72" i="25" s="1"/>
  <c r="BO72" i="25" s="1"/>
  <c r="BJ73" i="25"/>
  <c r="BF69" i="25"/>
  <c r="AX71" i="25"/>
  <c r="BA71" i="25" s="1"/>
  <c r="BB71" i="25" s="1"/>
  <c r="AX70" i="25"/>
  <c r="BA70" i="25" s="1"/>
  <c r="BB70" i="25" s="1"/>
  <c r="BJ122" i="25"/>
  <c r="BJ114" i="25"/>
  <c r="BJ106" i="25"/>
  <c r="BJ98" i="25"/>
  <c r="BJ90" i="25"/>
  <c r="BJ82" i="25"/>
  <c r="BJ74" i="25"/>
  <c r="AY136" i="25"/>
  <c r="AZ136" i="25" s="1"/>
  <c r="BC136" i="25" s="1"/>
  <c r="AY127" i="25"/>
  <c r="AZ127" i="25" s="1"/>
  <c r="BC127" i="25" s="1"/>
  <c r="AY119" i="25"/>
  <c r="AZ119" i="25" s="1"/>
  <c r="BC119" i="25" s="1"/>
  <c r="AY111" i="25"/>
  <c r="AZ111" i="25" s="1"/>
  <c r="BC111" i="25" s="1"/>
  <c r="AY103" i="25"/>
  <c r="AZ103" i="25" s="1"/>
  <c r="BC103" i="25" s="1"/>
  <c r="AY95" i="25"/>
  <c r="AZ95" i="25" s="1"/>
  <c r="BC95" i="25" s="1"/>
  <c r="AY87" i="25"/>
  <c r="AZ87" i="25" s="1"/>
  <c r="BC87" i="25" s="1"/>
  <c r="AY79" i="25"/>
  <c r="AZ79" i="25" s="1"/>
  <c r="BC79" i="25" s="1"/>
  <c r="BJ137" i="25"/>
  <c r="BJ128" i="25"/>
  <c r="BJ120" i="25"/>
  <c r="BJ112" i="25"/>
  <c r="BJ104" i="25"/>
  <c r="BJ96" i="25"/>
  <c r="BJ88" i="25"/>
  <c r="BJ80" i="25"/>
  <c r="AY142" i="25"/>
  <c r="AZ142" i="25" s="1"/>
  <c r="BC142" i="25" s="1"/>
  <c r="AY134" i="25"/>
  <c r="AZ134" i="25" s="1"/>
  <c r="BC134" i="25" s="1"/>
  <c r="AY125" i="25"/>
  <c r="AZ125" i="25" s="1"/>
  <c r="BC125" i="25" s="1"/>
  <c r="AY117" i="25"/>
  <c r="AZ117" i="25" s="1"/>
  <c r="BC117" i="25" s="1"/>
  <c r="AY109" i="25"/>
  <c r="AZ109" i="25" s="1"/>
  <c r="BC109" i="25" s="1"/>
  <c r="AY101" i="25"/>
  <c r="AZ101" i="25" s="1"/>
  <c r="BC101" i="25" s="1"/>
  <c r="AY93" i="25"/>
  <c r="AZ93" i="25" s="1"/>
  <c r="BC93" i="25" s="1"/>
  <c r="AY85" i="25"/>
  <c r="AZ85" i="25" s="1"/>
  <c r="BC85" i="25" s="1"/>
  <c r="AY77" i="25"/>
  <c r="AZ77" i="25" s="1"/>
  <c r="BC77" i="25" s="1"/>
  <c r="AY62" i="25"/>
  <c r="AZ62" i="25" s="1"/>
  <c r="BC62" i="25" s="1"/>
  <c r="AX62" i="25"/>
  <c r="BA62" i="25" s="1"/>
  <c r="BB62" i="25" s="1"/>
  <c r="BP73" i="25"/>
  <c r="BJ71" i="25"/>
  <c r="BF68" i="25"/>
  <c r="AW66" i="25"/>
  <c r="AY66" i="25" s="1"/>
  <c r="AZ66" i="25" s="1"/>
  <c r="BC66" i="25" s="1"/>
  <c r="AX63" i="25"/>
  <c r="BA63" i="25" s="1"/>
  <c r="BB63" i="25" s="1"/>
  <c r="BF72" i="25"/>
  <c r="AW69" i="25"/>
  <c r="AY69" i="25" s="1"/>
  <c r="AZ69" i="25" s="1"/>
  <c r="BC69" i="25" s="1"/>
  <c r="BP65" i="25"/>
  <c r="BF67" i="25"/>
  <c r="AU70" i="25"/>
  <c r="AY70" i="25" s="1"/>
  <c r="AZ70" i="25" s="1"/>
  <c r="BC70" i="25" s="1"/>
  <c r="AX67" i="25"/>
  <c r="BA67" i="25" s="1"/>
  <c r="BB67" i="25" s="1"/>
  <c r="BF63" i="25"/>
  <c r="AX65" i="25"/>
  <c r="BA65" i="25" s="1"/>
  <c r="BB65" i="25" s="1"/>
  <c r="BF62" i="25"/>
  <c r="AY65" i="25"/>
  <c r="AZ65" i="25" s="1"/>
  <c r="BC65" i="25" s="1"/>
  <c r="BP68" i="25"/>
  <c r="BF66" i="25"/>
  <c r="BF64" i="25"/>
  <c r="AW63" i="25"/>
  <c r="AY63" i="25" s="1"/>
  <c r="AZ63" i="25" s="1"/>
  <c r="BC63" i="25" s="1"/>
  <c r="E43" i="89" l="1"/>
  <c r="E36" i="89"/>
  <c r="G23" i="89"/>
  <c r="E58" i="89" l="1"/>
  <c r="AT7" i="25" l="1"/>
  <c r="AT8" i="25"/>
  <c r="AT9" i="25"/>
  <c r="AT10" i="25"/>
  <c r="AT11" i="25"/>
  <c r="AT12" i="25"/>
  <c r="AT13" i="25"/>
  <c r="AT14" i="25"/>
  <c r="AT15" i="25"/>
  <c r="AT16" i="25"/>
  <c r="AT17" i="25"/>
  <c r="AT18" i="25"/>
  <c r="AT19" i="25"/>
  <c r="AT20" i="25"/>
  <c r="AT21" i="25"/>
  <c r="AT22" i="25"/>
  <c r="AT23" i="25"/>
  <c r="AT24" i="25"/>
  <c r="AT25" i="25"/>
  <c r="AT26" i="25"/>
  <c r="AT27" i="25"/>
  <c r="AT28" i="25"/>
  <c r="AT29" i="25"/>
  <c r="AT30" i="25"/>
  <c r="AT31" i="25"/>
  <c r="AT32" i="25"/>
  <c r="AT33" i="25"/>
  <c r="AT34" i="25"/>
  <c r="AT35" i="25"/>
  <c r="AT36" i="25"/>
  <c r="AT37" i="25"/>
  <c r="AT38" i="25"/>
  <c r="AT39" i="25"/>
  <c r="AT40" i="25"/>
  <c r="AT41" i="25"/>
  <c r="AT42" i="25"/>
  <c r="AT43" i="25"/>
  <c r="AT44" i="25"/>
  <c r="AT45" i="25"/>
  <c r="AT46" i="25"/>
  <c r="AT47" i="25"/>
  <c r="AT48" i="25"/>
  <c r="AT49" i="25"/>
  <c r="AT50" i="25"/>
  <c r="AT51" i="25"/>
  <c r="AT52" i="25"/>
  <c r="AT53" i="25"/>
  <c r="AT54" i="25"/>
  <c r="AT55" i="25"/>
  <c r="AT56" i="25"/>
  <c r="AT57" i="25"/>
  <c r="AT58" i="25"/>
  <c r="AT59" i="25"/>
  <c r="AT60" i="25"/>
  <c r="AT61" i="25"/>
  <c r="AU8" i="25" l="1"/>
  <c r="AU9" i="25"/>
  <c r="AU10" i="25"/>
  <c r="AU11" i="25"/>
  <c r="AU12" i="25"/>
  <c r="AU13" i="25"/>
  <c r="AU14" i="25"/>
  <c r="AU15" i="25"/>
  <c r="AU16" i="25"/>
  <c r="AU17" i="25"/>
  <c r="AU18" i="25"/>
  <c r="AU20" i="25"/>
  <c r="AU21" i="25"/>
  <c r="AU22" i="25"/>
  <c r="AU26" i="25"/>
  <c r="AU27" i="25"/>
  <c r="AU28" i="25"/>
  <c r="AU29" i="25"/>
  <c r="AU30" i="25"/>
  <c r="AU31" i="25"/>
  <c r="AU33" i="25"/>
  <c r="AU34" i="25"/>
  <c r="AU35" i="25"/>
  <c r="AU36" i="25"/>
  <c r="AU37" i="25"/>
  <c r="AU39" i="25"/>
  <c r="AU40" i="25"/>
  <c r="AU41" i="25"/>
  <c r="AU42" i="25"/>
  <c r="AU43" i="25"/>
  <c r="AU44" i="25"/>
  <c r="AU45" i="25"/>
  <c r="AU47" i="25"/>
  <c r="AU48" i="25"/>
  <c r="AU49" i="25"/>
  <c r="AU50" i="25"/>
  <c r="AU51" i="25"/>
  <c r="AU52" i="25"/>
  <c r="AU55" i="25"/>
  <c r="AU56" i="25"/>
  <c r="AU58" i="25"/>
  <c r="AU59" i="25"/>
  <c r="AU60" i="25"/>
  <c r="AU61" i="25"/>
  <c r="AU25" i="25"/>
  <c r="AU57" i="25"/>
  <c r="AV7" i="25"/>
  <c r="AW7" i="25" s="1"/>
  <c r="AV8" i="25"/>
  <c r="AW8" i="25" s="1"/>
  <c r="AV9" i="25"/>
  <c r="AW9" i="25" s="1"/>
  <c r="AV10" i="25"/>
  <c r="AV11" i="25"/>
  <c r="AW11" i="25" s="1"/>
  <c r="AV12" i="25"/>
  <c r="AW12" i="25" s="1"/>
  <c r="AV13" i="25"/>
  <c r="AW13" i="25" s="1"/>
  <c r="AV14" i="25"/>
  <c r="AW14" i="25" s="1"/>
  <c r="AV15" i="25"/>
  <c r="AW15" i="25" s="1"/>
  <c r="AV16" i="25"/>
  <c r="AW16" i="25" s="1"/>
  <c r="AV17" i="25"/>
  <c r="AW17" i="25" s="1"/>
  <c r="AV18" i="25"/>
  <c r="AW18" i="25" s="1"/>
  <c r="AV19" i="25"/>
  <c r="AW19" i="25" s="1"/>
  <c r="AV20" i="25"/>
  <c r="AW20" i="25" s="1"/>
  <c r="AV21" i="25"/>
  <c r="AW21" i="25" s="1"/>
  <c r="AV22" i="25"/>
  <c r="AW22" i="25" s="1"/>
  <c r="AV23" i="25"/>
  <c r="AW23" i="25" s="1"/>
  <c r="AV24" i="25"/>
  <c r="AW24" i="25" s="1"/>
  <c r="AV25" i="25"/>
  <c r="AW25" i="25" s="1"/>
  <c r="AV26" i="25"/>
  <c r="AW26" i="25" s="1"/>
  <c r="AV27" i="25"/>
  <c r="AW27" i="25" s="1"/>
  <c r="AV28" i="25"/>
  <c r="AV29" i="25"/>
  <c r="AW29" i="25" s="1"/>
  <c r="AV30" i="25"/>
  <c r="AW30" i="25" s="1"/>
  <c r="AV31" i="25"/>
  <c r="AW31" i="25" s="1"/>
  <c r="AV32" i="25"/>
  <c r="AW32" i="25" s="1"/>
  <c r="AV33" i="25"/>
  <c r="AW33" i="25" s="1"/>
  <c r="AV34" i="25"/>
  <c r="AW34" i="25" s="1"/>
  <c r="AV35" i="25"/>
  <c r="AW35" i="25" s="1"/>
  <c r="AV36" i="25"/>
  <c r="AW36" i="25" s="1"/>
  <c r="AV37" i="25"/>
  <c r="AW37" i="25" s="1"/>
  <c r="AV38" i="25"/>
  <c r="AW38" i="25" s="1"/>
  <c r="AV39" i="25"/>
  <c r="AW39" i="25" s="1"/>
  <c r="AV40" i="25"/>
  <c r="AW40" i="25" s="1"/>
  <c r="AV41" i="25"/>
  <c r="AW41" i="25" s="1"/>
  <c r="AV42" i="25"/>
  <c r="AV43" i="25"/>
  <c r="AW43" i="25" s="1"/>
  <c r="AV44" i="25"/>
  <c r="AV45" i="25"/>
  <c r="AW45" i="25" s="1"/>
  <c r="AV46" i="25"/>
  <c r="AW46" i="25" s="1"/>
  <c r="AV47" i="25"/>
  <c r="AW47" i="25" s="1"/>
  <c r="AV48" i="25"/>
  <c r="AW48" i="25" s="1"/>
  <c r="AV49" i="25"/>
  <c r="AV50" i="25"/>
  <c r="AV51" i="25"/>
  <c r="AW51" i="25" s="1"/>
  <c r="AV52" i="25"/>
  <c r="AW52" i="25" s="1"/>
  <c r="AV53" i="25"/>
  <c r="AW53" i="25" s="1"/>
  <c r="AV54" i="25"/>
  <c r="AW54" i="25" s="1"/>
  <c r="AV55" i="25"/>
  <c r="AW55" i="25" s="1"/>
  <c r="AV56" i="25"/>
  <c r="AW56" i="25" s="1"/>
  <c r="AV57" i="25"/>
  <c r="AW57" i="25" s="1"/>
  <c r="AV58" i="25"/>
  <c r="AV59" i="25"/>
  <c r="AV60" i="25"/>
  <c r="AW60" i="25" s="1"/>
  <c r="AV61" i="25"/>
  <c r="AW61" i="25" s="1"/>
  <c r="BD7" i="25"/>
  <c r="BD8" i="25"/>
  <c r="BD9" i="25"/>
  <c r="BD10" i="25"/>
  <c r="BD11" i="25"/>
  <c r="BD12" i="25"/>
  <c r="BD13" i="25"/>
  <c r="BD14" i="25"/>
  <c r="BD15" i="25"/>
  <c r="BD16" i="25"/>
  <c r="BD17" i="25"/>
  <c r="BD18" i="25"/>
  <c r="BD19" i="25"/>
  <c r="BD20" i="25"/>
  <c r="BD21" i="25"/>
  <c r="BD22" i="25"/>
  <c r="BD23" i="25"/>
  <c r="BD24" i="25"/>
  <c r="BD25" i="25"/>
  <c r="BD26" i="25"/>
  <c r="BD27" i="25"/>
  <c r="BD28" i="25"/>
  <c r="BD29" i="25"/>
  <c r="BD30" i="25"/>
  <c r="BD31" i="25"/>
  <c r="BD32" i="25"/>
  <c r="BD33" i="25"/>
  <c r="BD34" i="25"/>
  <c r="BD35" i="25"/>
  <c r="BD36" i="25"/>
  <c r="BD37" i="25"/>
  <c r="BD38" i="25"/>
  <c r="BD39" i="25"/>
  <c r="BD40" i="25"/>
  <c r="BD41" i="25"/>
  <c r="BD42" i="25"/>
  <c r="BD43" i="25"/>
  <c r="BD44" i="25"/>
  <c r="BD45" i="25"/>
  <c r="BD46" i="25"/>
  <c r="BD47" i="25"/>
  <c r="BD48" i="25"/>
  <c r="BD49" i="25"/>
  <c r="BD50" i="25"/>
  <c r="BD51" i="25"/>
  <c r="BD52" i="25"/>
  <c r="BD53" i="25"/>
  <c r="BD54" i="25"/>
  <c r="BD55" i="25"/>
  <c r="BD56" i="25"/>
  <c r="BD57" i="25"/>
  <c r="BD58" i="25"/>
  <c r="BD59" i="25"/>
  <c r="BD60" i="25"/>
  <c r="BD61" i="25"/>
  <c r="BF7" i="25"/>
  <c r="BF8" i="25"/>
  <c r="BF9" i="25"/>
  <c r="BF10" i="25"/>
  <c r="BF11" i="25"/>
  <c r="BJ12" i="25"/>
  <c r="BF13" i="25"/>
  <c r="BF14" i="25"/>
  <c r="BJ15" i="25"/>
  <c r="BF16" i="25"/>
  <c r="BJ17" i="25"/>
  <c r="BJ18" i="25"/>
  <c r="BF19" i="25"/>
  <c r="BF20" i="25"/>
  <c r="BF21" i="25"/>
  <c r="BF22" i="25"/>
  <c r="BF23" i="25"/>
  <c r="BJ24" i="25"/>
  <c r="BF25" i="25"/>
  <c r="BF26" i="25"/>
  <c r="BJ27" i="25"/>
  <c r="BF28" i="25"/>
  <c r="BJ29" i="25"/>
  <c r="BJ30" i="25"/>
  <c r="BF31" i="25"/>
  <c r="BF32" i="25"/>
  <c r="BF33" i="25"/>
  <c r="BJ34" i="25"/>
  <c r="BJ35" i="25"/>
  <c r="BF36" i="25"/>
  <c r="BF37" i="25"/>
  <c r="BF38" i="25"/>
  <c r="BF39" i="25"/>
  <c r="BJ40" i="25"/>
  <c r="BJ41" i="25"/>
  <c r="BJ42" i="25"/>
  <c r="BF43" i="25"/>
  <c r="BF44" i="25"/>
  <c r="BF45" i="25"/>
  <c r="BF46" i="25"/>
  <c r="BJ47" i="25"/>
  <c r="BF48" i="25"/>
  <c r="BJ49" i="25"/>
  <c r="BF50" i="25"/>
  <c r="BF51" i="25"/>
  <c r="BJ52" i="25"/>
  <c r="BF53" i="25"/>
  <c r="BF54" i="25"/>
  <c r="BF55" i="25"/>
  <c r="BJ56" i="25"/>
  <c r="BF57" i="25"/>
  <c r="BF58" i="25"/>
  <c r="BF59" i="25"/>
  <c r="BF60" i="25"/>
  <c r="BJ61" i="25"/>
  <c r="BG7" i="25"/>
  <c r="BG8" i="25"/>
  <c r="BG9" i="25"/>
  <c r="BG10" i="25"/>
  <c r="BG11" i="25"/>
  <c r="BG12" i="25"/>
  <c r="BG13" i="25"/>
  <c r="BG14" i="25"/>
  <c r="BG15" i="25"/>
  <c r="BG16" i="25"/>
  <c r="BG17" i="25"/>
  <c r="BG18" i="25"/>
  <c r="BG19" i="25"/>
  <c r="BG20" i="25"/>
  <c r="BG21" i="25"/>
  <c r="BG22" i="25"/>
  <c r="BG23" i="25"/>
  <c r="BG24" i="25"/>
  <c r="BG25" i="25"/>
  <c r="BG26" i="25"/>
  <c r="BG27" i="25"/>
  <c r="BG28" i="25"/>
  <c r="BG29" i="25"/>
  <c r="BG30" i="25"/>
  <c r="BG31" i="25"/>
  <c r="BG32" i="25"/>
  <c r="BG33" i="25"/>
  <c r="BG34" i="25"/>
  <c r="BG35" i="25"/>
  <c r="BG36" i="25"/>
  <c r="BG37" i="25"/>
  <c r="BG38" i="25"/>
  <c r="BG39" i="25"/>
  <c r="BG40" i="25"/>
  <c r="BG41" i="25"/>
  <c r="BG42" i="25"/>
  <c r="BG43" i="25"/>
  <c r="BG44" i="25"/>
  <c r="BG45" i="25"/>
  <c r="BG46" i="25"/>
  <c r="BG47" i="25"/>
  <c r="BG48" i="25"/>
  <c r="BG49" i="25"/>
  <c r="BG50" i="25"/>
  <c r="BG51" i="25"/>
  <c r="BG52" i="25"/>
  <c r="BG53" i="25"/>
  <c r="BG54" i="25"/>
  <c r="BG55" i="25"/>
  <c r="BG56" i="25"/>
  <c r="BG57" i="25"/>
  <c r="BG58" i="25"/>
  <c r="BG59" i="25"/>
  <c r="BG60" i="25"/>
  <c r="BG61" i="25"/>
  <c r="BH7" i="25"/>
  <c r="BI7" i="25" s="1"/>
  <c r="BH8" i="25"/>
  <c r="BI8" i="25" s="1"/>
  <c r="BH9" i="25"/>
  <c r="BI9" i="25" s="1"/>
  <c r="BH10" i="25"/>
  <c r="BI10" i="25" s="1"/>
  <c r="BH11" i="25"/>
  <c r="BI11" i="25" s="1"/>
  <c r="BH12" i="25"/>
  <c r="BI12" i="25" s="1"/>
  <c r="BH13" i="25"/>
  <c r="BI13" i="25" s="1"/>
  <c r="BH14" i="25"/>
  <c r="BI14" i="25" s="1"/>
  <c r="BH15" i="25"/>
  <c r="BI15" i="25" s="1"/>
  <c r="BH16" i="25"/>
  <c r="BI16" i="25" s="1"/>
  <c r="BH17" i="25"/>
  <c r="BI17" i="25" s="1"/>
  <c r="BH18" i="25"/>
  <c r="BI18" i="25" s="1"/>
  <c r="BH19" i="25"/>
  <c r="BI19" i="25" s="1"/>
  <c r="BH20" i="25"/>
  <c r="BI20" i="25" s="1"/>
  <c r="BH21" i="25"/>
  <c r="BI21" i="25" s="1"/>
  <c r="BH22" i="25"/>
  <c r="BI22" i="25" s="1"/>
  <c r="BH23" i="25"/>
  <c r="BI23" i="25" s="1"/>
  <c r="BH24" i="25"/>
  <c r="BI24" i="25" s="1"/>
  <c r="BH25" i="25"/>
  <c r="BI25" i="25" s="1"/>
  <c r="BH26" i="25"/>
  <c r="BI26" i="25" s="1"/>
  <c r="BH27" i="25"/>
  <c r="BI27" i="25" s="1"/>
  <c r="BH28" i="25"/>
  <c r="BI28" i="25" s="1"/>
  <c r="BH29" i="25"/>
  <c r="BI29" i="25" s="1"/>
  <c r="BH30" i="25"/>
  <c r="BI30" i="25" s="1"/>
  <c r="BH31" i="25"/>
  <c r="BI31" i="25" s="1"/>
  <c r="BH32" i="25"/>
  <c r="BI32" i="25" s="1"/>
  <c r="BH33" i="25"/>
  <c r="BI33" i="25" s="1"/>
  <c r="BH34" i="25"/>
  <c r="BI34" i="25" s="1"/>
  <c r="BH35" i="25"/>
  <c r="BI35" i="25" s="1"/>
  <c r="BH36" i="25"/>
  <c r="BI36" i="25" s="1"/>
  <c r="BH37" i="25"/>
  <c r="BI37" i="25" s="1"/>
  <c r="BH38" i="25"/>
  <c r="BI38" i="25" s="1"/>
  <c r="BH39" i="25"/>
  <c r="BI39" i="25" s="1"/>
  <c r="BH40" i="25"/>
  <c r="BI40" i="25" s="1"/>
  <c r="BH41" i="25"/>
  <c r="BI41" i="25" s="1"/>
  <c r="BH42" i="25"/>
  <c r="BI42" i="25" s="1"/>
  <c r="BH43" i="25"/>
  <c r="BI43" i="25" s="1"/>
  <c r="BH44" i="25"/>
  <c r="BI44" i="25" s="1"/>
  <c r="BH45" i="25"/>
  <c r="BI45" i="25" s="1"/>
  <c r="BH46" i="25"/>
  <c r="BI46" i="25" s="1"/>
  <c r="BH47" i="25"/>
  <c r="BI47" i="25" s="1"/>
  <c r="BH48" i="25"/>
  <c r="BI48" i="25" s="1"/>
  <c r="BH49" i="25"/>
  <c r="BI49" i="25" s="1"/>
  <c r="BH50" i="25"/>
  <c r="BI50" i="25" s="1"/>
  <c r="BH51" i="25"/>
  <c r="BI51" i="25" s="1"/>
  <c r="BH52" i="25"/>
  <c r="BI52" i="25" s="1"/>
  <c r="BH53" i="25"/>
  <c r="BI53" i="25" s="1"/>
  <c r="BH54" i="25"/>
  <c r="BI54" i="25" s="1"/>
  <c r="BH55" i="25"/>
  <c r="BI55" i="25" s="1"/>
  <c r="BH56" i="25"/>
  <c r="BI56" i="25" s="1"/>
  <c r="BH57" i="25"/>
  <c r="BI57" i="25" s="1"/>
  <c r="BH58" i="25"/>
  <c r="BI58" i="25" s="1"/>
  <c r="BH59" i="25"/>
  <c r="BI59" i="25" s="1"/>
  <c r="BH60" i="25"/>
  <c r="BI60" i="25" s="1"/>
  <c r="BH61" i="25"/>
  <c r="BI61" i="25" s="1"/>
  <c r="BK7" i="25"/>
  <c r="BP7" i="25" s="1"/>
  <c r="BK8" i="25"/>
  <c r="BP8" i="25" s="1"/>
  <c r="BK9" i="25"/>
  <c r="BP9" i="25" s="1"/>
  <c r="BK10" i="25"/>
  <c r="BP10" i="25" s="1"/>
  <c r="BK11" i="25"/>
  <c r="BP11" i="25" s="1"/>
  <c r="BK12" i="25"/>
  <c r="BP12" i="25" s="1"/>
  <c r="BK13" i="25"/>
  <c r="BP13" i="25" s="1"/>
  <c r="BK14" i="25"/>
  <c r="BP14" i="25" s="1"/>
  <c r="BK15" i="25"/>
  <c r="BP15" i="25" s="1"/>
  <c r="BK16" i="25"/>
  <c r="BP16" i="25" s="1"/>
  <c r="BK17" i="25"/>
  <c r="BP17" i="25" s="1"/>
  <c r="BK18" i="25"/>
  <c r="BP18" i="25" s="1"/>
  <c r="BK19" i="25"/>
  <c r="BP19" i="25" s="1"/>
  <c r="BK20" i="25"/>
  <c r="BP20" i="25" s="1"/>
  <c r="BK21" i="25"/>
  <c r="BP21" i="25" s="1"/>
  <c r="BK22" i="25"/>
  <c r="BP22" i="25" s="1"/>
  <c r="BK23" i="25"/>
  <c r="BP23" i="25" s="1"/>
  <c r="BK24" i="25"/>
  <c r="BP24" i="25" s="1"/>
  <c r="BK25" i="25"/>
  <c r="BP25" i="25" s="1"/>
  <c r="BK26" i="25"/>
  <c r="BP26" i="25" s="1"/>
  <c r="BK27" i="25"/>
  <c r="BP27" i="25" s="1"/>
  <c r="BK28" i="25"/>
  <c r="BP28" i="25" s="1"/>
  <c r="BK29" i="25"/>
  <c r="BP29" i="25" s="1"/>
  <c r="BK30" i="25"/>
  <c r="BP30" i="25" s="1"/>
  <c r="BK31" i="25"/>
  <c r="BP31" i="25" s="1"/>
  <c r="BK32" i="25"/>
  <c r="BP32" i="25" s="1"/>
  <c r="BK33" i="25"/>
  <c r="BP33" i="25" s="1"/>
  <c r="BK34" i="25"/>
  <c r="BP34" i="25" s="1"/>
  <c r="BK35" i="25"/>
  <c r="BP35" i="25" s="1"/>
  <c r="BK36" i="25"/>
  <c r="BP36" i="25" s="1"/>
  <c r="BK37" i="25"/>
  <c r="BP37" i="25" s="1"/>
  <c r="BK38" i="25"/>
  <c r="BP38" i="25" s="1"/>
  <c r="BK39" i="25"/>
  <c r="BP39" i="25" s="1"/>
  <c r="BK40" i="25"/>
  <c r="BP40" i="25" s="1"/>
  <c r="BK41" i="25"/>
  <c r="BP41" i="25" s="1"/>
  <c r="BK42" i="25"/>
  <c r="BP42" i="25" s="1"/>
  <c r="BK43" i="25"/>
  <c r="BP43" i="25" s="1"/>
  <c r="BK44" i="25"/>
  <c r="BP44" i="25" s="1"/>
  <c r="BK45" i="25"/>
  <c r="BP45" i="25" s="1"/>
  <c r="BK46" i="25"/>
  <c r="BP46" i="25" s="1"/>
  <c r="BK47" i="25"/>
  <c r="BP47" i="25" s="1"/>
  <c r="BK48" i="25"/>
  <c r="BP48" i="25" s="1"/>
  <c r="BK49" i="25"/>
  <c r="BP49" i="25" s="1"/>
  <c r="BK50" i="25"/>
  <c r="BP50" i="25" s="1"/>
  <c r="BK51" i="25"/>
  <c r="BP51" i="25" s="1"/>
  <c r="BK52" i="25"/>
  <c r="BP52" i="25" s="1"/>
  <c r="BK53" i="25"/>
  <c r="BP53" i="25" s="1"/>
  <c r="BK54" i="25"/>
  <c r="BP54" i="25" s="1"/>
  <c r="BK55" i="25"/>
  <c r="BP55" i="25" s="1"/>
  <c r="BK56" i="25"/>
  <c r="BP56" i="25" s="1"/>
  <c r="BK57" i="25"/>
  <c r="BP57" i="25" s="1"/>
  <c r="BK58" i="25"/>
  <c r="BP58" i="25" s="1"/>
  <c r="BK59" i="25"/>
  <c r="BP59" i="25" s="1"/>
  <c r="BK60" i="25"/>
  <c r="BP60" i="25" s="1"/>
  <c r="BK61" i="25"/>
  <c r="BP61" i="25" s="1"/>
  <c r="BL7" i="25"/>
  <c r="BL8" i="25"/>
  <c r="BL9" i="25"/>
  <c r="BL10" i="25"/>
  <c r="BL11" i="25"/>
  <c r="BL12" i="25"/>
  <c r="BL13" i="25"/>
  <c r="BL14" i="25"/>
  <c r="BL15" i="25"/>
  <c r="BL16" i="25"/>
  <c r="BL17" i="25"/>
  <c r="BL18" i="25"/>
  <c r="BL19" i="25"/>
  <c r="BL20" i="25"/>
  <c r="BL21" i="25"/>
  <c r="BL22" i="25"/>
  <c r="BL23" i="25"/>
  <c r="BL24" i="25"/>
  <c r="BL25" i="25"/>
  <c r="BL26" i="25"/>
  <c r="BL27" i="25"/>
  <c r="BL28" i="25"/>
  <c r="BL29" i="25"/>
  <c r="BL30" i="25"/>
  <c r="BL31" i="25"/>
  <c r="BL32" i="25"/>
  <c r="BL33" i="25"/>
  <c r="BL34" i="25"/>
  <c r="BL35" i="25"/>
  <c r="BL36" i="25"/>
  <c r="BL37" i="25"/>
  <c r="BL38" i="25"/>
  <c r="BL39" i="25"/>
  <c r="BL40" i="25"/>
  <c r="BL41" i="25"/>
  <c r="BL42" i="25"/>
  <c r="BL43" i="25"/>
  <c r="BL44" i="25"/>
  <c r="BL45" i="25"/>
  <c r="BL46" i="25"/>
  <c r="BL47" i="25"/>
  <c r="BL48" i="25"/>
  <c r="BL49" i="25"/>
  <c r="BL50" i="25"/>
  <c r="BL51" i="25"/>
  <c r="BL52" i="25"/>
  <c r="BL53" i="25"/>
  <c r="BL54" i="25"/>
  <c r="BL55" i="25"/>
  <c r="BL56" i="25"/>
  <c r="BL57" i="25"/>
  <c r="BL58" i="25"/>
  <c r="BL59" i="25"/>
  <c r="BL60" i="25"/>
  <c r="BL61" i="25"/>
  <c r="BR7" i="25"/>
  <c r="BR8" i="25"/>
  <c r="BR9" i="25"/>
  <c r="BR10" i="25"/>
  <c r="BR11" i="25"/>
  <c r="BR12" i="25"/>
  <c r="BR13" i="25"/>
  <c r="BR14" i="25"/>
  <c r="BR15" i="25"/>
  <c r="BR16" i="25"/>
  <c r="BR17" i="25"/>
  <c r="BR18" i="25"/>
  <c r="BR19" i="25"/>
  <c r="BR20" i="25"/>
  <c r="BR21" i="25"/>
  <c r="BR22" i="25"/>
  <c r="BR23" i="25"/>
  <c r="BR24" i="25"/>
  <c r="BR25" i="25"/>
  <c r="BR26" i="25"/>
  <c r="BR27" i="25"/>
  <c r="BR28" i="25"/>
  <c r="BR29" i="25"/>
  <c r="BR30" i="25"/>
  <c r="BR31" i="25"/>
  <c r="BR32" i="25"/>
  <c r="BR33" i="25"/>
  <c r="BR34" i="25"/>
  <c r="BR35" i="25"/>
  <c r="BR36" i="25"/>
  <c r="BR37" i="25"/>
  <c r="BR38" i="25"/>
  <c r="BR39" i="25"/>
  <c r="BR40" i="25"/>
  <c r="BR41" i="25"/>
  <c r="BR42" i="25"/>
  <c r="BR43" i="25"/>
  <c r="BR44" i="25"/>
  <c r="BR45" i="25"/>
  <c r="BR46" i="25"/>
  <c r="BR47" i="25"/>
  <c r="BR48" i="25"/>
  <c r="BR49" i="25"/>
  <c r="BR50" i="25"/>
  <c r="BR51" i="25"/>
  <c r="BR52" i="25"/>
  <c r="BR53" i="25"/>
  <c r="BR54" i="25"/>
  <c r="BR55" i="25"/>
  <c r="BR56" i="25"/>
  <c r="BR57" i="25"/>
  <c r="BR58" i="25"/>
  <c r="BR59" i="25"/>
  <c r="BR60" i="25"/>
  <c r="BR61" i="25"/>
  <c r="BT7" i="25"/>
  <c r="BT8" i="25"/>
  <c r="BT9" i="25"/>
  <c r="BT10" i="25"/>
  <c r="BT11" i="25"/>
  <c r="BT12" i="25"/>
  <c r="BT13" i="25"/>
  <c r="BT14" i="25"/>
  <c r="BT15" i="25"/>
  <c r="BT16" i="25"/>
  <c r="BT17" i="25"/>
  <c r="BT18" i="25"/>
  <c r="BT19" i="25"/>
  <c r="BT20" i="25"/>
  <c r="BT21" i="25"/>
  <c r="BT22" i="25"/>
  <c r="BT23" i="25"/>
  <c r="BT24" i="25"/>
  <c r="BT25" i="25"/>
  <c r="BT26" i="25"/>
  <c r="BT27" i="25"/>
  <c r="BT28" i="25"/>
  <c r="BT29" i="25"/>
  <c r="BT30" i="25"/>
  <c r="BT31" i="25"/>
  <c r="BT32" i="25"/>
  <c r="BT33" i="25"/>
  <c r="BT34" i="25"/>
  <c r="BT35" i="25"/>
  <c r="BT36" i="25"/>
  <c r="BT37" i="25"/>
  <c r="BT38" i="25"/>
  <c r="BT39" i="25"/>
  <c r="BT40" i="25"/>
  <c r="BT41" i="25"/>
  <c r="BT42" i="25"/>
  <c r="BT43" i="25"/>
  <c r="BT44" i="25"/>
  <c r="BT45" i="25"/>
  <c r="BT46" i="25"/>
  <c r="BT47" i="25"/>
  <c r="BT48" i="25"/>
  <c r="BT49" i="25"/>
  <c r="BT50" i="25"/>
  <c r="BT51" i="25"/>
  <c r="BT52" i="25"/>
  <c r="BT53" i="25"/>
  <c r="BT54" i="25"/>
  <c r="BT55" i="25"/>
  <c r="BT56" i="25"/>
  <c r="BT57" i="25"/>
  <c r="BT58" i="25"/>
  <c r="BT59" i="25"/>
  <c r="BT60" i="25"/>
  <c r="BT61" i="25"/>
  <c r="BU7" i="25"/>
  <c r="BU8" i="25"/>
  <c r="BU9" i="25"/>
  <c r="BU10" i="25"/>
  <c r="BU11" i="25"/>
  <c r="BU12" i="25"/>
  <c r="BU13" i="25"/>
  <c r="BU14" i="25"/>
  <c r="BU15" i="25"/>
  <c r="BU16" i="25"/>
  <c r="BU17" i="25"/>
  <c r="BU18" i="25"/>
  <c r="BU19" i="25"/>
  <c r="BU20" i="25"/>
  <c r="BU21" i="25"/>
  <c r="BU22" i="25"/>
  <c r="BU23" i="25"/>
  <c r="BU24" i="25"/>
  <c r="BU25" i="25"/>
  <c r="BU26" i="25"/>
  <c r="BU27" i="25"/>
  <c r="BU28" i="25"/>
  <c r="BU29" i="25"/>
  <c r="BU30" i="25"/>
  <c r="BU31" i="25"/>
  <c r="BU32" i="25"/>
  <c r="BU33" i="25"/>
  <c r="BU34" i="25"/>
  <c r="BU35" i="25"/>
  <c r="BU36" i="25"/>
  <c r="BU37" i="25"/>
  <c r="BU38" i="25"/>
  <c r="BU39" i="25"/>
  <c r="BU40" i="25"/>
  <c r="BU41" i="25"/>
  <c r="BU42" i="25"/>
  <c r="BU43" i="25"/>
  <c r="BU44" i="25"/>
  <c r="BU45" i="25"/>
  <c r="BU46" i="25"/>
  <c r="BU47" i="25"/>
  <c r="BU48" i="25"/>
  <c r="BU49" i="25"/>
  <c r="BU50" i="25"/>
  <c r="BU51" i="25"/>
  <c r="BU52" i="25"/>
  <c r="BU53" i="25"/>
  <c r="BU54" i="25"/>
  <c r="BU55" i="25"/>
  <c r="BU56" i="25"/>
  <c r="BU57" i="25"/>
  <c r="BU58" i="25"/>
  <c r="BU59" i="25"/>
  <c r="BU60" i="25"/>
  <c r="BU61" i="25"/>
  <c r="BV7" i="25"/>
  <c r="BV8" i="25"/>
  <c r="BV9" i="25"/>
  <c r="BV10" i="25"/>
  <c r="BV11" i="25"/>
  <c r="BV12" i="25"/>
  <c r="BV13" i="25"/>
  <c r="BV14" i="25"/>
  <c r="BV15" i="25"/>
  <c r="BV16" i="25"/>
  <c r="BV17" i="25"/>
  <c r="BV18" i="25"/>
  <c r="BV19" i="25"/>
  <c r="BV20" i="25"/>
  <c r="BV21" i="25"/>
  <c r="BV22" i="25"/>
  <c r="BV23" i="25"/>
  <c r="BV24" i="25"/>
  <c r="BV25" i="25"/>
  <c r="BV26" i="25"/>
  <c r="BV27" i="25"/>
  <c r="BV28" i="25"/>
  <c r="BV29" i="25"/>
  <c r="BV30" i="25"/>
  <c r="BV31" i="25"/>
  <c r="BV32" i="25"/>
  <c r="BV33" i="25"/>
  <c r="BV34" i="25"/>
  <c r="BV35" i="25"/>
  <c r="BV36" i="25"/>
  <c r="BV37" i="25"/>
  <c r="BV38" i="25"/>
  <c r="BV39" i="25"/>
  <c r="BV40" i="25"/>
  <c r="BV41" i="25"/>
  <c r="BV42" i="25"/>
  <c r="BV43" i="25"/>
  <c r="BV44" i="25"/>
  <c r="BV45" i="25"/>
  <c r="BV46" i="25"/>
  <c r="BV47" i="25"/>
  <c r="BV48" i="25"/>
  <c r="BV49" i="25"/>
  <c r="BV50" i="25"/>
  <c r="BV51" i="25"/>
  <c r="BV52" i="25"/>
  <c r="BV53" i="25"/>
  <c r="BV54" i="25"/>
  <c r="BV55" i="25"/>
  <c r="BV56" i="25"/>
  <c r="BV57" i="25"/>
  <c r="BV58" i="25"/>
  <c r="BV59" i="25"/>
  <c r="BV60" i="25"/>
  <c r="BV61" i="25"/>
  <c r="BW7" i="25"/>
  <c r="BW8" i="25"/>
  <c r="BW9" i="25"/>
  <c r="BW10" i="25"/>
  <c r="BW11" i="25"/>
  <c r="BW12" i="25"/>
  <c r="BW13" i="25"/>
  <c r="BW14" i="25"/>
  <c r="BW15" i="25"/>
  <c r="BW16" i="25"/>
  <c r="BW17" i="25"/>
  <c r="BW18" i="25"/>
  <c r="BW19" i="25"/>
  <c r="BW20" i="25"/>
  <c r="BW21" i="25"/>
  <c r="BW22" i="25"/>
  <c r="BW23" i="25"/>
  <c r="BW24" i="25"/>
  <c r="BW25" i="25"/>
  <c r="BW26" i="25"/>
  <c r="BW27" i="25"/>
  <c r="BW28" i="25"/>
  <c r="BW29" i="25"/>
  <c r="BW30" i="25"/>
  <c r="BW31" i="25"/>
  <c r="BW32" i="25"/>
  <c r="BW33" i="25"/>
  <c r="BW34" i="25"/>
  <c r="BW35" i="25"/>
  <c r="BW36" i="25"/>
  <c r="BW37" i="25"/>
  <c r="BW38" i="25"/>
  <c r="BW39" i="25"/>
  <c r="BW40" i="25"/>
  <c r="BW41" i="25"/>
  <c r="BW42" i="25"/>
  <c r="BW43" i="25"/>
  <c r="BW44" i="25"/>
  <c r="BW45" i="25"/>
  <c r="BW46" i="25"/>
  <c r="BW47" i="25"/>
  <c r="BW48" i="25"/>
  <c r="BW49" i="25"/>
  <c r="BW50" i="25"/>
  <c r="BW51" i="25"/>
  <c r="BW52" i="25"/>
  <c r="BW53" i="25"/>
  <c r="BW54" i="25"/>
  <c r="BW55" i="25"/>
  <c r="BW56" i="25"/>
  <c r="BW57" i="25"/>
  <c r="BW58" i="25"/>
  <c r="BW59" i="25"/>
  <c r="BW60" i="25"/>
  <c r="BW61" i="25"/>
  <c r="BX7" i="25"/>
  <c r="BX8" i="25"/>
  <c r="BX9" i="25"/>
  <c r="BX10" i="25"/>
  <c r="BX11" i="25"/>
  <c r="BX12" i="25"/>
  <c r="BX13" i="25"/>
  <c r="BX14" i="25"/>
  <c r="BX15" i="25"/>
  <c r="BX16" i="25"/>
  <c r="BX17" i="25"/>
  <c r="BX18" i="25"/>
  <c r="BX19" i="25"/>
  <c r="BX20" i="25"/>
  <c r="BX21" i="25"/>
  <c r="BX22" i="25"/>
  <c r="BX23" i="25"/>
  <c r="BX24" i="25"/>
  <c r="BX25" i="25"/>
  <c r="BX26" i="25"/>
  <c r="BX27" i="25"/>
  <c r="BX28" i="25"/>
  <c r="BX29" i="25"/>
  <c r="BX30" i="25"/>
  <c r="BX31" i="25"/>
  <c r="BX32" i="25"/>
  <c r="BX33" i="25"/>
  <c r="BX34" i="25"/>
  <c r="BX35" i="25"/>
  <c r="BX36" i="25"/>
  <c r="BX37" i="25"/>
  <c r="BX38" i="25"/>
  <c r="BX39" i="25"/>
  <c r="BX40" i="25"/>
  <c r="BX41" i="25"/>
  <c r="BX42" i="25"/>
  <c r="BX43" i="25"/>
  <c r="BX44" i="25"/>
  <c r="BX45" i="25"/>
  <c r="BX46" i="25"/>
  <c r="BX47" i="25"/>
  <c r="BX48" i="25"/>
  <c r="BX49" i="25"/>
  <c r="BX50" i="25"/>
  <c r="BX51" i="25"/>
  <c r="BX52" i="25"/>
  <c r="BX53" i="25"/>
  <c r="BX54" i="25"/>
  <c r="BX55" i="25"/>
  <c r="BX56" i="25"/>
  <c r="BX57" i="25"/>
  <c r="BX58" i="25"/>
  <c r="BX59" i="25"/>
  <c r="BX60" i="25"/>
  <c r="BX61" i="25"/>
  <c r="BY7" i="25"/>
  <c r="BY8" i="25"/>
  <c r="BY9" i="25"/>
  <c r="BY10" i="25"/>
  <c r="BY11" i="25"/>
  <c r="BY12" i="25"/>
  <c r="BY13" i="25"/>
  <c r="BY14" i="25"/>
  <c r="BY15" i="25"/>
  <c r="BY16" i="25"/>
  <c r="BY17" i="25"/>
  <c r="BY18" i="25"/>
  <c r="BY19" i="25"/>
  <c r="BY20" i="25"/>
  <c r="BY21" i="25"/>
  <c r="BY22" i="25"/>
  <c r="BY23" i="25"/>
  <c r="BY24" i="25"/>
  <c r="BY25" i="25"/>
  <c r="BY26" i="25"/>
  <c r="BY27" i="25"/>
  <c r="BY28" i="25"/>
  <c r="BY29" i="25"/>
  <c r="BY30" i="25"/>
  <c r="BY31" i="25"/>
  <c r="BY32" i="25"/>
  <c r="BY33" i="25"/>
  <c r="BY34" i="25"/>
  <c r="BY35" i="25"/>
  <c r="BY36" i="25"/>
  <c r="BY37" i="25"/>
  <c r="BY38" i="25"/>
  <c r="BY39" i="25"/>
  <c r="BY40" i="25"/>
  <c r="BY41" i="25"/>
  <c r="BY42" i="25"/>
  <c r="BY43" i="25"/>
  <c r="BY44" i="25"/>
  <c r="BY45" i="25"/>
  <c r="BY46" i="25"/>
  <c r="BY47" i="25"/>
  <c r="BY48" i="25"/>
  <c r="BY49" i="25"/>
  <c r="BY50" i="25"/>
  <c r="BY51" i="25"/>
  <c r="BY52" i="25"/>
  <c r="BY53" i="25"/>
  <c r="BY54" i="25"/>
  <c r="BY55" i="25"/>
  <c r="BY56" i="25"/>
  <c r="BY57" i="25"/>
  <c r="BY58" i="25"/>
  <c r="BY59" i="25"/>
  <c r="BY60" i="25"/>
  <c r="BY61" i="25"/>
  <c r="BZ7" i="25"/>
  <c r="BZ8" i="25"/>
  <c r="BZ9" i="25"/>
  <c r="BZ10" i="25"/>
  <c r="BZ11" i="25"/>
  <c r="BZ12" i="25"/>
  <c r="BZ13" i="25"/>
  <c r="BZ14" i="25"/>
  <c r="BZ15" i="25"/>
  <c r="BZ16" i="25"/>
  <c r="BZ17" i="25"/>
  <c r="BZ18" i="25"/>
  <c r="BZ19" i="25"/>
  <c r="BZ20" i="25"/>
  <c r="BZ21" i="25"/>
  <c r="BZ22" i="25"/>
  <c r="BZ23" i="25"/>
  <c r="BZ24" i="25"/>
  <c r="BZ25" i="25"/>
  <c r="BZ26" i="25"/>
  <c r="BZ27" i="25"/>
  <c r="BZ28" i="25"/>
  <c r="BZ29" i="25"/>
  <c r="BZ30" i="25"/>
  <c r="BZ31" i="25"/>
  <c r="BZ32" i="25"/>
  <c r="BZ33" i="25"/>
  <c r="BZ34" i="25"/>
  <c r="BZ35" i="25"/>
  <c r="BZ36" i="25"/>
  <c r="BZ37" i="25"/>
  <c r="BZ38" i="25"/>
  <c r="BZ39" i="25"/>
  <c r="BZ40" i="25"/>
  <c r="BZ41" i="25"/>
  <c r="BZ42" i="25"/>
  <c r="BZ43" i="25"/>
  <c r="BZ44" i="25"/>
  <c r="BZ45" i="25"/>
  <c r="BZ46" i="25"/>
  <c r="BZ47" i="25"/>
  <c r="BZ48" i="25"/>
  <c r="BZ49" i="25"/>
  <c r="BZ50" i="25"/>
  <c r="BZ51" i="25"/>
  <c r="BZ52" i="25"/>
  <c r="BZ53" i="25"/>
  <c r="BZ54" i="25"/>
  <c r="BZ55" i="25"/>
  <c r="BZ56" i="25"/>
  <c r="BZ57" i="25"/>
  <c r="BZ58" i="25"/>
  <c r="BZ59" i="25"/>
  <c r="BZ60" i="25"/>
  <c r="BZ61" i="25"/>
  <c r="CA7" i="25"/>
  <c r="CA8" i="25"/>
  <c r="CA9" i="25"/>
  <c r="CA10" i="25"/>
  <c r="CA11" i="25"/>
  <c r="CA12" i="25"/>
  <c r="CA13" i="25"/>
  <c r="CA14" i="25"/>
  <c r="CA15" i="25"/>
  <c r="CA16" i="25"/>
  <c r="CA17" i="25"/>
  <c r="CA18" i="25"/>
  <c r="CA19" i="25"/>
  <c r="CA20" i="25"/>
  <c r="CA21" i="25"/>
  <c r="CA22" i="25"/>
  <c r="CA23" i="25"/>
  <c r="CA24" i="25"/>
  <c r="CA25" i="25"/>
  <c r="CA26" i="25"/>
  <c r="CA27" i="25"/>
  <c r="CA28" i="25"/>
  <c r="CA29" i="25"/>
  <c r="CA30" i="25"/>
  <c r="CA31" i="25"/>
  <c r="CA32" i="25"/>
  <c r="CA33" i="25"/>
  <c r="CA34" i="25"/>
  <c r="CA35" i="25"/>
  <c r="CA36" i="25"/>
  <c r="CA37" i="25"/>
  <c r="CA38" i="25"/>
  <c r="CA39" i="25"/>
  <c r="CA40" i="25"/>
  <c r="CA41" i="25"/>
  <c r="CA42" i="25"/>
  <c r="CA43" i="25"/>
  <c r="CA44" i="25"/>
  <c r="CA45" i="25"/>
  <c r="CA46" i="25"/>
  <c r="CA47" i="25"/>
  <c r="CA48" i="25"/>
  <c r="CA49" i="25"/>
  <c r="CA50" i="25"/>
  <c r="CA51" i="25"/>
  <c r="CA52" i="25"/>
  <c r="CA53" i="25"/>
  <c r="CA54" i="25"/>
  <c r="CA55" i="25"/>
  <c r="CA56" i="25"/>
  <c r="CA57" i="25"/>
  <c r="CA58" i="25"/>
  <c r="CA59" i="25"/>
  <c r="CA60" i="25"/>
  <c r="CA61" i="25"/>
  <c r="G33" i="89"/>
  <c r="G40" i="89"/>
  <c r="G19" i="89"/>
  <c r="G26" i="89"/>
  <c r="G22" i="89" l="1"/>
  <c r="G29" i="89"/>
  <c r="G43" i="89"/>
  <c r="BF29" i="25"/>
  <c r="L33" i="89"/>
  <c r="M33" i="89"/>
  <c r="K33" i="89"/>
  <c r="N33" i="89"/>
  <c r="H33" i="89"/>
  <c r="I33" i="89" s="1"/>
  <c r="O33" i="89"/>
  <c r="J33" i="89"/>
  <c r="K40" i="89"/>
  <c r="L40" i="89"/>
  <c r="O40" i="89"/>
  <c r="J40" i="89"/>
  <c r="M40" i="89"/>
  <c r="N40" i="89"/>
  <c r="H40" i="89"/>
  <c r="I40" i="89" s="1"/>
  <c r="BJ11" i="25"/>
  <c r="BJ39" i="25"/>
  <c r="AX44" i="25"/>
  <c r="BA44" i="25" s="1"/>
  <c r="BB44" i="25" s="1"/>
  <c r="BJ51" i="25"/>
  <c r="BF17" i="25"/>
  <c r="AY43" i="25"/>
  <c r="AZ43" i="25" s="1"/>
  <c r="BC43" i="25" s="1"/>
  <c r="BS50" i="25"/>
  <c r="BM50" i="25" s="1"/>
  <c r="BN50" i="25" s="1"/>
  <c r="BO50" i="25" s="1"/>
  <c r="BS39" i="25"/>
  <c r="BM39" i="25" s="1"/>
  <c r="BN39" i="25" s="1"/>
  <c r="BO39" i="25" s="1"/>
  <c r="BJ59" i="25"/>
  <c r="BF30" i="25"/>
  <c r="AX17" i="25"/>
  <c r="BA17" i="25" s="1"/>
  <c r="BB17" i="25" s="1"/>
  <c r="BJ43" i="25"/>
  <c r="BF15" i="25"/>
  <c r="AX49" i="25"/>
  <c r="BA49" i="25" s="1"/>
  <c r="BB49" i="25" s="1"/>
  <c r="AX51" i="25"/>
  <c r="BA51" i="25" s="1"/>
  <c r="BB51" i="25" s="1"/>
  <c r="AY12" i="25"/>
  <c r="AZ12" i="25" s="1"/>
  <c r="BC12" i="25" s="1"/>
  <c r="BF12" i="25"/>
  <c r="BS35" i="25"/>
  <c r="BM35" i="25" s="1"/>
  <c r="BN35" i="25" s="1"/>
  <c r="BO35" i="25" s="1"/>
  <c r="BS27" i="25"/>
  <c r="BM27" i="25" s="1"/>
  <c r="BN27" i="25" s="1"/>
  <c r="BO27" i="25" s="1"/>
  <c r="BS15" i="25"/>
  <c r="BM15" i="25" s="1"/>
  <c r="BN15" i="25" s="1"/>
  <c r="BO15" i="25" s="1"/>
  <c r="BJ20" i="25"/>
  <c r="AW44" i="25"/>
  <c r="AY44" i="25" s="1"/>
  <c r="AZ44" i="25" s="1"/>
  <c r="BC44" i="25" s="1"/>
  <c r="BF18" i="25"/>
  <c r="AX11" i="25"/>
  <c r="BA11" i="25" s="1"/>
  <c r="BB11" i="25" s="1"/>
  <c r="AY56" i="25"/>
  <c r="AZ56" i="25" s="1"/>
  <c r="BC56" i="25" s="1"/>
  <c r="BS61" i="25"/>
  <c r="BM61" i="25" s="1"/>
  <c r="BN61" i="25" s="1"/>
  <c r="BO61" i="25" s="1"/>
  <c r="BS53" i="25"/>
  <c r="BM53" i="25" s="1"/>
  <c r="BN53" i="25" s="1"/>
  <c r="BO53" i="25" s="1"/>
  <c r="BS45" i="25"/>
  <c r="BM45" i="25" s="1"/>
  <c r="BN45" i="25" s="1"/>
  <c r="BO45" i="25" s="1"/>
  <c r="BS37" i="25"/>
  <c r="BM37" i="25" s="1"/>
  <c r="BN37" i="25" s="1"/>
  <c r="BO37" i="25" s="1"/>
  <c r="BJ38" i="25"/>
  <c r="BJ14" i="25"/>
  <c r="AY25" i="25"/>
  <c r="AZ25" i="25" s="1"/>
  <c r="BC25" i="25" s="1"/>
  <c r="AY20" i="25"/>
  <c r="AZ20" i="25" s="1"/>
  <c r="BC20" i="25" s="1"/>
  <c r="BJ60" i="25"/>
  <c r="BF27" i="25"/>
  <c r="AX61" i="25"/>
  <c r="BA61" i="25" s="1"/>
  <c r="BB61" i="25" s="1"/>
  <c r="AX9" i="25"/>
  <c r="BA9" i="25" s="1"/>
  <c r="BB9" i="25" s="1"/>
  <c r="AW49" i="25"/>
  <c r="AY49" i="25" s="1"/>
  <c r="AZ49" i="25" s="1"/>
  <c r="BC49" i="25" s="1"/>
  <c r="AY52" i="25"/>
  <c r="AZ52" i="25" s="1"/>
  <c r="BC52" i="25" s="1"/>
  <c r="BJ58" i="25"/>
  <c r="BJ26" i="25"/>
  <c r="BJ10" i="25"/>
  <c r="AY9" i="25"/>
  <c r="AZ9" i="25" s="1"/>
  <c r="BC9" i="25" s="1"/>
  <c r="BS57" i="25"/>
  <c r="BM57" i="25" s="1"/>
  <c r="BN57" i="25" s="1"/>
  <c r="BO57" i="25" s="1"/>
  <c r="BS49" i="25"/>
  <c r="BM49" i="25" s="1"/>
  <c r="BN49" i="25" s="1"/>
  <c r="BO49" i="25" s="1"/>
  <c r="BS41" i="25"/>
  <c r="BM41" i="25" s="1"/>
  <c r="BN41" i="25" s="1"/>
  <c r="BO41" i="25" s="1"/>
  <c r="BS33" i="25"/>
  <c r="BM33" i="25" s="1"/>
  <c r="BN33" i="25" s="1"/>
  <c r="BO33" i="25" s="1"/>
  <c r="BS25" i="25"/>
  <c r="BM25" i="25" s="1"/>
  <c r="BN25" i="25" s="1"/>
  <c r="BO25" i="25" s="1"/>
  <c r="BS20" i="25"/>
  <c r="BM20" i="25" s="1"/>
  <c r="BN20" i="25" s="1"/>
  <c r="BO20" i="25" s="1"/>
  <c r="BS8" i="25"/>
  <c r="BM8" i="25" s="1"/>
  <c r="BN8" i="25" s="1"/>
  <c r="BO8" i="25" s="1"/>
  <c r="BJ55" i="25"/>
  <c r="BJ22" i="25"/>
  <c r="AX36" i="25"/>
  <c r="BA36" i="25" s="1"/>
  <c r="BB36" i="25" s="1"/>
  <c r="AX29" i="25"/>
  <c r="BA29" i="25" s="1"/>
  <c r="BB29" i="25" s="1"/>
  <c r="AY11" i="25"/>
  <c r="AZ11" i="25" s="1"/>
  <c r="BC11" i="25" s="1"/>
  <c r="BF42" i="25"/>
  <c r="AX34" i="25"/>
  <c r="BA34" i="25" s="1"/>
  <c r="BB34" i="25" s="1"/>
  <c r="AY29" i="25"/>
  <c r="AZ29" i="25" s="1"/>
  <c r="BC29" i="25" s="1"/>
  <c r="BS54" i="25"/>
  <c r="BM54" i="25" s="1"/>
  <c r="BN54" i="25" s="1"/>
  <c r="BO54" i="25" s="1"/>
  <c r="BS46" i="25"/>
  <c r="BM46" i="25" s="1"/>
  <c r="BN46" i="25" s="1"/>
  <c r="BO46" i="25" s="1"/>
  <c r="BS38" i="25"/>
  <c r="BM38" i="25" s="1"/>
  <c r="BN38" i="25" s="1"/>
  <c r="BO38" i="25" s="1"/>
  <c r="BS55" i="25"/>
  <c r="BM55" i="25" s="1"/>
  <c r="BN55" i="25" s="1"/>
  <c r="BO55" i="25" s="1"/>
  <c r="BS47" i="25"/>
  <c r="BM47" i="25" s="1"/>
  <c r="BN47" i="25" s="1"/>
  <c r="BO47" i="25" s="1"/>
  <c r="BS31" i="25"/>
  <c r="BM31" i="25" s="1"/>
  <c r="BN31" i="25" s="1"/>
  <c r="BO31" i="25" s="1"/>
  <c r="BS23" i="25"/>
  <c r="BM23" i="25" s="1"/>
  <c r="BN23" i="25" s="1"/>
  <c r="BO23" i="25" s="1"/>
  <c r="BF34" i="25"/>
  <c r="AX18" i="25"/>
  <c r="BA18" i="25" s="1"/>
  <c r="BB18" i="25" s="1"/>
  <c r="AX59" i="25"/>
  <c r="BA59" i="25" s="1"/>
  <c r="BB59" i="25" s="1"/>
  <c r="AY51" i="25"/>
  <c r="AZ51" i="25" s="1"/>
  <c r="BC51" i="25" s="1"/>
  <c r="AY35" i="25"/>
  <c r="AZ35" i="25" s="1"/>
  <c r="BC35" i="25" s="1"/>
  <c r="AY57" i="25"/>
  <c r="AZ57" i="25" s="1"/>
  <c r="BC57" i="25" s="1"/>
  <c r="BJ50" i="25"/>
  <c r="BJ36" i="25"/>
  <c r="BF41" i="25"/>
  <c r="AX30" i="25"/>
  <c r="BA30" i="25" s="1"/>
  <c r="BB30" i="25" s="1"/>
  <c r="AY18" i="25"/>
  <c r="AZ18" i="25" s="1"/>
  <c r="BC18" i="25" s="1"/>
  <c r="BS32" i="25"/>
  <c r="BM32" i="25" s="1"/>
  <c r="BN32" i="25" s="1"/>
  <c r="BO32" i="25" s="1"/>
  <c r="BS24" i="25"/>
  <c r="BM24" i="25" s="1"/>
  <c r="BN24" i="25" s="1"/>
  <c r="BO24" i="25" s="1"/>
  <c r="BS19" i="25"/>
  <c r="BM19" i="25" s="1"/>
  <c r="BN19" i="25" s="1"/>
  <c r="BO19" i="25" s="1"/>
  <c r="BS7" i="25"/>
  <c r="BM7" i="25" s="1"/>
  <c r="BN7" i="25" s="1"/>
  <c r="BO7" i="25" s="1"/>
  <c r="BJ48" i="25"/>
  <c r="BF56" i="25"/>
  <c r="BF40" i="25"/>
  <c r="AX57" i="25"/>
  <c r="BA57" i="25" s="1"/>
  <c r="BB57" i="25" s="1"/>
  <c r="AX22" i="25"/>
  <c r="BA22" i="25" s="1"/>
  <c r="BB22" i="25" s="1"/>
  <c r="BS28" i="25"/>
  <c r="BM28" i="25" s="1"/>
  <c r="BN28" i="25" s="1"/>
  <c r="BO28" i="25" s="1"/>
  <c r="BS16" i="25"/>
  <c r="BM16" i="25" s="1"/>
  <c r="BN16" i="25" s="1"/>
  <c r="BO16" i="25" s="1"/>
  <c r="BS10" i="25"/>
  <c r="BM10" i="25" s="1"/>
  <c r="BN10" i="25" s="1"/>
  <c r="BO10" i="25" s="1"/>
  <c r="BJ44" i="25"/>
  <c r="BJ33" i="25"/>
  <c r="BJ21" i="25"/>
  <c r="BF52" i="25"/>
  <c r="AX52" i="25"/>
  <c r="BA52" i="25" s="1"/>
  <c r="BB52" i="25" s="1"/>
  <c r="AY22" i="25"/>
  <c r="AZ22" i="25" s="1"/>
  <c r="BC22" i="25" s="1"/>
  <c r="AY36" i="25"/>
  <c r="AZ36" i="25" s="1"/>
  <c r="BC36" i="25" s="1"/>
  <c r="AY39" i="25"/>
  <c r="AZ39" i="25" s="1"/>
  <c r="AY31" i="25"/>
  <c r="AZ31" i="25" s="1"/>
  <c r="BC31" i="25" s="1"/>
  <c r="AX23" i="25"/>
  <c r="BA23" i="25" s="1"/>
  <c r="BB23" i="25" s="1"/>
  <c r="AY13" i="25"/>
  <c r="AZ13" i="25" s="1"/>
  <c r="BC13" i="25" s="1"/>
  <c r="BS29" i="25"/>
  <c r="BM29" i="25" s="1"/>
  <c r="BN29" i="25" s="1"/>
  <c r="BO29" i="25" s="1"/>
  <c r="BS17" i="25"/>
  <c r="BM17" i="25" s="1"/>
  <c r="BN17" i="25" s="1"/>
  <c r="BO17" i="25" s="1"/>
  <c r="BS11" i="25"/>
  <c r="BM11" i="25" s="1"/>
  <c r="BN11" i="25" s="1"/>
  <c r="BO11" i="25" s="1"/>
  <c r="BS58" i="25"/>
  <c r="BM58" i="25" s="1"/>
  <c r="BN58" i="25" s="1"/>
  <c r="BO58" i="25" s="1"/>
  <c r="BS42" i="25"/>
  <c r="BM42" i="25" s="1"/>
  <c r="BN42" i="25" s="1"/>
  <c r="BO42" i="25" s="1"/>
  <c r="BJ9" i="25"/>
  <c r="BF61" i="25"/>
  <c r="AX53" i="25"/>
  <c r="BA53" i="25" s="1"/>
  <c r="BB53" i="25" s="1"/>
  <c r="AX45" i="25"/>
  <c r="BA45" i="25" s="1"/>
  <c r="BB45" i="25" s="1"/>
  <c r="BJ28" i="25"/>
  <c r="BJ8" i="25"/>
  <c r="BF49" i="25"/>
  <c r="AX12" i="25"/>
  <c r="BA12" i="25" s="1"/>
  <c r="BB12" i="25" s="1"/>
  <c r="BS59" i="25"/>
  <c r="BM59" i="25" s="1"/>
  <c r="BN59" i="25" s="1"/>
  <c r="BO59" i="25" s="1"/>
  <c r="BS51" i="25"/>
  <c r="BM51" i="25" s="1"/>
  <c r="BN51" i="25" s="1"/>
  <c r="BO51" i="25" s="1"/>
  <c r="BS43" i="25"/>
  <c r="BM43" i="25" s="1"/>
  <c r="BN43" i="25" s="1"/>
  <c r="BO43" i="25" s="1"/>
  <c r="BJ16" i="25"/>
  <c r="AY30" i="25"/>
  <c r="AZ30" i="25" s="1"/>
  <c r="BC30" i="25" s="1"/>
  <c r="AY45" i="25"/>
  <c r="AZ45" i="25" s="1"/>
  <c r="BC45" i="25" s="1"/>
  <c r="N19" i="89"/>
  <c r="M19" i="89"/>
  <c r="O19" i="89"/>
  <c r="L19" i="89"/>
  <c r="K19" i="89"/>
  <c r="J19" i="89"/>
  <c r="H19" i="89"/>
  <c r="I19" i="89" s="1"/>
  <c r="H26" i="89"/>
  <c r="I26" i="89" s="1"/>
  <c r="J26" i="89"/>
  <c r="K26" i="89"/>
  <c r="L26" i="89"/>
  <c r="M26" i="89"/>
  <c r="N26" i="89"/>
  <c r="O26" i="89"/>
  <c r="BS60" i="25"/>
  <c r="BM60" i="25" s="1"/>
  <c r="BN60" i="25" s="1"/>
  <c r="BO60" i="25" s="1"/>
  <c r="BS56" i="25"/>
  <c r="BM56" i="25" s="1"/>
  <c r="BN56" i="25" s="1"/>
  <c r="BO56" i="25" s="1"/>
  <c r="BS48" i="25"/>
  <c r="BM48" i="25" s="1"/>
  <c r="BN48" i="25" s="1"/>
  <c r="BO48" i="25" s="1"/>
  <c r="BS40" i="25"/>
  <c r="BM40" i="25" s="1"/>
  <c r="BN40" i="25" s="1"/>
  <c r="BO40" i="25" s="1"/>
  <c r="BS34" i="25"/>
  <c r="BM34" i="25" s="1"/>
  <c r="BN34" i="25" s="1"/>
  <c r="BO34" i="25" s="1"/>
  <c r="BS26" i="25"/>
  <c r="BM26" i="25" s="1"/>
  <c r="BN26" i="25" s="1"/>
  <c r="BO26" i="25" s="1"/>
  <c r="BS21" i="25"/>
  <c r="BM21" i="25" s="1"/>
  <c r="BN21" i="25" s="1"/>
  <c r="BO21" i="25" s="1"/>
  <c r="BS14" i="25"/>
  <c r="BM14" i="25" s="1"/>
  <c r="BN14" i="25" s="1"/>
  <c r="BO14" i="25" s="1"/>
  <c r="BS9" i="25"/>
  <c r="BM9" i="25" s="1"/>
  <c r="BN9" i="25" s="1"/>
  <c r="BO9" i="25" s="1"/>
  <c r="BJ46" i="25"/>
  <c r="AX60" i="25"/>
  <c r="BA60" i="25" s="1"/>
  <c r="BB60" i="25" s="1"/>
  <c r="AX48" i="25"/>
  <c r="BA48" i="25" s="1"/>
  <c r="BB48" i="25" s="1"/>
  <c r="AY37" i="25"/>
  <c r="AZ37" i="25" s="1"/>
  <c r="BC37" i="25" s="1"/>
  <c r="AU53" i="25"/>
  <c r="AY53" i="25" s="1"/>
  <c r="AZ53" i="25" s="1"/>
  <c r="BC53" i="25" s="1"/>
  <c r="BJ7" i="25"/>
  <c r="BF24" i="25"/>
  <c r="BJ32" i="25"/>
  <c r="AX31" i="25"/>
  <c r="BA31" i="25" s="1"/>
  <c r="BB31" i="25" s="1"/>
  <c r="AX13" i="25"/>
  <c r="BA13" i="25" s="1"/>
  <c r="BB13" i="25" s="1"/>
  <c r="AY17" i="25"/>
  <c r="AZ17" i="25" s="1"/>
  <c r="BC17" i="25" s="1"/>
  <c r="AU23" i="25"/>
  <c r="AY23" i="25" s="1"/>
  <c r="AZ23" i="25" s="1"/>
  <c r="BC23" i="25" s="1"/>
  <c r="BS13" i="25"/>
  <c r="BM13" i="25" s="1"/>
  <c r="BN13" i="25" s="1"/>
  <c r="BO13" i="25" s="1"/>
  <c r="BJ54" i="25"/>
  <c r="AX37" i="25"/>
  <c r="BA37" i="25" s="1"/>
  <c r="BB37" i="25" s="1"/>
  <c r="AY27" i="25"/>
  <c r="AZ27" i="25" s="1"/>
  <c r="BC27" i="25" s="1"/>
  <c r="AY34" i="25"/>
  <c r="AZ34" i="25" s="1"/>
  <c r="BC34" i="25" s="1"/>
  <c r="AY61" i="25"/>
  <c r="AZ61" i="25" s="1"/>
  <c r="BC61" i="25" s="1"/>
  <c r="AY15" i="25"/>
  <c r="AZ15" i="25" s="1"/>
  <c r="BC15" i="25" s="1"/>
  <c r="BS52" i="25"/>
  <c r="BM52" i="25" s="1"/>
  <c r="BN52" i="25" s="1"/>
  <c r="BO52" i="25" s="1"/>
  <c r="BS44" i="25"/>
  <c r="BM44" i="25" s="1"/>
  <c r="BN44" i="25" s="1"/>
  <c r="BO44" i="25" s="1"/>
  <c r="BS36" i="25"/>
  <c r="BM36" i="25" s="1"/>
  <c r="BN36" i="25" s="1"/>
  <c r="BO36" i="25" s="1"/>
  <c r="BS30" i="25"/>
  <c r="BM30" i="25" s="1"/>
  <c r="BN30" i="25" s="1"/>
  <c r="BO30" i="25" s="1"/>
  <c r="BS22" i="25"/>
  <c r="BM22" i="25" s="1"/>
  <c r="BN22" i="25" s="1"/>
  <c r="BO22" i="25" s="1"/>
  <c r="BS18" i="25"/>
  <c r="BM18" i="25" s="1"/>
  <c r="BN18" i="25" s="1"/>
  <c r="BO18" i="25" s="1"/>
  <c r="BS12" i="25"/>
  <c r="BM12" i="25" s="1"/>
  <c r="BN12" i="25" s="1"/>
  <c r="BO12" i="25" s="1"/>
  <c r="BC39" i="25"/>
  <c r="AX26" i="25"/>
  <c r="BA26" i="25" s="1"/>
  <c r="BB26" i="25" s="1"/>
  <c r="BJ19" i="25"/>
  <c r="AY47" i="25"/>
  <c r="AZ47" i="25" s="1"/>
  <c r="BC47" i="25" s="1"/>
  <c r="AY55" i="25"/>
  <c r="AZ55" i="25" s="1"/>
  <c r="BC55" i="25" s="1"/>
  <c r="AY33" i="25"/>
  <c r="AZ33" i="25" s="1"/>
  <c r="BC33" i="25" s="1"/>
  <c r="AY8" i="25"/>
  <c r="AZ8" i="25" s="1"/>
  <c r="BC8" i="25" s="1"/>
  <c r="BF47" i="25"/>
  <c r="BJ25" i="25"/>
  <c r="AU54" i="25"/>
  <c r="AY54" i="25" s="1"/>
  <c r="AZ54" i="25" s="1"/>
  <c r="BC54" i="25" s="1"/>
  <c r="AX54" i="25"/>
  <c r="BA54" i="25" s="1"/>
  <c r="BB54" i="25" s="1"/>
  <c r="AU46" i="25"/>
  <c r="AY46" i="25" s="1"/>
  <c r="AZ46" i="25" s="1"/>
  <c r="BC46" i="25" s="1"/>
  <c r="AX46" i="25"/>
  <c r="BA46" i="25" s="1"/>
  <c r="BB46" i="25" s="1"/>
  <c r="AU38" i="25"/>
  <c r="AY38" i="25" s="1"/>
  <c r="AZ38" i="25" s="1"/>
  <c r="BC38" i="25" s="1"/>
  <c r="AX38" i="25"/>
  <c r="BA38" i="25" s="1"/>
  <c r="BB38" i="25" s="1"/>
  <c r="AU32" i="25"/>
  <c r="AY32" i="25" s="1"/>
  <c r="AZ32" i="25" s="1"/>
  <c r="BC32" i="25" s="1"/>
  <c r="AX32" i="25"/>
  <c r="BA32" i="25" s="1"/>
  <c r="BB32" i="25" s="1"/>
  <c r="AU24" i="25"/>
  <c r="AY24" i="25" s="1"/>
  <c r="AZ24" i="25" s="1"/>
  <c r="BC24" i="25" s="1"/>
  <c r="AX24" i="25"/>
  <c r="BA24" i="25" s="1"/>
  <c r="BB24" i="25" s="1"/>
  <c r="AU19" i="25"/>
  <c r="AY19" i="25" s="1"/>
  <c r="AZ19" i="25" s="1"/>
  <c r="BC19" i="25" s="1"/>
  <c r="AX19" i="25"/>
  <c r="BA19" i="25" s="1"/>
  <c r="BB19" i="25" s="1"/>
  <c r="AU7" i="25"/>
  <c r="AY7" i="25" s="1"/>
  <c r="AZ7" i="25" s="1"/>
  <c r="BC7" i="25" s="1"/>
  <c r="AX7" i="25"/>
  <c r="BA7" i="25" s="1"/>
  <c r="BB7" i="25" s="1"/>
  <c r="BJ53" i="25"/>
  <c r="BJ45" i="25"/>
  <c r="BJ37" i="25"/>
  <c r="BJ31" i="25"/>
  <c r="BJ23" i="25"/>
  <c r="BJ13" i="25"/>
  <c r="BF35" i="25"/>
  <c r="AX16" i="25"/>
  <c r="BA16" i="25" s="1"/>
  <c r="BB16" i="25" s="1"/>
  <c r="AY16" i="25"/>
  <c r="AZ16" i="25" s="1"/>
  <c r="BC16" i="25" s="1"/>
  <c r="AX58" i="25"/>
  <c r="BA58" i="25" s="1"/>
  <c r="BB58" i="25" s="1"/>
  <c r="AW58" i="25"/>
  <c r="AY58" i="25" s="1"/>
  <c r="AZ58" i="25" s="1"/>
  <c r="BC58" i="25" s="1"/>
  <c r="AX50" i="25"/>
  <c r="BA50" i="25" s="1"/>
  <c r="BB50" i="25" s="1"/>
  <c r="AW50" i="25"/>
  <c r="AY50" i="25" s="1"/>
  <c r="AZ50" i="25" s="1"/>
  <c r="BC50" i="25" s="1"/>
  <c r="AW42" i="25"/>
  <c r="AY42" i="25" s="1"/>
  <c r="AZ42" i="25" s="1"/>
  <c r="BC42" i="25" s="1"/>
  <c r="AX42" i="25"/>
  <c r="BA42" i="25" s="1"/>
  <c r="BB42" i="25" s="1"/>
  <c r="AX28" i="25"/>
  <c r="BA28" i="25" s="1"/>
  <c r="BB28" i="25" s="1"/>
  <c r="AW28" i="25"/>
  <c r="AY28" i="25" s="1"/>
  <c r="AZ28" i="25" s="1"/>
  <c r="BC28" i="25" s="1"/>
  <c r="AX10" i="25"/>
  <c r="BA10" i="25" s="1"/>
  <c r="BB10" i="25" s="1"/>
  <c r="AW10" i="25"/>
  <c r="AY10" i="25" s="1"/>
  <c r="AZ10" i="25" s="1"/>
  <c r="BC10" i="25" s="1"/>
  <c r="AY41" i="25"/>
  <c r="AZ41" i="25" s="1"/>
  <c r="BC41" i="25" s="1"/>
  <c r="BJ57" i="25"/>
  <c r="AX43" i="25"/>
  <c r="BA43" i="25" s="1"/>
  <c r="BB43" i="25" s="1"/>
  <c r="AX14" i="25"/>
  <c r="BA14" i="25" s="1"/>
  <c r="BB14" i="25" s="1"/>
  <c r="AX41" i="25"/>
  <c r="BA41" i="25" s="1"/>
  <c r="BB41" i="25" s="1"/>
  <c r="AX35" i="25"/>
  <c r="BA35" i="25" s="1"/>
  <c r="BB35" i="25" s="1"/>
  <c r="AX27" i="25"/>
  <c r="BA27" i="25" s="1"/>
  <c r="BB27" i="25" s="1"/>
  <c r="AX15" i="25"/>
  <c r="BA15" i="25" s="1"/>
  <c r="BB15" i="25" s="1"/>
  <c r="AW59" i="25"/>
  <c r="AY59" i="25" s="1"/>
  <c r="AZ59" i="25" s="1"/>
  <c r="BC59" i="25" s="1"/>
  <c r="AY60" i="25"/>
  <c r="AZ60" i="25" s="1"/>
  <c r="BC60" i="25" s="1"/>
  <c r="AY14" i="25"/>
  <c r="AZ14" i="25" s="1"/>
  <c r="BC14" i="25" s="1"/>
  <c r="AX40" i="25"/>
  <c r="BA40" i="25" s="1"/>
  <c r="BB40" i="25" s="1"/>
  <c r="AX21" i="25"/>
  <c r="BA21" i="25" s="1"/>
  <c r="BB21" i="25" s="1"/>
  <c r="AX55" i="25"/>
  <c r="BA55" i="25" s="1"/>
  <c r="BB55" i="25" s="1"/>
  <c r="AX47" i="25"/>
  <c r="BA47" i="25" s="1"/>
  <c r="BB47" i="25" s="1"/>
  <c r="AX39" i="25"/>
  <c r="BA39" i="25" s="1"/>
  <c r="BB39" i="25" s="1"/>
  <c r="AX33" i="25"/>
  <c r="BA33" i="25" s="1"/>
  <c r="BB33" i="25" s="1"/>
  <c r="AX25" i="25"/>
  <c r="BA25" i="25" s="1"/>
  <c r="BB25" i="25" s="1"/>
  <c r="AX20" i="25"/>
  <c r="BA20" i="25" s="1"/>
  <c r="BB20" i="25" s="1"/>
  <c r="AX8" i="25"/>
  <c r="BA8" i="25" s="1"/>
  <c r="BB8" i="25" s="1"/>
  <c r="AY40" i="25"/>
  <c r="AZ40" i="25" s="1"/>
  <c r="BC40" i="25" s="1"/>
  <c r="AY21" i="25"/>
  <c r="AZ21" i="25" s="1"/>
  <c r="BC21" i="25" s="1"/>
  <c r="AX56" i="25"/>
  <c r="BA56" i="25" s="1"/>
  <c r="BB56" i="25" s="1"/>
  <c r="AY48" i="25"/>
  <c r="AZ48" i="25" s="1"/>
  <c r="BC48" i="25" s="1"/>
  <c r="AY26" i="25"/>
  <c r="AZ26" i="25" s="1"/>
  <c r="BC26" i="25" s="1"/>
  <c r="E57" i="89" l="1"/>
  <c r="G36" i="89"/>
  <c r="I97" i="92"/>
  <c r="J97" i="92"/>
  <c r="L97" i="92"/>
  <c r="K97" i="92"/>
  <c r="F43" i="89" l="1"/>
  <c r="F36" i="89"/>
  <c r="F261" i="92"/>
  <c r="F262" i="92"/>
  <c r="F134" i="92"/>
  <c r="E134" i="92"/>
  <c r="I137" i="92"/>
  <c r="F123" i="92"/>
  <c r="E262" i="92"/>
  <c r="G262" i="92"/>
  <c r="G137" i="92"/>
  <c r="D261" i="92"/>
  <c r="F122" i="92"/>
  <c r="E261" i="92"/>
  <c r="H262" i="92"/>
  <c r="F137" i="92"/>
  <c r="G261" i="92"/>
  <c r="H137" i="92"/>
  <c r="H261" i="92"/>
  <c r="D262" i="92"/>
  <c r="C83" i="92"/>
  <c r="C85" i="92"/>
  <c r="E59" i="89" l="1"/>
  <c r="F59" i="89" s="1"/>
  <c r="O148" i="92"/>
  <c r="P148" i="92" s="1"/>
  <c r="O22" i="89"/>
  <c r="E137" i="92"/>
  <c r="F124" i="92"/>
  <c r="F125" i="92" s="1"/>
  <c r="N16" i="89"/>
  <c r="M16" i="89"/>
  <c r="L16" i="89"/>
  <c r="K16" i="89"/>
  <c r="J16" i="89"/>
  <c r="H16" i="89"/>
  <c r="I16" i="89" s="1"/>
  <c r="O16" i="89"/>
  <c r="N39" i="89"/>
  <c r="M39" i="89"/>
  <c r="L39" i="89"/>
  <c r="K39" i="89"/>
  <c r="J39" i="89"/>
  <c r="H39" i="89"/>
  <c r="I39" i="89" s="1"/>
  <c r="O39" i="89"/>
  <c r="C84" i="92"/>
  <c r="M17" i="89"/>
  <c r="L17" i="89"/>
  <c r="K17" i="89"/>
  <c r="J17" i="89"/>
  <c r="H17" i="89"/>
  <c r="I17" i="89" s="1"/>
  <c r="O17" i="89"/>
  <c r="N17" i="89"/>
  <c r="L30" i="89"/>
  <c r="K30" i="89"/>
  <c r="J30" i="89"/>
  <c r="H30" i="89"/>
  <c r="I30" i="89" s="1"/>
  <c r="O30" i="89"/>
  <c r="N30" i="89"/>
  <c r="M30" i="89"/>
  <c r="K31" i="89"/>
  <c r="J31" i="89"/>
  <c r="H31" i="89"/>
  <c r="I31" i="89" s="1"/>
  <c r="O31" i="89"/>
  <c r="N31" i="89"/>
  <c r="M31" i="89"/>
  <c r="L31" i="89"/>
  <c r="H23" i="89"/>
  <c r="I23" i="89" s="1"/>
  <c r="O23" i="89"/>
  <c r="N23" i="89"/>
  <c r="M23" i="89"/>
  <c r="L23" i="89"/>
  <c r="K23" i="89"/>
  <c r="J23" i="89"/>
  <c r="F58" i="89"/>
  <c r="H24" i="89"/>
  <c r="I24" i="89" s="1"/>
  <c r="O24" i="89"/>
  <c r="N24" i="89"/>
  <c r="M24" i="89"/>
  <c r="L24" i="89"/>
  <c r="K24" i="89"/>
  <c r="J24" i="89"/>
  <c r="O37" i="89"/>
  <c r="N37" i="89"/>
  <c r="M37" i="89"/>
  <c r="L37" i="89"/>
  <c r="H43" i="89"/>
  <c r="I43" i="89" s="1"/>
  <c r="K37" i="89"/>
  <c r="J37" i="89"/>
  <c r="H37" i="89"/>
  <c r="I37" i="89" s="1"/>
  <c r="F57" i="89"/>
  <c r="F127" i="92" l="1"/>
  <c r="H36" i="89"/>
  <c r="I36" i="89" s="1"/>
  <c r="N36" i="89"/>
  <c r="M36" i="89"/>
  <c r="L36" i="89"/>
  <c r="K36" i="89"/>
  <c r="J36" i="89"/>
  <c r="M29" i="89"/>
  <c r="L29" i="89"/>
  <c r="K29" i="89"/>
  <c r="J29" i="89"/>
  <c r="H29" i="89"/>
  <c r="I29" i="89" s="1"/>
  <c r="N29" i="89"/>
  <c r="J22" i="89"/>
  <c r="H22" i="89"/>
  <c r="I22" i="89" s="1"/>
  <c r="N22" i="89"/>
  <c r="M22" i="89"/>
  <c r="L22" i="89"/>
  <c r="K22" i="89"/>
  <c r="O36" i="89"/>
  <c r="O29" i="8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Than Kyaw Soe</author>
  </authors>
  <commentList>
    <comment ref="E420" authorId="0" shapeId="0" xr:uid="{00000000-0006-0000-0F00-000001000000}">
      <text>
        <r>
          <rPr>
            <b/>
            <sz val="9"/>
            <color indexed="81"/>
            <rFont val="Tahoma"/>
            <family val="2"/>
          </rPr>
          <t>Than Kyaw Soe:</t>
        </r>
        <r>
          <rPr>
            <sz val="9"/>
            <color indexed="81"/>
            <rFont val="Tahoma"/>
            <family val="2"/>
          </rPr>
          <t xml:space="preserve">
move to another locations need to change the GPS Point</t>
        </r>
      </text>
    </comment>
  </commentList>
</comments>
</file>

<file path=xl/sharedStrings.xml><?xml version="1.0" encoding="utf-8"?>
<sst xmlns="http://schemas.openxmlformats.org/spreadsheetml/2006/main" count="19915" uniqueCount="3314">
  <si>
    <t>V1</t>
  </si>
  <si>
    <t>V2</t>
  </si>
  <si>
    <t>V3</t>
  </si>
  <si>
    <t>V4</t>
  </si>
  <si>
    <t>V5</t>
  </si>
  <si>
    <t>V7</t>
  </si>
  <si>
    <t>V8</t>
  </si>
  <si>
    <t>x1</t>
  </si>
  <si>
    <t>x2</t>
  </si>
  <si>
    <t>x4</t>
  </si>
  <si>
    <t>x5</t>
  </si>
  <si>
    <t>x6</t>
  </si>
  <si>
    <t>x7</t>
  </si>
  <si>
    <t>x8</t>
  </si>
  <si>
    <t>drop down</t>
  </si>
  <si>
    <t>#</t>
  </si>
  <si>
    <t>Text</t>
  </si>
  <si>
    <t>date</t>
  </si>
  <si>
    <t>Reporting Period</t>
  </si>
  <si>
    <t>State</t>
  </si>
  <si>
    <t>Township</t>
  </si>
  <si>
    <t>Site Name</t>
  </si>
  <si>
    <t>Total HH</t>
  </si>
  <si>
    <t xml:space="preserve">Total PoP </t>
  </si>
  <si>
    <t xml:space="preserve">Primary Donor covering WASH activities at site </t>
  </si>
  <si>
    <t>CCCM Management</t>
  </si>
  <si>
    <t>CCCM Focal Agency</t>
  </si>
  <si>
    <t>Type of accommodation</t>
  </si>
  <si>
    <t>Ethnic or GCA/NGCA</t>
  </si>
  <si>
    <t>Lat</t>
  </si>
  <si>
    <t>Long</t>
  </si>
  <si>
    <t>Pcode</t>
  </si>
  <si>
    <t>Covered</t>
  </si>
  <si>
    <t>Remark</t>
  </si>
  <si>
    <t>2017_Q4</t>
  </si>
  <si>
    <t>KMSS</t>
  </si>
  <si>
    <t>Kachin</t>
  </si>
  <si>
    <t>Mansi</t>
  </si>
  <si>
    <t>Maing Khaung Catholic Church</t>
  </si>
  <si>
    <t>DFID/HARP</t>
  </si>
  <si>
    <t>Yes</t>
  </si>
  <si>
    <t>KMSS-BMO</t>
  </si>
  <si>
    <t>Camp</t>
  </si>
  <si>
    <t>GCA</t>
  </si>
  <si>
    <t>HRP calculation</t>
  </si>
  <si>
    <t>Current Indicators</t>
  </si>
  <si>
    <t>Definitions/Remarks</t>
  </si>
  <si>
    <t xml:space="preserve">CAMP </t>
  </si>
  <si>
    <t xml:space="preserve">VILLAGE </t>
  </si>
  <si>
    <t>V9</t>
  </si>
  <si>
    <t>V10</t>
  </si>
  <si>
    <t># Work days (approx) lost in this site due to access restrictions</t>
  </si>
  <si>
    <t>Yes/No</t>
  </si>
  <si>
    <t>V11</t>
  </si>
  <si>
    <t>%</t>
  </si>
  <si>
    <t>V12</t>
  </si>
  <si>
    <t>HRP 1 (improved sources)</t>
  </si>
  <si>
    <t>V13</t>
  </si>
  <si>
    <t>V17</t>
  </si>
  <si>
    <t>V16</t>
  </si>
  <si>
    <t>V18</t>
  </si>
  <si>
    <t>N/A</t>
  </si>
  <si>
    <t>V20</t>
  </si>
  <si>
    <t>V21</t>
  </si>
  <si>
    <t>V22</t>
  </si>
  <si>
    <t>V23</t>
  </si>
  <si>
    <t>V25</t>
  </si>
  <si>
    <t>V26</t>
  </si>
  <si>
    <t>V27</t>
  </si>
  <si>
    <t>V28</t>
  </si>
  <si>
    <t>HRP Code</t>
  </si>
  <si>
    <t>4W Code</t>
  </si>
  <si>
    <t>Corresponding 4W indicator</t>
  </si>
  <si>
    <t>HRP1</t>
  </si>
  <si>
    <t>Number of people reached by regular dedicated hygiene promotion/behavior change activities</t>
  </si>
  <si>
    <r>
      <rPr>
        <sz val="18"/>
        <color theme="0"/>
        <rFont val="Calibri"/>
        <family val="2"/>
      </rPr>
      <t>WASH CLUSTER</t>
    </r>
    <r>
      <rPr>
        <b/>
        <sz val="18"/>
        <color theme="0"/>
        <rFont val="Calibri"/>
        <family val="2"/>
      </rPr>
      <t xml:space="preserve"> 4W MATRIX </t>
    </r>
    <r>
      <rPr>
        <sz val="18"/>
        <color theme="0"/>
        <rFont val="Calibri"/>
        <family val="2"/>
      </rPr>
      <t>MYANMAR</t>
    </r>
  </si>
  <si>
    <t>Objectives of the 4W matrix:</t>
  </si>
  <si>
    <t>To identify the geographical positionning of the different intervenants (Who)</t>
  </si>
  <si>
    <t>To reduce the geographical gaps coverage (Where)</t>
  </si>
  <si>
    <t>To produce a basic analysis of the needs covered, and needs remaining (What)</t>
  </si>
  <si>
    <t>To predict at minima the coverage extension or reduction in short term (When)</t>
  </si>
  <si>
    <t>To support defining priorities (traffic light)</t>
  </si>
  <si>
    <t>To offer a synthetic situation overview, a relavant and comparable analysis over time</t>
  </si>
  <si>
    <t>The 4W exercise cannot replace more complex and field monitoring tools and analysis.</t>
  </si>
  <si>
    <t xml:space="preserve"> It won't analyse much the qualitative aspect of the intervention, while it is a pre-condition for any intervention </t>
  </si>
  <si>
    <t>To respect minimum technical standards, shared and contextualised by the cluster</t>
  </si>
  <si>
    <t>Principle</t>
  </si>
  <si>
    <t>The matrix remain a flexible tools and can be frequently adapted, based on field experience, needs, and change in the intervention context</t>
  </si>
  <si>
    <t>The Wash cluster has the duty to offer a feed back on data provided by the Agency, and offer a consolidated analysis.</t>
  </si>
  <si>
    <t>The wash cluster meeting, state level or country level, are the place to exchange on result findings</t>
  </si>
  <si>
    <t>The 4W should be updated at quaterly basis, while all agencies are requested to fill the form to offer a more accurate and relevant outlook of the situation</t>
  </si>
  <si>
    <t>The 4W and its analysis is shared with the Myanmar autorities at state and national level</t>
  </si>
  <si>
    <t>The wash cluster is in charge of gathering the information from the State government, in case of technical direct implementation</t>
  </si>
  <si>
    <t>The 4W consolidated by the wash cluster and its analysis will be quarterly shared through the google wash group, WASH Cluster google drive and the MIMU internet site</t>
  </si>
  <si>
    <t>Use of Excel Sheet:</t>
  </si>
  <si>
    <t>DATABASE: Main database for Data Entry by partners</t>
  </si>
  <si>
    <t>HRP Calculations: Calculations method for HRP indicators</t>
  </si>
  <si>
    <t>ANALYSIS: overall Analysis based on partner's  quarterly update 4 Ws</t>
  </si>
  <si>
    <t>Kachin/Rakhine/Shan: Quarterly Snapshot by state. Mapping can not be included in data entry period. It will be included in final version of 4 W released.</t>
  </si>
  <si>
    <t>By Camp: camp level analysis with different dimensions</t>
  </si>
  <si>
    <t>Focal point Agency:</t>
  </si>
  <si>
    <t xml:space="preserve">As per WASH cluster strategic plan and SOF, the approach remains one main wash actor per camp </t>
  </si>
  <si>
    <t>However, depending of the needs, two actors can be considered per sub sector, and different regarding wash sub-sector</t>
  </si>
  <si>
    <t>From a cluster point of view, to facilitate the data collection, the defined focal wash agency is reporting for the overall wash situation in the location, and not only on its own activities</t>
  </si>
  <si>
    <t>The agency focal point is defined on an bilateral agreement between NGOs, while the Cluster can accompaign any process difficulties</t>
  </si>
  <si>
    <t>Geographical reporting coverage</t>
  </si>
  <si>
    <t>WASH Cluster, through intersectorial coordination with CCCM, is providing a site baseline data. However,  this pre-defined list is not closed to new locations, if related to the emergency.</t>
  </si>
  <si>
    <t>In case of new location (ex: spontaneous camps not registered with CCCM, host communities considered directly affected, isolated villages facing</t>
  </si>
  <si>
    <t>humanitarian risk…), please mark in the Database, and engage exchange with the Wash cluster in order to properly recognize this location, and allow to exchange with CCCM if needed.</t>
  </si>
  <si>
    <t>The agencies are also welcome to cross check the data and mention major discrepancies with field observations. The wash cluster in that case ensures a follow up at the inter-cluster level</t>
  </si>
  <si>
    <t>V14</t>
  </si>
  <si>
    <t>V15</t>
  </si>
  <si>
    <t>Equitable and continuous access to sufficient quantity of safe drinking water through improved water sources</t>
  </si>
  <si>
    <t>Number of People with equitable and continuous access to sufficient quantity of safe drinking water through improved water sources</t>
  </si>
  <si>
    <t>Number of People access to unimproved water sources</t>
  </si>
  <si>
    <t>% Equitable and continuous access to sufficient quantity of domestic water (borehole+ponds)</t>
  </si>
  <si>
    <t># of Water points coverage</t>
  </si>
  <si>
    <r>
      <t>% of equitable and continuous access to sufficient quantity of safe drinking and domestic water's GAP</t>
    </r>
    <r>
      <rPr>
        <b/>
        <sz val="10"/>
        <color rgb="FFFF0000"/>
        <rFont val="Corbel"/>
        <family val="2"/>
      </rPr>
      <t/>
    </r>
  </si>
  <si>
    <t># Potential required new water points</t>
  </si>
  <si>
    <t>Total required water points</t>
  </si>
  <si>
    <t># potential required new latrines</t>
  </si>
  <si>
    <t>Total required Latrines</t>
  </si>
  <si>
    <t>Hygiene Coverage %</t>
  </si>
  <si>
    <t>%people reached by regular dedicated hygiene promotion/behavior change activities</t>
  </si>
  <si>
    <t>Location Type</t>
  </si>
  <si>
    <t>Location Type 1</t>
  </si>
  <si>
    <t>No</t>
  </si>
  <si>
    <t>Functional</t>
  </si>
  <si>
    <t>Household</t>
  </si>
  <si>
    <t>Sin Bo</t>
  </si>
  <si>
    <t>NA</t>
  </si>
  <si>
    <t>KBC</t>
  </si>
  <si>
    <t>Waingmaw</t>
  </si>
  <si>
    <t>Sha-It Yang</t>
  </si>
  <si>
    <t xml:space="preserve">Plan/GFFO,ADRA/CANADA  </t>
  </si>
  <si>
    <t>Both</t>
  </si>
  <si>
    <t>Chipwi</t>
  </si>
  <si>
    <t>Hpare Hkyer - BP6</t>
  </si>
  <si>
    <t>Hpakant</t>
  </si>
  <si>
    <t>Hlaing Naung Baptist</t>
  </si>
  <si>
    <t>ADRA/CANADA</t>
  </si>
  <si>
    <t>Non_Functional</t>
  </si>
  <si>
    <t>Mogaung</t>
  </si>
  <si>
    <t xml:space="preserve">Kyun Taw Baptist Church </t>
  </si>
  <si>
    <t>Mang Hawng Baptist Church</t>
  </si>
  <si>
    <t xml:space="preserve">Nat Gyi Kone Baptist Church </t>
  </si>
  <si>
    <t>Sar Hmaw - KBC</t>
  </si>
  <si>
    <t>Mohnyin</t>
  </si>
  <si>
    <t xml:space="preserve">Nawng Ing (Indawgyi) Baptist Church </t>
  </si>
  <si>
    <t>Myitkyina</t>
  </si>
  <si>
    <t>Du Kahtawng Baptist</t>
  </si>
  <si>
    <t>Jan Mai Kawng Baptist Church</t>
  </si>
  <si>
    <t>Kyun Pin Thar Baptist Church</t>
  </si>
  <si>
    <t>Le Kone Bethlehem Church</t>
  </si>
  <si>
    <t xml:space="preserve">Le Kone Ziun Baptist Church </t>
  </si>
  <si>
    <t>Maliyang Baptist Church</t>
  </si>
  <si>
    <t>Man Hkring Baptist Church</t>
  </si>
  <si>
    <t xml:space="preserve">Njang Dung Baptist Church </t>
  </si>
  <si>
    <t>Shatapru Sut Ngai Tawng</t>
  </si>
  <si>
    <t>Shwe Zet Baptist Church</t>
  </si>
  <si>
    <t>Tat Kone Baptist Church</t>
  </si>
  <si>
    <t>Tat Kone Galile Baptist Church</t>
  </si>
  <si>
    <t>Tat Kone San Pya Baptist Church</t>
  </si>
  <si>
    <t>Puta-O</t>
  </si>
  <si>
    <t>Lung Sut</t>
  </si>
  <si>
    <t>Hkau Shau (BP 12)</t>
  </si>
  <si>
    <t>Mading Baptist Church</t>
  </si>
  <si>
    <t xml:space="preserve">Maga Yang </t>
  </si>
  <si>
    <t>Maina KBC (Bawng Ring)</t>
  </si>
  <si>
    <t>Maina Lawang Baptist Church</t>
  </si>
  <si>
    <t>Pajau - Jan Mai</t>
  </si>
  <si>
    <t>Qtr. 2 Myoma Baptist Church</t>
  </si>
  <si>
    <t>Shing Jai</t>
  </si>
  <si>
    <t>Maing Khaung</t>
  </si>
  <si>
    <t>Sumprabum</t>
  </si>
  <si>
    <t>Ndup Yang</t>
  </si>
  <si>
    <t>Not_inPlace</t>
  </si>
  <si>
    <t>Salang Yang</t>
  </si>
  <si>
    <t xml:space="preserve">Shar Du Zut KBC church </t>
  </si>
  <si>
    <t>Shar Du Zut RC church</t>
  </si>
  <si>
    <t>Muyin church (Aung Yar pre-school compound)</t>
  </si>
  <si>
    <t>Shar Du Zut SanPya</t>
  </si>
  <si>
    <t>Metta</t>
  </si>
  <si>
    <t>Mansi Baptist Church</t>
  </si>
  <si>
    <t>USAID, Christian AID, HIDA</t>
  </si>
  <si>
    <t>Bhamo</t>
  </si>
  <si>
    <t>Aung Thar Church</t>
  </si>
  <si>
    <t>WHH ( BMZ ),USAID</t>
  </si>
  <si>
    <t>Htoi San Church</t>
  </si>
  <si>
    <t>USAID, Christian AID, HIDA, WHH ( AA )</t>
  </si>
  <si>
    <t>Lisu Boarding-House</t>
  </si>
  <si>
    <t>Mu-yin Baptist Church</t>
  </si>
  <si>
    <t>WHH ( BMZ ),USAID, HIDA</t>
  </si>
  <si>
    <t>Nant Hlaing Church</t>
  </si>
  <si>
    <t>Yoe Kyi Monastery</t>
  </si>
  <si>
    <t>Momauk</t>
  </si>
  <si>
    <t>Agritural Compound (KBC)</t>
  </si>
  <si>
    <t>Kachin Su Baptist Church (ECCD)</t>
  </si>
  <si>
    <t>USAID,Christian Aid, HIDA</t>
  </si>
  <si>
    <t>Khar Nan (1) Baptist Church</t>
  </si>
  <si>
    <t>Man Bung Catholic compound</t>
  </si>
  <si>
    <t>Mandalay Monestry</t>
  </si>
  <si>
    <t>WHH ( BMZ ),USAID, Christian AID</t>
  </si>
  <si>
    <t>Momauk Baptist Church</t>
  </si>
  <si>
    <t>Shwegu</t>
  </si>
  <si>
    <t>Shwe Gu Baptist Church</t>
  </si>
  <si>
    <t>Shwe Gu Catholic Church</t>
  </si>
  <si>
    <t xml:space="preserve">Hpun Lum Yang </t>
  </si>
  <si>
    <t>WHH-BMZ,WHH-AA</t>
  </si>
  <si>
    <t>Boys Boarding house, A Len Bum</t>
  </si>
  <si>
    <t>Girl Boarding house, A Len Bum</t>
  </si>
  <si>
    <t xml:space="preserve">Woi Chyai </t>
  </si>
  <si>
    <t>Woi Chyai host families</t>
  </si>
  <si>
    <t>Woi Chyai (Mong Lai)</t>
  </si>
  <si>
    <t>IDP Boarding School, A Len Bum</t>
  </si>
  <si>
    <t>Pan Wa</t>
  </si>
  <si>
    <t>DFID/UNICEF</t>
  </si>
  <si>
    <t>Saw Zam</t>
  </si>
  <si>
    <t xml:space="preserve">DFID / UNICEF </t>
  </si>
  <si>
    <t>Communal</t>
  </si>
  <si>
    <t>5 Ward RC Church(lon Khin)</t>
  </si>
  <si>
    <t>Nant Ma Hpit Catholic Church</t>
  </si>
  <si>
    <t xml:space="preserve">Dum Bung </t>
  </si>
  <si>
    <t>Jan Mai Kawng Catholic Church</t>
  </si>
  <si>
    <t>Nan Kway St. John Catholic Church</t>
  </si>
  <si>
    <t>Pa Dauk Myaing(Pa La Na)</t>
  </si>
  <si>
    <t>Border Post 8</t>
  </si>
  <si>
    <t>Maina Catholic Church (St. Joseph)</t>
  </si>
  <si>
    <t>Post 6 Camp</t>
  </si>
  <si>
    <t xml:space="preserve">St. Patrick Catholic Church </t>
  </si>
  <si>
    <t xml:space="preserve">Ma Hawng RC </t>
  </si>
  <si>
    <t>UNICEF</t>
  </si>
  <si>
    <t>Shalom</t>
  </si>
  <si>
    <t>Lawng Hkang Shait Yang Camp​ ( Lel Pyin)​ </t>
  </si>
  <si>
    <t>OFDA</t>
  </si>
  <si>
    <t>Chipwi KBC camp</t>
  </si>
  <si>
    <t>UNICEF/OFDA</t>
  </si>
  <si>
    <t>Lhaovao Baptist Church (LBC)</t>
  </si>
  <si>
    <t>AG Church, Hmaw Si Sa</t>
  </si>
  <si>
    <t>AG Church, Maw Wan</t>
  </si>
  <si>
    <t>Baptist Church, Hmaw Si Sar(Lon Khin)</t>
  </si>
  <si>
    <t>Chin Church, Seik Mu</t>
  </si>
  <si>
    <t>Dhama Rakhita, Nyein Chan Tar Yar Ward(Lon Khin)</t>
  </si>
  <si>
    <t>Hmaw Wan, Anglican</t>
  </si>
  <si>
    <t>Hpakant Baptist Church, Nam Ma Hpit</t>
  </si>
  <si>
    <t>Lisu Baptist Church, Maw Shan Vil,. Seik Mu</t>
  </si>
  <si>
    <t>Lisu Baptist Church, Maw Wan Ward</t>
  </si>
  <si>
    <t>Maw Wan, Mu-yin Baptist Church</t>
  </si>
  <si>
    <t>Nam Ma Phyit, COC</t>
  </si>
  <si>
    <t>Rawan Baptist Church, Maw Shan Vil., Seik Mu</t>
  </si>
  <si>
    <t>Sai Nai Baptish Church, Maw Shan Vil., Seki Mu</t>
  </si>
  <si>
    <t xml:space="preserve">Ward 2 Sai Taung Baptist Church, Seik Mu </t>
  </si>
  <si>
    <t>Yumar Baptist Church</t>
  </si>
  <si>
    <t>Maw Hpawng Hka Nan Baptist Church</t>
  </si>
  <si>
    <t>Maw Hpawng Lhaovo Baptist Church</t>
  </si>
  <si>
    <t>Shatapru Thida Aye Baptist Church</t>
  </si>
  <si>
    <t>Tat Kone COC Baptist - Tat Kone Htoi San</t>
  </si>
  <si>
    <t>Tat Kone Emanuel Church</t>
  </si>
  <si>
    <t xml:space="preserve">Hkat Cho </t>
  </si>
  <si>
    <t>Maina AG Church</t>
  </si>
  <si>
    <t>Nawng Hee Village</t>
  </si>
  <si>
    <t>Qtr. 2 Lhaovo Baptist Church</t>
  </si>
  <si>
    <t>Qtr. 3 Mu-yin  Baptist Church</t>
  </si>
  <si>
    <t>Qtr. 4 Monestry (Thargaya Thayett Taw)</t>
  </si>
  <si>
    <t>Thargaya Lisu Baptist Church</t>
  </si>
  <si>
    <t>Waingmaw AG Church</t>
  </si>
  <si>
    <t>SI</t>
  </si>
  <si>
    <t>AD-2000 Tharthana Compound</t>
  </si>
  <si>
    <t>ECHO/OFDA</t>
  </si>
  <si>
    <t>Phan Khar Kone</t>
  </si>
  <si>
    <t>Robert Church</t>
  </si>
  <si>
    <t>Loi Je Baptist Church</t>
  </si>
  <si>
    <t>Loi Je Catholic Church</t>
  </si>
  <si>
    <t>Loi Je Lisu Camp</t>
  </si>
  <si>
    <t xml:space="preserve">Nyaung Na Pin </t>
  </si>
  <si>
    <t>ECHO,OFDA</t>
  </si>
  <si>
    <t xml:space="preserve">Seng Ja </t>
  </si>
  <si>
    <t>Man Bung Edin Baptist Church</t>
  </si>
  <si>
    <t>Lwegel High School</t>
  </si>
  <si>
    <t>Laiza Je Yang School</t>
  </si>
  <si>
    <t xml:space="preserve">Je Yang Hka </t>
  </si>
  <si>
    <t>WPN</t>
  </si>
  <si>
    <t>ECHO</t>
  </si>
  <si>
    <t>Unknown</t>
  </si>
  <si>
    <t>Lana Zup Ja</t>
  </si>
  <si>
    <t xml:space="preserve">Nhkawng Pa </t>
  </si>
  <si>
    <t xml:space="preserve">Pa Kahtawng </t>
  </si>
  <si>
    <t>SCI</t>
  </si>
  <si>
    <t>Man Wing Baptist Church</t>
  </si>
  <si>
    <t>MHF</t>
  </si>
  <si>
    <t>Man Wing Baptist Church Cultural Compound</t>
  </si>
  <si>
    <t>Man Wing Catholic Church</t>
  </si>
  <si>
    <t>Man Wing Catholic Church II</t>
  </si>
  <si>
    <t>MA_UK</t>
  </si>
  <si>
    <t>Rakhine</t>
  </si>
  <si>
    <t>Sittwe</t>
  </si>
  <si>
    <t>MAA</t>
  </si>
  <si>
    <t>DFID</t>
  </si>
  <si>
    <t>Dar Paing Village</t>
  </si>
  <si>
    <t>None</t>
  </si>
  <si>
    <t>Phwe Yar Gone village</t>
  </si>
  <si>
    <t>Thar Yar Kone (M)</t>
  </si>
  <si>
    <t>Kyauktaw</t>
  </si>
  <si>
    <t>Ah Lel Mu</t>
  </si>
  <si>
    <t>CARE</t>
  </si>
  <si>
    <t>Maungdaw</t>
  </si>
  <si>
    <t>Alay Mushee</t>
  </si>
  <si>
    <t>EU</t>
  </si>
  <si>
    <t>Malteser</t>
  </si>
  <si>
    <t>Aung Thay Pyay (NaTaLa)</t>
  </si>
  <si>
    <t>AA</t>
  </si>
  <si>
    <t>Aung Thay Pyay (San Suri)</t>
  </si>
  <si>
    <t>Minbya</t>
  </si>
  <si>
    <t>Cheit Taung</t>
  </si>
  <si>
    <t>ACF</t>
  </si>
  <si>
    <t>DPA</t>
  </si>
  <si>
    <t>Europaid</t>
  </si>
  <si>
    <t>Fatar</t>
  </si>
  <si>
    <t>CDN</t>
  </si>
  <si>
    <t>Buthidaung</t>
  </si>
  <si>
    <t xml:space="preserve">Faw Tay Ali </t>
  </si>
  <si>
    <t>ZOA</t>
  </si>
  <si>
    <t>Kha Maung Seik North</t>
  </si>
  <si>
    <t>Ma Gyi Koung</t>
  </si>
  <si>
    <t>Majee Ywa</t>
  </si>
  <si>
    <t>Ann</t>
  </si>
  <si>
    <t>Mingalar on</t>
  </si>
  <si>
    <t>BMZ</t>
  </si>
  <si>
    <t>Muslim (Aley Ywa)</t>
  </si>
  <si>
    <t>Muslim (Taung Ywa)</t>
  </si>
  <si>
    <t>Myaunk Ywa_R</t>
  </si>
  <si>
    <t>Nant Yar Gaing (Nant Yar Gaing)</t>
  </si>
  <si>
    <t>Nat Chaung (Garapyin)</t>
  </si>
  <si>
    <t>Palae' Kaine</t>
  </si>
  <si>
    <t>GIZ</t>
  </si>
  <si>
    <t>Phas Kawri</t>
  </si>
  <si>
    <t>Pin Zaing</t>
  </si>
  <si>
    <t>Rathedaung</t>
  </si>
  <si>
    <t>Pyaing Taung (Rakhine)</t>
  </si>
  <si>
    <t>LIFT</t>
  </si>
  <si>
    <t>Rakhine Ywa</t>
  </si>
  <si>
    <t>Rakhine Ywa_R</t>
  </si>
  <si>
    <t>Raza Bil</t>
  </si>
  <si>
    <t>Sapar Seik (Shari)</t>
  </si>
  <si>
    <t>Shwe Yin Aye</t>
  </si>
  <si>
    <t>Thit Taw Ywa</t>
  </si>
  <si>
    <t>Thit Tone Na Gwa Sone (Daung Ywa)</t>
  </si>
  <si>
    <t>Thit Tone Na Gwa Sone (Ywa Ma)</t>
  </si>
  <si>
    <t>Thit Tone Nar Lay Myo</t>
  </si>
  <si>
    <t>Thone Gwa</t>
  </si>
  <si>
    <t>Wa Khote Chaung</t>
  </si>
  <si>
    <t>Wai Thar Le</t>
  </si>
  <si>
    <t>Ywa Ma</t>
  </si>
  <si>
    <t>Ywa Thar Yar</t>
  </si>
  <si>
    <t>Ramree</t>
  </si>
  <si>
    <t>Ramree Ward 6</t>
  </si>
  <si>
    <t>Ramree Town</t>
  </si>
  <si>
    <t>Kyaukpyu</t>
  </si>
  <si>
    <t>Yae Myet</t>
  </si>
  <si>
    <t>Kyauk Ka Lay</t>
  </si>
  <si>
    <t>Baw Ya Par</t>
  </si>
  <si>
    <t>Rakhine Min Pyin</t>
  </si>
  <si>
    <t>Chin Ywar Min Pyin</t>
  </si>
  <si>
    <t>Wa Hmyaung</t>
  </si>
  <si>
    <t>Pyu Chaing</t>
  </si>
  <si>
    <t>War Net Chun</t>
  </si>
  <si>
    <t>Oxfam</t>
  </si>
  <si>
    <t>Ka Nyin Taw</t>
  </si>
  <si>
    <t>Kyauk Ta Lone</t>
  </si>
  <si>
    <t>MHDO</t>
  </si>
  <si>
    <t>Aung Thar Yar</t>
  </si>
  <si>
    <t>Mei Za Li Kaing</t>
  </si>
  <si>
    <t>Nyaung Chaung_ann</t>
  </si>
  <si>
    <t>Kan Za Li</t>
  </si>
  <si>
    <t>Taik Maw</t>
  </si>
  <si>
    <t>Wet Mee To</t>
  </si>
  <si>
    <t>Lun Kyaw</t>
  </si>
  <si>
    <t>Taung Chauk</t>
  </si>
  <si>
    <t>Oe Pone</t>
  </si>
  <si>
    <t>Sa Khan Maw</t>
  </si>
  <si>
    <t>Tan Chaung</t>
  </si>
  <si>
    <t>Laung Sat</t>
  </si>
  <si>
    <t>Kha Yan Kyun</t>
  </si>
  <si>
    <t>Nga Let Kya</t>
  </si>
  <si>
    <t>Chin Kone</t>
  </si>
  <si>
    <t>Pyaung Chaung</t>
  </si>
  <si>
    <t>Sin U Taik</t>
  </si>
  <si>
    <t>Zu Kaing</t>
  </si>
  <si>
    <t>Swi Chaung</t>
  </si>
  <si>
    <t>Kyeik Chaung</t>
  </si>
  <si>
    <t>Za Yat Kwin</t>
  </si>
  <si>
    <t>Dar Let (South)</t>
  </si>
  <si>
    <t>Ywar Haung Ah Htet</t>
  </si>
  <si>
    <t>Dar Let Ah Lel Kyun</t>
  </si>
  <si>
    <t>Nat Maw (Upper)</t>
  </si>
  <si>
    <t>Shan Kone</t>
  </si>
  <si>
    <t>Dar Let (North)</t>
  </si>
  <si>
    <t>Kwayt Shey Ywar Thit
(Kwayt Shay)</t>
  </si>
  <si>
    <t>RI</t>
  </si>
  <si>
    <t>Myebon</t>
  </si>
  <si>
    <t>Taung Paw</t>
  </si>
  <si>
    <t>Kan Thar Htwat Wa</t>
  </si>
  <si>
    <t>Pauktaw</t>
  </si>
  <si>
    <t>Sin Tet Maw Rakhine(Baw Da Li)</t>
  </si>
  <si>
    <t>Sin Tet Maw (Host)</t>
  </si>
  <si>
    <t>Sin Tet Maw</t>
  </si>
  <si>
    <t>Nget Chaung 1</t>
  </si>
  <si>
    <t>Nget Chaung 2</t>
  </si>
  <si>
    <t>Sin Aing</t>
  </si>
  <si>
    <t>DRC</t>
  </si>
  <si>
    <t>Kyein Ni Pyin</t>
  </si>
  <si>
    <t>Ah Nauk Ye Ku Lar</t>
  </si>
  <si>
    <t>Ah Nauk Ywe</t>
  </si>
  <si>
    <t>Bar Sa Yar Host</t>
  </si>
  <si>
    <t>Basare</t>
  </si>
  <si>
    <t>Bu May</t>
  </si>
  <si>
    <t>Set Yone Su 1</t>
  </si>
  <si>
    <t>Thea Chaung Let Tha Mar Kone</t>
  </si>
  <si>
    <t>Sat Roe Kya 1</t>
  </si>
  <si>
    <t>Sat Roe Kya 2</t>
  </si>
  <si>
    <t>Set Yone Su 3</t>
  </si>
  <si>
    <t>Thea Chaung Ku Lar</t>
  </si>
  <si>
    <t>Thae Chaung</t>
  </si>
  <si>
    <t>Dar Pai (IDP in host families)</t>
  </si>
  <si>
    <t>Dar Pai</t>
  </si>
  <si>
    <t>Baw Du Pha 1</t>
  </si>
  <si>
    <t xml:space="preserve">Thet Kae Pyin </t>
  </si>
  <si>
    <t>Baw Du Pha 2</t>
  </si>
  <si>
    <t>Thet Kae Pyin Village (IDPs in host family)</t>
  </si>
  <si>
    <t>Hla May Shwe</t>
  </si>
  <si>
    <t>Ohn Taw Gyi (South)</t>
  </si>
  <si>
    <t>Maw Ti Ngar</t>
  </si>
  <si>
    <t>Ohn Taw Gyi (North)</t>
  </si>
  <si>
    <t>Say Tha Mar Nge</t>
  </si>
  <si>
    <t>Thet Kay Pyin Ywar Ma</t>
  </si>
  <si>
    <t>Done Pyin Village</t>
  </si>
  <si>
    <t>Ohn Taw Gyi</t>
  </si>
  <si>
    <t>Say Tha Mar Gyi village</t>
  </si>
  <si>
    <t>Zaw Pu Gyar</t>
  </si>
  <si>
    <t>Say Tha Mar Gyi</t>
  </si>
  <si>
    <t>Ohn Taw Shey</t>
  </si>
  <si>
    <t>Ohn Taw Chay</t>
  </si>
  <si>
    <t>Nga/ Pun Ywar Shey</t>
  </si>
  <si>
    <t>Daung Pyauk Kay</t>
  </si>
  <si>
    <t>Kan Ni</t>
  </si>
  <si>
    <t>Nga/ Pun Ywar Gyi</t>
  </si>
  <si>
    <t>Thein Tan</t>
  </si>
  <si>
    <t>Me la zi Kone</t>
  </si>
  <si>
    <t>Ah Lar Than</t>
  </si>
  <si>
    <t xml:space="preserve">Aung Daing </t>
  </si>
  <si>
    <t>Kyet Taw Pyin</t>
  </si>
  <si>
    <t>Nga/Tauk Tet</t>
  </si>
  <si>
    <t>Ponnagyun</t>
  </si>
  <si>
    <t>Tan Khoe</t>
  </si>
  <si>
    <t>Kywi Te</t>
  </si>
  <si>
    <t>Chi Laing Hpin</t>
  </si>
  <si>
    <t>Tan Zwei</t>
  </si>
  <si>
    <t>Nyaung Pin Gyi (Ku Lar)</t>
  </si>
  <si>
    <t>Nyaung Pin Gyi (Rakhine)</t>
  </si>
  <si>
    <t>Thar Si</t>
  </si>
  <si>
    <t>Tha Dar</t>
  </si>
  <si>
    <t>Irish Aid</t>
  </si>
  <si>
    <t>Chaik Taung</t>
  </si>
  <si>
    <t>Shwe Zin Khin (Rakhine)</t>
  </si>
  <si>
    <t>Kan Chaung Wa</t>
  </si>
  <si>
    <t>San Htoe Tan</t>
  </si>
  <si>
    <t>Ah Nauk Pyin</t>
  </si>
  <si>
    <t>Chein Khar Li</t>
  </si>
  <si>
    <t>Yoe Ngu</t>
  </si>
  <si>
    <t>Koe Tan Kauk</t>
  </si>
  <si>
    <t>Naw Wai</t>
  </si>
  <si>
    <t>Mrauk-U</t>
  </si>
  <si>
    <t>Let Than Chi (Ywar Thit)</t>
  </si>
  <si>
    <t>Kyauk Sar Taing</t>
  </si>
  <si>
    <t>Let Than Chi (Haung)</t>
  </si>
  <si>
    <t>Nyaung Pin Hla</t>
  </si>
  <si>
    <t>Zee kone Tan (or) Kon Tan Zay</t>
  </si>
  <si>
    <t>Mi Chaung Yae Thauk</t>
  </si>
  <si>
    <t>Baw Di Kone</t>
  </si>
  <si>
    <t>Yan Aung Pyin</t>
  </si>
  <si>
    <t>Lone Tin</t>
  </si>
  <si>
    <t>Myet Tauk</t>
  </si>
  <si>
    <t>Thit Ka Toe</t>
  </si>
  <si>
    <t>Bu Chaung</t>
  </si>
  <si>
    <t>Dar Peit</t>
  </si>
  <si>
    <t>Kyone Pyin</t>
  </si>
  <si>
    <t xml:space="preserve">U Htoe Dan </t>
  </si>
  <si>
    <t>Tauk Sone</t>
  </si>
  <si>
    <t>Navy Seik</t>
  </si>
  <si>
    <t>Pann Phaw Pyin</t>
  </si>
  <si>
    <t>Shwe Ta Mar</t>
  </si>
  <si>
    <t>Sin Oe</t>
  </si>
  <si>
    <t>Kyauk Pan Du (NTL)</t>
  </si>
  <si>
    <t>Pauk Pin Yin</t>
  </si>
  <si>
    <t>Be Lar Mi</t>
  </si>
  <si>
    <t>Ah Du</t>
  </si>
  <si>
    <t>Than Du</t>
  </si>
  <si>
    <t>Ni Lin Paw</t>
  </si>
  <si>
    <t>Ah Htet Nan Yar (Muslim)</t>
  </si>
  <si>
    <t>Ah Htet Nan Yar (Rakhine)</t>
  </si>
  <si>
    <t>Yin Chaung</t>
  </si>
  <si>
    <t>Ah Htet Nan Yar</t>
  </si>
  <si>
    <t>Chut Pyin</t>
  </si>
  <si>
    <t>Chin Ywa(Pyaing Taung)</t>
  </si>
  <si>
    <t>Maw Htet</t>
  </si>
  <si>
    <t>Tha Yet Oak</t>
  </si>
  <si>
    <t>Pyin Chay</t>
  </si>
  <si>
    <t>Pyin Hlyar Shey</t>
  </si>
  <si>
    <t>Kar Di</t>
  </si>
  <si>
    <t>Kywe Lan Chaung</t>
  </si>
  <si>
    <t>Pet Khwet Seik</t>
  </si>
  <si>
    <t>Nga San Baw (Moke Soe Chaung) (Ywar Haung)</t>
  </si>
  <si>
    <t>Maung Hpyu (Da Pyu Chaung)</t>
  </si>
  <si>
    <t>Kyauk Yan Thar Si</t>
  </si>
  <si>
    <t>Gaw Yaw Ma Ni</t>
  </si>
  <si>
    <t>Maw</t>
  </si>
  <si>
    <t>Kyaung Taung</t>
  </si>
  <si>
    <t>Ngwe Taung</t>
  </si>
  <si>
    <t>Kone Tan</t>
  </si>
  <si>
    <t>Zin Kha Mar</t>
  </si>
  <si>
    <t>Ah Myet Taung</t>
  </si>
  <si>
    <t>Pyaing Taung</t>
  </si>
  <si>
    <t>Taung Chaung</t>
  </si>
  <si>
    <t>Yet Khone Taing</t>
  </si>
  <si>
    <t>Taung Maw</t>
  </si>
  <si>
    <t>Thein Taung pyin (Dine Net)</t>
  </si>
  <si>
    <t>Kon Tan (U Daung Ah Nauk)</t>
  </si>
  <si>
    <t>Zee Khaung</t>
  </si>
  <si>
    <t>Zon Mar</t>
  </si>
  <si>
    <t>Hla Tha Ma</t>
  </si>
  <si>
    <t>Thein Taung pyin (Muslim)</t>
  </si>
  <si>
    <t>Langui</t>
  </si>
  <si>
    <t>Kyauk Pyin Seik</t>
  </si>
  <si>
    <t>Say Tha Ma</t>
  </si>
  <si>
    <t>Pe Tha Du</t>
  </si>
  <si>
    <t>Ahr Kar Taung</t>
  </si>
  <si>
    <t>Oke Taung Pyin</t>
  </si>
  <si>
    <t>Kan Sit</t>
  </si>
  <si>
    <t>Gan Gaw Myaing ( Na Ta La )</t>
  </si>
  <si>
    <t>Ohn Chaung</t>
  </si>
  <si>
    <t>Aung Pa</t>
  </si>
  <si>
    <t>Kar Di (Kywe Cho Maw)</t>
  </si>
  <si>
    <t>Thaing Ta Poke</t>
  </si>
  <si>
    <t>Oke Hpo (Oe Hpauk)</t>
  </si>
  <si>
    <t>Nyaung Chaung</t>
  </si>
  <si>
    <t>Phyar Pyin</t>
  </si>
  <si>
    <t>Oe Hpauk Ywar Thit</t>
  </si>
  <si>
    <t>In Bar Yi</t>
  </si>
  <si>
    <t>Ah Htet See Maung</t>
  </si>
  <si>
    <t>Oke Kan</t>
  </si>
  <si>
    <t>Gwa Sone Muslim</t>
  </si>
  <si>
    <t>Gwa Sone Rakhine</t>
  </si>
  <si>
    <t>Doke Kan Chaung</t>
  </si>
  <si>
    <t>Tha Pyay Seik</t>
  </si>
  <si>
    <t>Goke Pi Htaunt (Rakhine)</t>
  </si>
  <si>
    <t>Nay Pu Khan</t>
  </si>
  <si>
    <t>Goke Pi Htaunt</t>
  </si>
  <si>
    <t>Honsara (Zaw Ma Tat)</t>
  </si>
  <si>
    <t>Hin Thar Ra</t>
  </si>
  <si>
    <t>Du Than Dar</t>
  </si>
  <si>
    <t>Kine Gyi (Rakhine)</t>
  </si>
  <si>
    <t>Sin Khone Taing (Ku Lar)</t>
  </si>
  <si>
    <t>Saw Kina Ma</t>
  </si>
  <si>
    <t>Zaw Ma Tat</t>
  </si>
  <si>
    <t>Lam Bar Gone Nah</t>
  </si>
  <si>
    <t>Din Gar</t>
  </si>
  <si>
    <t>Ah Pauk Wa</t>
  </si>
  <si>
    <t>Gaung Gyi</t>
  </si>
  <si>
    <t>Maw Staw Bis</t>
  </si>
  <si>
    <t>Ywar Thit Kay</t>
  </si>
  <si>
    <t>Wet Ma Kya</t>
  </si>
  <si>
    <t>Sin Khone Taing (Rakhine)</t>
  </si>
  <si>
    <t>Say Taung</t>
  </si>
  <si>
    <t>Yun Nyar</t>
  </si>
  <si>
    <t>Pyin  Hla Zay Ywa</t>
  </si>
  <si>
    <t>Zedi Taung (Muslim)</t>
  </si>
  <si>
    <t>Thein Tan (Rakhine)</t>
  </si>
  <si>
    <t>Thein Tan (Muslim)</t>
  </si>
  <si>
    <t>Kan Pyin</t>
  </si>
  <si>
    <t xml:space="preserve">Baw Li </t>
  </si>
  <si>
    <t>Kyauk Sar Dine</t>
  </si>
  <si>
    <t>Gudar Pyin</t>
  </si>
  <si>
    <t>Nwar Yone Taung</t>
  </si>
  <si>
    <t>Tha Yet Taung</t>
  </si>
  <si>
    <t>San Go Taung</t>
  </si>
  <si>
    <t>Kha Yay Myaing (NaTaLa)</t>
  </si>
  <si>
    <t>Shat Shar Taung</t>
  </si>
  <si>
    <t>Kyauk Yan (Rakhine)</t>
  </si>
  <si>
    <t>U Yin Thar</t>
  </si>
  <si>
    <t>Godzilla (Hteik Tu Pauk Myauk)</t>
  </si>
  <si>
    <t>Tat Oo Anauk</t>
  </si>
  <si>
    <t>Sein Hnyin Pyar_Tha Pyay Taw</t>
  </si>
  <si>
    <t>Let Wea Det Pyin Shey_Tha Pyay Taw</t>
  </si>
  <si>
    <t>Shwe Hlaing</t>
  </si>
  <si>
    <t>Nur Ru Lar</t>
  </si>
  <si>
    <t>Shwe Hlaing Rakhine</t>
  </si>
  <si>
    <t>Min Thar Seik</t>
  </si>
  <si>
    <t>Mardilla</t>
  </si>
  <si>
    <t>Taung Ywa</t>
  </si>
  <si>
    <t>Phwe Ra</t>
  </si>
  <si>
    <t>Taungchay Ywa Muslim</t>
  </si>
  <si>
    <t>Chaung Pauk</t>
  </si>
  <si>
    <t>Myauk Ywa</t>
  </si>
  <si>
    <t>Kan Tha Ya</t>
  </si>
  <si>
    <t>Kyar Nyo Pyin (Rakhine)
+ Pyar Yae</t>
  </si>
  <si>
    <t>Ashit Ywa_M</t>
  </si>
  <si>
    <t>Ashit Ywa_R</t>
  </si>
  <si>
    <t>Hla Nyo Kan</t>
  </si>
  <si>
    <t>Ah Nauk</t>
  </si>
  <si>
    <t>Kin Chaung</t>
  </si>
  <si>
    <t>Let Saung Kauk</t>
  </si>
  <si>
    <t>Ywar Gyi</t>
  </si>
  <si>
    <t>Ywar Gyi (Middle)</t>
  </si>
  <si>
    <t>Kyar Nyo Pyin (Muslim)</t>
  </si>
  <si>
    <t>Taung Pauk</t>
  </si>
  <si>
    <t>Kyauk Se</t>
  </si>
  <si>
    <t>Ngar Yauk Kaing</t>
  </si>
  <si>
    <t>Done Thein</t>
  </si>
  <si>
    <t>Let Thar Ywa</t>
  </si>
  <si>
    <t>Bomu Ywa</t>
  </si>
  <si>
    <t>Kin Taung (Taung + Myauk)</t>
  </si>
  <si>
    <t>Kan Pyi Tha Zi</t>
  </si>
  <si>
    <t>Thaung Paing Nyar</t>
  </si>
  <si>
    <t>Ywa Haung_M</t>
  </si>
  <si>
    <t>Ywa Haung_R</t>
  </si>
  <si>
    <t xml:space="preserve">Kan Kyar Taung </t>
  </si>
  <si>
    <t>Ywa thit Kay</t>
  </si>
  <si>
    <t>Ah Lel Ywa</t>
  </si>
  <si>
    <t>Myoma Myauk (Chitta Ywa)</t>
  </si>
  <si>
    <t>Kan Kyar Myauk</t>
  </si>
  <si>
    <t>Shauk Chaung</t>
  </si>
  <si>
    <t>Myaung Nar</t>
  </si>
  <si>
    <t>Ward-6 (Lay Myaing)</t>
  </si>
  <si>
    <t>Let Wea Det Pyin Shey_Ywar Thit</t>
  </si>
  <si>
    <t>Inn Hpauk</t>
  </si>
  <si>
    <t>Gar Pu (Lower)</t>
  </si>
  <si>
    <t>Ah Htet Gar Pu</t>
  </si>
  <si>
    <t>Let Wea Det Pyin Shey</t>
  </si>
  <si>
    <t>Taung Htaung Ha Yar</t>
  </si>
  <si>
    <t>Ywa Gyi (Tha Yet Kin Ma Nu)</t>
  </si>
  <si>
    <t>Ka Doe Seik</t>
  </si>
  <si>
    <t>Taung (Pale Taung)</t>
  </si>
  <si>
    <t>Kyet Mauk Taung (Myauk Ywar)</t>
  </si>
  <si>
    <t>Kyet Mauk Taung (Taung Ywar)</t>
  </si>
  <si>
    <t>Play Taung Ywa Gyi North</t>
  </si>
  <si>
    <t>Khaung Htoke</t>
  </si>
  <si>
    <t>Nan Yah Gone Ahtet</t>
  </si>
  <si>
    <t>Gone Nar</t>
  </si>
  <si>
    <t>Doe Tan</t>
  </si>
  <si>
    <t>Kyauk Yit Muslim</t>
  </si>
  <si>
    <t>Kyauk Yit RK</t>
  </si>
  <si>
    <t>Palay Taung Ywa Thit</t>
  </si>
  <si>
    <t>Let Wea Det</t>
  </si>
  <si>
    <t>Pyaing Chaung</t>
  </si>
  <si>
    <t>Kyar Nyo Inn</t>
  </si>
  <si>
    <t>Si Tar (Pa Zun Chaung)</t>
  </si>
  <si>
    <t>Pa Lat Kay</t>
  </si>
  <si>
    <t>Aung Thar Yar (NaTaLa)</t>
  </si>
  <si>
    <t>Pale Taung</t>
  </si>
  <si>
    <t>Kha Yu Chaung (Muslim)</t>
  </si>
  <si>
    <t>Laung Chaung (Daing Net)</t>
  </si>
  <si>
    <t>Ba Da Nar</t>
  </si>
  <si>
    <t>Mee Chaung Zay_Ywar Thit</t>
  </si>
  <si>
    <t>Inn Chaung (Muslim)</t>
  </si>
  <si>
    <t>Inn Chaung (Daing Net)</t>
  </si>
  <si>
    <t>Hpar Wut Chaung</t>
  </si>
  <si>
    <t>Hpar Wut Chaung (Myauk Ywar)</t>
  </si>
  <si>
    <t>Zay Teit Taung</t>
  </si>
  <si>
    <t>Chin Pyin</t>
  </si>
  <si>
    <t>Ywar Thar Yar</t>
  </si>
  <si>
    <t>Zin Paing Nyar</t>
  </si>
  <si>
    <t>San Pai Pin Yin</t>
  </si>
  <si>
    <t>Ngan Chaung_Gone Nar</t>
  </si>
  <si>
    <t>Yai Myet Taung Ywa Thit</t>
  </si>
  <si>
    <t>Khat Pa Kaung</t>
  </si>
  <si>
    <t>Lu Fan Pyin</t>
  </si>
  <si>
    <t>Kywe Ta Ma</t>
  </si>
  <si>
    <t>Nga Khu Ya (Myauk Ywar)</t>
  </si>
  <si>
    <t>Kyein Chaung</t>
  </si>
  <si>
    <t>Hindu</t>
  </si>
  <si>
    <t>Koun Tan</t>
  </si>
  <si>
    <t>Lin Bar Gone Nar</t>
  </si>
  <si>
    <t>Yai Mya</t>
  </si>
  <si>
    <t>Sa Pe Kong A Nauk Ywa</t>
  </si>
  <si>
    <t>Sin Thay Pyin (Zay Di Pyin)</t>
  </si>
  <si>
    <t>Kyun Pauk Ku Lar</t>
  </si>
  <si>
    <t>Thet Kaing Ngyar</t>
  </si>
  <si>
    <t>That Kaing Nyar (Thet)</t>
  </si>
  <si>
    <t>Ah Nauk Ka Maung Seik</t>
  </si>
  <si>
    <t>Thae Chaung(Rakhine)</t>
  </si>
  <si>
    <t>Taung Htaung</t>
  </si>
  <si>
    <t>Nga Ta Paung</t>
  </si>
  <si>
    <t>Tha Yet Oke Ywar Haung</t>
  </si>
  <si>
    <t>Pyein Chaung</t>
  </si>
  <si>
    <t>Pyaung Seik</t>
  </si>
  <si>
    <t>La Mu Ta Pin</t>
  </si>
  <si>
    <t>Ahla Madi</t>
  </si>
  <si>
    <t>Kyaung Swae Phyu</t>
  </si>
  <si>
    <t>Shan (North)</t>
  </si>
  <si>
    <t>Namhkan</t>
  </si>
  <si>
    <t>Nam Hkam Catholic Church ( St. Thomas I)</t>
  </si>
  <si>
    <t>ECHO,HARP</t>
  </si>
  <si>
    <t>Kutkai</t>
  </si>
  <si>
    <t>Kutkai downtown (RC Church)</t>
  </si>
  <si>
    <t>HARP</t>
  </si>
  <si>
    <t>Manton</t>
  </si>
  <si>
    <t>Mandung - RC</t>
  </si>
  <si>
    <t>Mungji Pa Dabang (Catholic Church)</t>
  </si>
  <si>
    <t>Muse</t>
  </si>
  <si>
    <t>Muse Catholic Church</t>
  </si>
  <si>
    <t>Nam Hkam - Nay Win Ni (Palawng)</t>
  </si>
  <si>
    <t>Mungji Pa Dabang (Baptist Church)</t>
  </si>
  <si>
    <t>WHH</t>
  </si>
  <si>
    <t>Nam Hkawng</t>
  </si>
  <si>
    <t xml:space="preserve">Nam Hpak Ka Mare </t>
  </si>
  <si>
    <t>WHH(BMZ,AA)</t>
  </si>
  <si>
    <t>WHH(BMZ, AA)</t>
  </si>
  <si>
    <t>Hseni</t>
  </si>
  <si>
    <t>Nam Sa Larp</t>
  </si>
  <si>
    <t>Namtu</t>
  </si>
  <si>
    <t>Pan Ta Pyae</t>
  </si>
  <si>
    <t>Zup Aung Camp</t>
  </si>
  <si>
    <t>Other</t>
  </si>
  <si>
    <t>Kone Khem Camp</t>
  </si>
  <si>
    <t>Kutkai downtown (KBC Church)</t>
  </si>
  <si>
    <t xml:space="preserve">New Pang Ku </t>
  </si>
  <si>
    <t>Kyu Sot</t>
  </si>
  <si>
    <t>Lisu Church Namtu</t>
  </si>
  <si>
    <t xml:space="preserve">Mung Hawm </t>
  </si>
  <si>
    <t>Kutkai downtown (KBC Church-2)</t>
  </si>
  <si>
    <t>Nam Tu Baptist</t>
  </si>
  <si>
    <t>Mandung - Jinghpaw</t>
  </si>
  <si>
    <t>Mine Yu Lay village</t>
  </si>
  <si>
    <t>Muse Baptist Church</t>
  </si>
  <si>
    <t>Nam Hkam (KBC Jaw Wang) II</t>
  </si>
  <si>
    <t>WHH(BMZ, AA),ECHO</t>
  </si>
  <si>
    <t>Namhkan - Pang Long KBC</t>
  </si>
  <si>
    <t>Man Loi</t>
  </si>
  <si>
    <t>Hpai Kawng</t>
  </si>
  <si>
    <t>Hsipaw</t>
  </si>
  <si>
    <t>Man Kaung/Naung Ti Kyar Village</t>
  </si>
  <si>
    <t>Narte</t>
  </si>
  <si>
    <t>Hpai Kawng Mare</t>
  </si>
  <si>
    <t>Man Sa</t>
  </si>
  <si>
    <t>Mong Wee Shan</t>
  </si>
  <si>
    <t>Pan Law</t>
  </si>
  <si>
    <t>Nam Hkam (KBC Jaw Wang)</t>
  </si>
  <si>
    <t>Tsan Lun - Namjarap</t>
  </si>
  <si>
    <t>Kutkhai KBC-2 (Block-6)</t>
  </si>
  <si>
    <t>Jwan Jaw KBC</t>
  </si>
  <si>
    <t>Type of Accommodation</t>
  </si>
  <si>
    <t>HRP categories</t>
  </si>
  <si>
    <t>Current 4 W reported list</t>
  </si>
  <si>
    <t>Updated Date</t>
  </si>
  <si>
    <t>Site Name_(Old)</t>
  </si>
  <si>
    <t>Aung Mingalar_(Swan Saw ward)</t>
  </si>
  <si>
    <t>Closed Camp</t>
  </si>
  <si>
    <t>IDPs in collective centers or self-settled - pre existing</t>
  </si>
  <si>
    <t>Q1_2017</t>
  </si>
  <si>
    <t>B.E.H.S 2 (Ho Mun ward)</t>
  </si>
  <si>
    <t>B.E.H.S 4 (Ho Mun ward)</t>
  </si>
  <si>
    <t>Ban Hkung (School)</t>
  </si>
  <si>
    <t>Ban Hkung Yang</t>
  </si>
  <si>
    <t>Ban Hkung Yang (Boarding School)</t>
  </si>
  <si>
    <t>Daw Hpum Yang Ninghtawn</t>
  </si>
  <si>
    <t>Gant Gwin</t>
  </si>
  <si>
    <t>KBC (Ho Mun Ward)</t>
  </si>
  <si>
    <t>Lawk Awng Mare D. (Sinbo Area)</t>
  </si>
  <si>
    <t>Host Families</t>
  </si>
  <si>
    <t>IDPs in host families</t>
  </si>
  <si>
    <t>Lawk Hkawng Ginwang</t>
  </si>
  <si>
    <t>Injangyang</t>
  </si>
  <si>
    <t>Camp like setting</t>
  </si>
  <si>
    <t>Nam Hka Mare (west of Man Wing)</t>
  </si>
  <si>
    <t>NGCA</t>
  </si>
  <si>
    <t xml:space="preserve">Nam Hkam Malut Jak </t>
  </si>
  <si>
    <t>Q4_2016</t>
  </si>
  <si>
    <t>Nam Lim Pa    (Boarding School)</t>
  </si>
  <si>
    <t>Namt Hkun monastery</t>
  </si>
  <si>
    <t>Namtu KBC 1</t>
  </si>
  <si>
    <t>3/Jul/2017: Changed camp status as "Closed" according to the information of KBC. Note from KBC "Namtu KBC 1(MMR015CMP230) and Namtu KBC 2 (MMR015CMP231) are already integrated into the old camp ( Nam Tu Baptist (MMR015CMP014)".
17-01-2017: New added camp. Missing data will be collected from partners and present in next Report.</t>
  </si>
  <si>
    <t>Namtu KBC 2</t>
  </si>
  <si>
    <t>combined with KBC 1</t>
  </si>
  <si>
    <t>Namtu RC</t>
  </si>
  <si>
    <t>all IDPs returned home; open status in July 31 CCCM camp list</t>
  </si>
  <si>
    <t>Si Hkan Gyi</t>
  </si>
  <si>
    <t>St. Peter Church (Ho Mun ward)</t>
  </si>
  <si>
    <t>Thu Kha Waddy</t>
  </si>
  <si>
    <t xml:space="preserve">Wein Sai Church </t>
  </si>
  <si>
    <t>UNHCR</t>
  </si>
  <si>
    <t>Planned Camp</t>
  </si>
  <si>
    <t>Muslim</t>
  </si>
  <si>
    <t>Ward 6</t>
  </si>
  <si>
    <t>Self Settled Camp</t>
  </si>
  <si>
    <t>Village</t>
  </si>
  <si>
    <t xml:space="preserve">WASH - resettled, relocated, surrounding communities &amp; host communities </t>
  </si>
  <si>
    <t>Nga/Oke</t>
  </si>
  <si>
    <t xml:space="preserve">Kyauk Ta Lone </t>
  </si>
  <si>
    <t>Q2_2017</t>
  </si>
  <si>
    <t>MHDO updated</t>
  </si>
  <si>
    <t>Village_Not HRP</t>
  </si>
  <si>
    <t>Q3_2016</t>
  </si>
  <si>
    <t>Taik Maw(Tike Maw)</t>
  </si>
  <si>
    <t>Chin+Rakhine</t>
  </si>
  <si>
    <t>Nga Lat Kya</t>
  </si>
  <si>
    <t>Zu Kaing(Ka Zu Kaing)</t>
  </si>
  <si>
    <t>Kywi Pyin</t>
  </si>
  <si>
    <t>Chin</t>
  </si>
  <si>
    <t>Kyeik Chaung(Jade Chaung)</t>
  </si>
  <si>
    <t>Yaw Haung Ah Htet
(Ywar Haung)</t>
  </si>
  <si>
    <t>Nat Maw Upper + Nat Maw</t>
  </si>
  <si>
    <t>Nga Shwe Pyin</t>
  </si>
  <si>
    <t>Ah Ngu Ywar Haung</t>
  </si>
  <si>
    <t>Ah Ngu Ywar Thit</t>
  </si>
  <si>
    <t>Ohn Taw</t>
  </si>
  <si>
    <t>Aung Le Byin</t>
  </si>
  <si>
    <t>Pyin Taw Che</t>
  </si>
  <si>
    <t>Relocated</t>
  </si>
  <si>
    <t>Chin (Khame)</t>
  </si>
  <si>
    <t>Khame</t>
  </si>
  <si>
    <t>Chin (Rakhine)</t>
  </si>
  <si>
    <t>Taung Pyin</t>
  </si>
  <si>
    <t>Sin Tet Maw (from Nget Chaung)</t>
  </si>
  <si>
    <t>Sin Tet Maw (Nget Chaung)</t>
  </si>
  <si>
    <t xml:space="preserve">Pyar Tha Kywe </t>
  </si>
  <si>
    <t>Thit Khoke Taw</t>
  </si>
  <si>
    <t>Thit Khaung Taw</t>
  </si>
  <si>
    <t>Nget Chaung</t>
  </si>
  <si>
    <t>Gaung Hpyu</t>
  </si>
  <si>
    <t>Yet Chaung</t>
  </si>
  <si>
    <t>Dagon</t>
  </si>
  <si>
    <t>Pein Hne Chaung</t>
  </si>
  <si>
    <t>Painnal Chaung</t>
  </si>
  <si>
    <t>A Nauk Ywe</t>
  </si>
  <si>
    <t>Wet Gaung</t>
  </si>
  <si>
    <t>Pa Lin Pyin (Muslim)</t>
  </si>
  <si>
    <t>Basara</t>
  </si>
  <si>
    <t>Pa Lin Pyin (Rakhine, Fisher)</t>
  </si>
  <si>
    <t>Pa Lin Pyin (Rakhine, Main)</t>
  </si>
  <si>
    <t>Pyar Lay Chaung (New)</t>
  </si>
  <si>
    <t>Pyar Lay Chaung (Old)</t>
  </si>
  <si>
    <t>Ohn Yee Paw</t>
  </si>
  <si>
    <t>Maramargyi</t>
  </si>
  <si>
    <t>Thea Chaung  carpenter</t>
  </si>
  <si>
    <t>Kyauk Nga Nwar</t>
  </si>
  <si>
    <t>Sat Roe Kya</t>
  </si>
  <si>
    <t>Dohn Taik Kwin</t>
  </si>
  <si>
    <t>Done Dike Kwin host</t>
  </si>
  <si>
    <t>Thae Chaung (Kyaukphyu)</t>
  </si>
  <si>
    <t>Thea Chaung (IDPs from Kyaukphyu)*</t>
  </si>
  <si>
    <t>Thea Chaung Village</t>
  </si>
  <si>
    <t>Thea Chaung market</t>
  </si>
  <si>
    <t xml:space="preserve">Thea Chaung </t>
  </si>
  <si>
    <t>agencies gap,combine with village pop</t>
  </si>
  <si>
    <t>Dar Pai (IDP in host family)</t>
  </si>
  <si>
    <t>Ba Wan Chaung Wa Su</t>
  </si>
  <si>
    <t>agencies gap</t>
  </si>
  <si>
    <t>Ba Wunn Chaung Wa Su</t>
  </si>
  <si>
    <t>agencies gap,to ask SI to be splicted BDP1, BDP2</t>
  </si>
  <si>
    <t>Thet Kel Pyin</t>
  </si>
  <si>
    <t>Hmansi ( from Kaung Doke Khar)</t>
  </si>
  <si>
    <t>Baw Du Pha</t>
  </si>
  <si>
    <t>Kaung Doke Khar (excl. Hmanzi)</t>
  </si>
  <si>
    <t>Baw Du Pha (IDP in host family)</t>
  </si>
  <si>
    <t>Ohn Taw Gyi South</t>
  </si>
  <si>
    <t>Maw Ti Ngar (TKP west)</t>
  </si>
  <si>
    <t>Ohn Taw Gyi North</t>
  </si>
  <si>
    <t>Gwa Son</t>
  </si>
  <si>
    <t>Khwa Sone</t>
  </si>
  <si>
    <t>Phwe Yar Gone</t>
  </si>
  <si>
    <t>Kann Ni</t>
  </si>
  <si>
    <t>Nga/Pun Ywar Gyi</t>
  </si>
  <si>
    <t>Ah Haung Taung</t>
  </si>
  <si>
    <t>Ah Houng Taung</t>
  </si>
  <si>
    <t>Thin Pone Tan</t>
  </si>
  <si>
    <t>village</t>
  </si>
  <si>
    <t>Sa Par Htar</t>
  </si>
  <si>
    <t>Nat Seik</t>
  </si>
  <si>
    <t>Met Ka Lar Kya</t>
  </si>
  <si>
    <t>Returned</t>
  </si>
  <si>
    <t>Nyaung Pin Gyi</t>
  </si>
  <si>
    <t>Kyauk Seik</t>
  </si>
  <si>
    <t>Paik Thay</t>
  </si>
  <si>
    <t>Shwe Laung Tin</t>
  </si>
  <si>
    <t>Chait Taung - Tha Dar</t>
  </si>
  <si>
    <t>Mixed</t>
  </si>
  <si>
    <t>Chait Taung</t>
  </si>
  <si>
    <t>Shwe Zin Khin</t>
  </si>
  <si>
    <t>Chein Khar Li (Rakhine)</t>
  </si>
  <si>
    <t>old data update on 24.4.2017</t>
  </si>
  <si>
    <t>Chait Taung - San Htoe Tan</t>
  </si>
  <si>
    <t>Sam Ba Le</t>
  </si>
  <si>
    <t>Set Yone Maw</t>
  </si>
  <si>
    <t>Koe Tan Kauk (Rakhine)</t>
  </si>
  <si>
    <t>Let Than Chi (Tiit)</t>
  </si>
  <si>
    <t>Aung Taing</t>
  </si>
  <si>
    <t>Bucheung</t>
  </si>
  <si>
    <t>Da Pae</t>
  </si>
  <si>
    <t>Thi Kyar</t>
  </si>
  <si>
    <t>Yai-Thei-Thi Kyar</t>
  </si>
  <si>
    <t>Yai Thei-Muslim</t>
  </si>
  <si>
    <t>Yai Thei</t>
  </si>
  <si>
    <t>Kyun Paw (Pauk Taw)</t>
  </si>
  <si>
    <t>Auk Nan Yar</t>
  </si>
  <si>
    <t>Zay Di Pyin</t>
  </si>
  <si>
    <t>Pa Rein</t>
  </si>
  <si>
    <t>Pi Dauk Myaing</t>
  </si>
  <si>
    <t>Padauk Myaing</t>
  </si>
  <si>
    <t>Pu Yain Kone</t>
  </si>
  <si>
    <t>Doe Wai Chaung</t>
  </si>
  <si>
    <t>Sa Hpo Gyun</t>
  </si>
  <si>
    <t>Kyein Tan</t>
  </si>
  <si>
    <t>Kardi</t>
  </si>
  <si>
    <t>Raw Ma Ni Sin Oe</t>
  </si>
  <si>
    <t>Kyawe Lan Chaung</t>
  </si>
  <si>
    <t>Pet Kwet Seik</t>
  </si>
  <si>
    <t>Lan Paik Khwin</t>
  </si>
  <si>
    <t>Zan Kha Ma</t>
  </si>
  <si>
    <t>Prine Taung</t>
  </si>
  <si>
    <t>Not_HRP</t>
  </si>
  <si>
    <t>Oo Daung Ah Nauk Ywa</t>
  </si>
  <si>
    <t>Zumar Ywa</t>
  </si>
  <si>
    <t>Q3_2017</t>
  </si>
  <si>
    <t>CDN Updated, CLTS village</t>
  </si>
  <si>
    <t>Im Bar Yi</t>
  </si>
  <si>
    <t>Ah Htet See Maun</t>
  </si>
  <si>
    <t>Kaing Gyi</t>
  </si>
  <si>
    <t>Ah Pauk Wa Village</t>
  </si>
  <si>
    <t>U Saung Tan (lower)</t>
  </si>
  <si>
    <t>CDN Updated</t>
  </si>
  <si>
    <t>Kha Yai Myaing</t>
  </si>
  <si>
    <t>Ashit Ywa</t>
  </si>
  <si>
    <t>A Nauk Ywa</t>
  </si>
  <si>
    <t>Ywa Gyi</t>
  </si>
  <si>
    <t>Middle</t>
  </si>
  <si>
    <t>Tha Yet Oke Ywar Thit</t>
  </si>
  <si>
    <t xml:space="preserve">M </t>
  </si>
  <si>
    <t>Taung Pine Nyar</t>
  </si>
  <si>
    <t>Ywa Haung</t>
  </si>
  <si>
    <t>Nidin</t>
  </si>
  <si>
    <t>Ni Din</t>
  </si>
  <si>
    <t>Play Taung South</t>
  </si>
  <si>
    <t>Kyet Mauk Taung Myuak</t>
  </si>
  <si>
    <t>Than Chay  RK</t>
  </si>
  <si>
    <t>Ah Lel Kyun</t>
  </si>
  <si>
    <t>Ah Lel</t>
  </si>
  <si>
    <t>Taung Bwe</t>
  </si>
  <si>
    <t>Daing Net</t>
  </si>
  <si>
    <t>Myaunk Ywa_M</t>
  </si>
  <si>
    <t>Rakhine/Dinet</t>
  </si>
  <si>
    <t>Tha Pon</t>
  </si>
  <si>
    <t>Muslim (Myaunk Ywa)</t>
  </si>
  <si>
    <t>Ba Gone Nar</t>
  </si>
  <si>
    <t>Thar Yar Koung</t>
  </si>
  <si>
    <t>Thet Kaing Ngyar (Thet Kaing Ngyar)</t>
  </si>
  <si>
    <t>Thet Kaing Ngyar (Thet Ywa)</t>
  </si>
  <si>
    <t>Kaung Maung Seik</t>
  </si>
  <si>
    <t>Ah Shey Kha Maung Seik</t>
  </si>
  <si>
    <t>NSS WASH cluster comment: camp closed by end of Mar'17. open status in July 31 CCCM camp list</t>
  </si>
  <si>
    <t>Man Kaung village</t>
  </si>
  <si>
    <t>NSS WASH Cluster comments:Metta distributed hygiene kit in Apr'17 but no assessment done for other WASH needs. Water supply and latrines shared with host families. Metta could cover latrine construction if needed.</t>
  </si>
  <si>
    <t>Nam Tu RC</t>
  </si>
  <si>
    <t xml:space="preserve">Shwe Myint Thar Monastery </t>
  </si>
  <si>
    <t>2/June/2017: Changed camp status as "Closed" according to UNHCR_Lashio information. IDPs are moved to Kyu Sot camp</t>
  </si>
  <si>
    <t>Village Type Camp</t>
  </si>
  <si>
    <t xml:space="preserve">Mungji Pa Dabang (Baptist Church)         </t>
  </si>
  <si>
    <t>27/Apr/2017: Changed camp status as "Closed", Data source: KBC.</t>
  </si>
  <si>
    <t>6/April/2017: New Added camp. Data source: UNOCHA, Partners and CCCM.</t>
  </si>
  <si>
    <t xml:space="preserve">Mungji Pa Dabang (RC Church)         </t>
  </si>
  <si>
    <t>NSS WASH Cluster comments:land space very limited for infra; IDPs stay with and share WASH facilities from host families.</t>
  </si>
  <si>
    <t>Mong Wee Ta'ang</t>
  </si>
  <si>
    <t>Nam Lim Pa</t>
  </si>
  <si>
    <t>Nam Lim Pa - Scattered IDPs in forest</t>
  </si>
  <si>
    <t>Man Wing Host Families</t>
  </si>
  <si>
    <t>Clutural Compound</t>
  </si>
  <si>
    <t>MWG -RC2</t>
  </si>
  <si>
    <t>Bang Lung</t>
  </si>
  <si>
    <t>Jaw 2</t>
  </si>
  <si>
    <t>NSS WASH Cluster comments: Metta distributed hygiene kit in Apr'17 but no assessment done for other WASH needs.</t>
  </si>
  <si>
    <t xml:space="preserve">Lagatyan </t>
  </si>
  <si>
    <t>Lung Kawk  ( Hka Hkye Zup)</t>
  </si>
  <si>
    <t>Howa</t>
  </si>
  <si>
    <t>Nam Hkyet</t>
  </si>
  <si>
    <t>Maing Khaung KBC 2</t>
  </si>
  <si>
    <t>SI did emergency response</t>
  </si>
  <si>
    <t>Bum Tsit Pa * (2)</t>
  </si>
  <si>
    <t>Muse KBC Church</t>
  </si>
  <si>
    <t>Muse RC Church</t>
  </si>
  <si>
    <t xml:space="preserve">Mung Baw </t>
  </si>
  <si>
    <t>Munekoe Pa (Giwang) - Hka San (Mung  Go  Pa )</t>
  </si>
  <si>
    <t xml:space="preserve">Munekoe Pa (Giwang) - Hka San (Mung  Go  Pa ) </t>
  </si>
  <si>
    <t>Mansi_Host Families</t>
  </si>
  <si>
    <t>Updated Date 11/7/17:Not known</t>
  </si>
  <si>
    <t>Mansi Host Families</t>
  </si>
  <si>
    <t>Man Kawng Baptist Church</t>
  </si>
  <si>
    <t>Camp close in CCCM list but WASH agencies presence</t>
  </si>
  <si>
    <t>Man Kawng Catholic Church</t>
  </si>
  <si>
    <t>Mung Ding Pa  (Boarder)</t>
  </si>
  <si>
    <t>Shwegu_Host Families</t>
  </si>
  <si>
    <t>Updated Date 11/7/17:Not known; Changed to Closed status in July 31 camp list,WC does not include in Q3 2017 report</t>
  </si>
  <si>
    <t>Momauk_Host Families</t>
  </si>
  <si>
    <t>Momauk Host Families</t>
  </si>
  <si>
    <t>Momauk Catholic Church (St. Patrick)</t>
  </si>
  <si>
    <t>Ni Thaw Ka Monestry</t>
  </si>
  <si>
    <t>Kannar Yeik Thar</t>
  </si>
  <si>
    <t>Bhamo_Host Families</t>
  </si>
  <si>
    <t>Updated Date 11/7/17:Not known and did not identify among WASH partners</t>
  </si>
  <si>
    <t>Ta Gun Taing Monastery (Shwe Kyi Na)</t>
  </si>
  <si>
    <t>Khun Sint Village</t>
  </si>
  <si>
    <t>Updated date 11/7/2017: Not known</t>
  </si>
  <si>
    <t xml:space="preserve">Myo Thit </t>
  </si>
  <si>
    <t>Updated Date 11/7/2017 : not known</t>
  </si>
  <si>
    <t xml:space="preserve">Man Nawng </t>
  </si>
  <si>
    <t>Updated Date 11/7/2017 : not known;Changed to Closed status in July 31 camp list,WC does not include in Q3 2017 report</t>
  </si>
  <si>
    <t xml:space="preserve">Mai Khat </t>
  </si>
  <si>
    <t>Updated Date 11/7/2017 : not known;Changed to Closed status in July 31 camp list, WC does not include in Q3 2017 report</t>
  </si>
  <si>
    <t xml:space="preserve">Tarli </t>
  </si>
  <si>
    <t>Dawthponeyan Boarding School</t>
  </si>
  <si>
    <t>Updated date 11/7/2017: already moved to other place;Changed to Closed status in July 31 camp list</t>
  </si>
  <si>
    <t xml:space="preserve">Phar Kay/Nant Waing </t>
  </si>
  <si>
    <t>Updated Date 11/7/2017 : not known;Changed to Closed status in July 31 camp list;Changed to Closed status in July 31 camp list,WC does not include in Q3 2017 report</t>
  </si>
  <si>
    <t>Laiza Market 3 - Laiza Gat</t>
  </si>
  <si>
    <t>Laiza Market 3 / Laiza Gat</t>
  </si>
  <si>
    <t>Boarding School</t>
  </si>
  <si>
    <t>Man Ting</t>
  </si>
  <si>
    <t>Updated Date 11/7/2017 : not known; Changed to Closed status in July 31 camp list,WC does not include in Q3 2017 report,WC does not include in Q3 2017 report</t>
  </si>
  <si>
    <t>Moenyin Host Families</t>
  </si>
  <si>
    <t>Updated date 11/7/2017: IDP families live in host community</t>
  </si>
  <si>
    <t>Village Type camp</t>
  </si>
  <si>
    <t>Pajau / Jan Mai</t>
  </si>
  <si>
    <t>Hopin Host Families</t>
  </si>
  <si>
    <t>Nant Mun</t>
  </si>
  <si>
    <t>Nawng Ing (Indawgyi) Baptist Church</t>
  </si>
  <si>
    <t>Zai Awng - Mung Ga Zup</t>
  </si>
  <si>
    <t>Zai Awng / Mung Ga Zup</t>
  </si>
  <si>
    <t>Laiza Muklum Hpyen  Yen Mungshawa ni</t>
  </si>
  <si>
    <t>Sar Hmaw - ICM</t>
  </si>
  <si>
    <t>intervention finished;Changed to Closed status in July 31 camp list</t>
  </si>
  <si>
    <t>Sar Maw-ICM</t>
  </si>
  <si>
    <t>Hka Shi</t>
  </si>
  <si>
    <t>2/June/2017: New added camp. Data source: WASH cluster, WV (World Vision). SI did emergency response</t>
  </si>
  <si>
    <t>Waingmaw Baptist Zonal Office</t>
  </si>
  <si>
    <t>intervention finished</t>
  </si>
  <si>
    <t>Wun Tho Buddhist Monastery</t>
  </si>
  <si>
    <t>Changed to Closed status in July 31 camp list</t>
  </si>
  <si>
    <t>Myay Myint Baptist Church</t>
  </si>
  <si>
    <t>Sadung</t>
  </si>
  <si>
    <t>Du Kahtawng Qtr. 14, 4 and 5 is combined into Du Kahtawng Baptist in 31st CCCM camp list</t>
  </si>
  <si>
    <t>Du Kahtawng Qtr. 4</t>
  </si>
  <si>
    <t>Du Kahtawng Qtr. 5</t>
  </si>
  <si>
    <t>Du Kahtawng Qtr. 14</t>
  </si>
  <si>
    <t>Tat Kone COC Baptist / Tat Kone Htoi San</t>
  </si>
  <si>
    <t>Ward 2 Cahotlic Church, Seik Mu</t>
  </si>
  <si>
    <t xml:space="preserve">Pan Wa (Saw Zam) camp </t>
  </si>
  <si>
    <t>5 Ward Baptist Church(lon Khin)</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</si>
  <si>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t>
  </si>
  <si>
    <t>Muring Baptist Church, Awng Ra, Wa Ra Zut VT</t>
  </si>
  <si>
    <t>Baptist Church, Sai Ra village</t>
  </si>
  <si>
    <t xml:space="preserve">Lan Jaw </t>
  </si>
  <si>
    <t>Updated date 11/7/1017:Not known and did not identify among WASH partners; Changed to Closed status in July 31 camp list,WC does not include in Q3 2017 report</t>
  </si>
  <si>
    <t>Baptist Church, Naung Hmee VT</t>
  </si>
  <si>
    <t>Ku Day Maw KBC</t>
  </si>
  <si>
    <t>Wara Zup KBC Church</t>
  </si>
  <si>
    <t>Updated date 11/7/2017: KBC has a plan to implement this location through ADRA; Changed to Closed status in July 31 camp list,WC does not include in Q3 2017 report</t>
  </si>
  <si>
    <t>A Lo Taw Pyae monastery</t>
  </si>
  <si>
    <t>Thar Ta Na Aung San monastery</t>
  </si>
  <si>
    <t>Updated date 11/7/2017: there is no camp</t>
  </si>
  <si>
    <t>Ndup Yang 1</t>
  </si>
  <si>
    <t>La Ja</t>
  </si>
  <si>
    <t>Khaunglanhpu</t>
  </si>
  <si>
    <t>Inn Lel Yan - Host Families</t>
  </si>
  <si>
    <t>Updated date 11/7/2017: KBC implement this camp since 2014 and some IDP families moved to other camps</t>
  </si>
  <si>
    <t>Naung Khaing</t>
  </si>
  <si>
    <t>Machanbaw - KBC</t>
  </si>
  <si>
    <t>Machanbaw</t>
  </si>
  <si>
    <t>Machanbaw-KBC</t>
  </si>
  <si>
    <t>Tote Tan Ward</t>
  </si>
  <si>
    <t>Updated date 11/7/2017: already moved to other place</t>
  </si>
  <si>
    <t>Lone Sut</t>
  </si>
  <si>
    <t>6/May/2017: New added camp. Data source: KBC. Camp was confirmed by CCCM unit. The missing informaiton will be updated as soon as possible.</t>
  </si>
  <si>
    <t>(Nam Hoi) Host families</t>
  </si>
  <si>
    <t>Namtu (Nam Hoi) Host families</t>
  </si>
  <si>
    <t>AD-2000 Extension camp</t>
  </si>
  <si>
    <t>camp</t>
  </si>
  <si>
    <t>AG Church Pa Ma Tee</t>
  </si>
  <si>
    <t>opening date: 16/8/17 and updated date in CCCM list: 31/8/17 ; New displacement from Ka Sung,not yet updated in Q3 4W</t>
  </si>
  <si>
    <t>not found in camp list. Partners said sub-camp of momauk baptist church</t>
  </si>
  <si>
    <t>Aung Thay Pyay (San Suri))</t>
  </si>
  <si>
    <t>Aung Zay Gone</t>
  </si>
  <si>
    <t>Baw Du Pha Village</t>
  </si>
  <si>
    <t>Bhamo Host Families</t>
  </si>
  <si>
    <t>not found in camp list</t>
  </si>
  <si>
    <t>Bum Tsit Pa * (3)</t>
  </si>
  <si>
    <t>Chin Ywar</t>
  </si>
  <si>
    <t>Chipwi (School coumpound)</t>
  </si>
  <si>
    <t>School</t>
  </si>
  <si>
    <t>Doke Htan Ward</t>
  </si>
  <si>
    <t>Hpaung Taw Pyin</t>
  </si>
  <si>
    <t>Ka Bu Dam CoC</t>
  </si>
  <si>
    <t>Opening date: 7/13/2017 and updated date in CCCM list: not yet updated in Q3 4W</t>
  </si>
  <si>
    <t>Kutkai (host High School)</t>
  </si>
  <si>
    <t>Opeing date: 1/6/2017 and updated date in CCCM list: 31/7/2017 ; 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t>
  </si>
  <si>
    <t>Lisu Baptist Church</t>
  </si>
  <si>
    <t>Loi Je Lisu (2) Camp</t>
  </si>
  <si>
    <t>Loi Je Lisu  (2) Camp</t>
  </si>
  <si>
    <t>Loi Je Lisu (3) Camp</t>
  </si>
  <si>
    <t>Loi Je Lisu  (3) Camp</t>
  </si>
  <si>
    <t>Loi Je Lisu (4) Camp</t>
  </si>
  <si>
    <t>Loi Je Lisu  (4) Camp</t>
  </si>
  <si>
    <t>Loi Je RC Boarding School</t>
  </si>
  <si>
    <t>Man Wing Baptist Church Boarding House</t>
  </si>
  <si>
    <t>Man wing gyi (host school)</t>
  </si>
  <si>
    <t>Mong Wee - Shan</t>
  </si>
  <si>
    <t>Muslim
 (Aley Ywa)</t>
  </si>
  <si>
    <t>Muslim
 (Taung Ywa)</t>
  </si>
  <si>
    <t>Muslim
 (Myaunk Ywa)</t>
  </si>
  <si>
    <t>Nam Hpak Ka (Man Mau host school)</t>
  </si>
  <si>
    <t>Nampaka (Man Mau host school)</t>
  </si>
  <si>
    <t>Namti</t>
  </si>
  <si>
    <t>opening date: 16/8/17 and updated date in CCCM list: 31/8/17 ; Displacement out of Ka Sung,not yet updated in Q3 4W</t>
  </si>
  <si>
    <t>Ndup Yang 2</t>
  </si>
  <si>
    <t>N-Lwe Yan</t>
  </si>
  <si>
    <t>Ohnmadee monastery</t>
  </si>
  <si>
    <t>Naung Cho</t>
  </si>
  <si>
    <t>Pa Kahtawng 1B</t>
  </si>
  <si>
    <t>Pa Kahtawng 2</t>
  </si>
  <si>
    <t xml:space="preserve">Pa Kahtawng Boarding High School </t>
  </si>
  <si>
    <t xml:space="preserve">Pa Kahtawng Boarding Middle School </t>
  </si>
  <si>
    <t>Pa Kahtawng Host Families</t>
  </si>
  <si>
    <t>Pa Kahtawng Primary House</t>
  </si>
  <si>
    <t>Paung Mae</t>
  </si>
  <si>
    <t>Rakhine Ywa_M</t>
  </si>
  <si>
    <t>6/June/2017: Added as new camp instead of Zai Awng - Mung Ga Zup camp because of the conflict on Dec, 2016. So IDPs ( from Zai Awng - Mung Ga Zup ) flew to Lung Byen. They stay awhile at Lung Byen and then they moved to Shait Yang on 17 Jan 2017. Changed the camp name as "Shait Yan</t>
  </si>
  <si>
    <t>Shwe Zin Khin (Ku Lar)</t>
  </si>
  <si>
    <t>Shwegu Host Families</t>
  </si>
  <si>
    <t>Tanai</t>
  </si>
  <si>
    <t>Opeing date: 1/6/2017 and updated date in CCCM list: 29/6/2017;not yet updated in Q3 4W</t>
  </si>
  <si>
    <t>Tanai CoC</t>
  </si>
  <si>
    <t>Opeing date: 1/6/2017 and updated date in CCCM list: 29/6/2017; not yet updated in Q3 4W</t>
  </si>
  <si>
    <t xml:space="preserve">Tanai RC Church - Kinsa Ra </t>
  </si>
  <si>
    <t>Tat Kone (Ra Da Kawng)</t>
  </si>
  <si>
    <t>Taung Oo Maw</t>
  </si>
  <si>
    <t>Thet Kel Pyin Village</t>
  </si>
  <si>
    <t>Thit Tone Na Gwa Sone (HlaeMro)</t>
  </si>
  <si>
    <t>Vote Par Yone monastery</t>
  </si>
  <si>
    <t>Kah Mee</t>
  </si>
  <si>
    <t>West</t>
  </si>
  <si>
    <t>CAMP</t>
  </si>
  <si>
    <t>Zupyan camp</t>
  </si>
  <si>
    <t>new camp added in 30/9/2017</t>
  </si>
  <si>
    <t>V6</t>
  </si>
  <si>
    <t>V19</t>
  </si>
  <si>
    <t>V24</t>
  </si>
  <si>
    <t>For Township dropdown</t>
  </si>
  <si>
    <t>Dropdown</t>
  </si>
  <si>
    <t>Wash focal point Agency</t>
  </si>
  <si>
    <t># work days (approx) lost in this site due to access restrictions</t>
  </si>
  <si>
    <t>WASH Committee part of camp management structures</t>
  </si>
  <si>
    <t>Primary Donor covering WASH activities at site</t>
  </si>
  <si>
    <t>Expected end of funding for WASH activties at site</t>
  </si>
  <si>
    <t xml:space="preserve">% of women on camp WASH committee </t>
  </si>
  <si>
    <t># Functioning protected open wells (without hand pump)</t>
  </si>
  <si>
    <t># functional wells/boreholes (with hand pump)</t>
  </si>
  <si>
    <t xml:space="preserve"># functional tapstands </t>
  </si>
  <si>
    <t>Litres/Day provided with Overhead or storage tank with reticulation/ Water  gravity system
based on SPHERE standard ( 15L/P/D : 8 hr tapstand open)</t>
  </si>
  <si>
    <t>% of E-Coli  Water quality test result
(@ water source or HH level)</t>
  </si>
  <si>
    <t xml:space="preserve"># water points managed by families or small group of families </t>
  </si>
  <si>
    <t># latrines functional &amp; appropriate</t>
  </si>
  <si>
    <t># Latrines requiring urgent desludging</t>
  </si>
  <si>
    <t xml:space="preserve"># Latrines managed by families or small group of families </t>
  </si>
  <si>
    <t>Is there an effective solid waste management system in place</t>
  </si>
  <si>
    <t>Does the camp have drainage of surface water</t>
  </si>
  <si>
    <t>% HHs with access to functional hand washing station  (communal or HHs level)</t>
  </si>
  <si>
    <t>Handwashing approch to camp - household, communal, or both?</t>
  </si>
  <si>
    <t xml:space="preserve"># of individual bathing spaces functional </t>
  </si>
  <si>
    <t xml:space="preserve"># Hygiene Promoters </t>
  </si>
  <si>
    <t xml:space="preserve">% of HHs with access to sufficient soap (250g/ person/month) </t>
  </si>
  <si>
    <t>State_list</t>
  </si>
  <si>
    <t>TSps</t>
  </si>
  <si>
    <t>2013_Q4</t>
  </si>
  <si>
    <t>ABCD</t>
  </si>
  <si>
    <t>2014_Q1</t>
  </si>
  <si>
    <t>Not_Functional</t>
  </si>
  <si>
    <t>2014_Q2</t>
  </si>
  <si>
    <t>ACF, CDN</t>
  </si>
  <si>
    <t>AusAid</t>
  </si>
  <si>
    <t>2014_Q4</t>
  </si>
  <si>
    <t>ACTED</t>
  </si>
  <si>
    <t>2015_Q1</t>
  </si>
  <si>
    <t>Arche nova</t>
  </si>
  <si>
    <t>CIDA</t>
  </si>
  <si>
    <t>2015_Q2</t>
  </si>
  <si>
    <t>DANIDA</t>
  </si>
  <si>
    <t>2015_Q3</t>
  </si>
  <si>
    <t>CARE, CDN</t>
  </si>
  <si>
    <t>DFAT</t>
  </si>
  <si>
    <t>2015_Q4</t>
  </si>
  <si>
    <t>CDN, MA_UK</t>
  </si>
  <si>
    <t>2016_Q1</t>
  </si>
  <si>
    <t>Cesvi</t>
  </si>
  <si>
    <t>2016_Q2</t>
  </si>
  <si>
    <t>Cesvi, SI</t>
  </si>
  <si>
    <t>2016_Q3</t>
  </si>
  <si>
    <t>CNN</t>
  </si>
  <si>
    <t>Nawngmun</t>
  </si>
  <si>
    <t>2016_Q4</t>
  </si>
  <si>
    <t>2017_Q1</t>
  </si>
  <si>
    <t>DRD</t>
  </si>
  <si>
    <t>2017_Q2</t>
  </si>
  <si>
    <t>IRC</t>
  </si>
  <si>
    <t>2017_Q3</t>
  </si>
  <si>
    <t>Tsawlaw</t>
  </si>
  <si>
    <t>2018_Q1</t>
  </si>
  <si>
    <t>KMSS, KBC-HDD-NSS</t>
  </si>
  <si>
    <t>FCA</t>
  </si>
  <si>
    <t>KMSS, Metta</t>
  </si>
  <si>
    <t>France</t>
  </si>
  <si>
    <t>KMSS, SCI</t>
  </si>
  <si>
    <t>KMSS, KBC</t>
  </si>
  <si>
    <t>Gwa</t>
  </si>
  <si>
    <t>HIDA</t>
  </si>
  <si>
    <t>MDCG</t>
  </si>
  <si>
    <t>Merlin</t>
  </si>
  <si>
    <t>Metta, ICRC</t>
  </si>
  <si>
    <t>OCHA</t>
  </si>
  <si>
    <t>Munaung</t>
  </si>
  <si>
    <t>Metta, KBC-HDD-NSS</t>
  </si>
  <si>
    <t>Metta, KBC-HDD-NSS, KMSS</t>
  </si>
  <si>
    <t>Metta, SI</t>
  </si>
  <si>
    <t>MSF</t>
  </si>
  <si>
    <t>Thandwe</t>
  </si>
  <si>
    <t>ICRC</t>
  </si>
  <si>
    <t>Toungup</t>
  </si>
  <si>
    <t>Myauk Ywa (Kyet Mauk Taung)</t>
  </si>
  <si>
    <t>Aik Chan (Ai' Chun)</t>
  </si>
  <si>
    <t>Oxfam, MA_UK</t>
  </si>
  <si>
    <t>Chinshwehaw Sub-township (Kokang SAZ)</t>
  </si>
  <si>
    <t>Oxfam, KMSS</t>
  </si>
  <si>
    <t>Hkun Mar (Hkwin Ma)</t>
  </si>
  <si>
    <t>PLAN</t>
  </si>
  <si>
    <t>Hopang</t>
  </si>
  <si>
    <t>Hsawng Hpa (Saun Pha)</t>
  </si>
  <si>
    <t>SCI, MA_UK</t>
  </si>
  <si>
    <t>SCI, KBC-HDD-NSS</t>
  </si>
  <si>
    <t>Ka Lawng Hpar</t>
  </si>
  <si>
    <t>SCI, KMSS</t>
  </si>
  <si>
    <t>Kawng Min Hsang</t>
  </si>
  <si>
    <t>Konkyan</t>
  </si>
  <si>
    <t>Konkyan (Kokang SAZ)</t>
  </si>
  <si>
    <t>SI, MA_UK</t>
  </si>
  <si>
    <t>Kunlong</t>
  </si>
  <si>
    <t>SI, KBC</t>
  </si>
  <si>
    <t>Kyaukme</t>
  </si>
  <si>
    <t>Lashio</t>
  </si>
  <si>
    <t>Laukkaing</t>
  </si>
  <si>
    <t>Laukkaing (Kokang SAZ)</t>
  </si>
  <si>
    <t>Lin Haw</t>
  </si>
  <si>
    <t>Long Htan</t>
  </si>
  <si>
    <t>Mabein</t>
  </si>
  <si>
    <t>Man Man Hseng</t>
  </si>
  <si>
    <t>Man Tun</t>
  </si>
  <si>
    <t>Matman</t>
  </si>
  <si>
    <t>Mongmao</t>
  </si>
  <si>
    <t>Mongmit</t>
  </si>
  <si>
    <t>Mongyai</t>
  </si>
  <si>
    <t>Nam Tit</t>
  </si>
  <si>
    <t>Namhsan</t>
  </si>
  <si>
    <t>Nar Kawng</t>
  </si>
  <si>
    <t>Nar Wee (Na Wi)</t>
  </si>
  <si>
    <t>Narphan</t>
  </si>
  <si>
    <t>Nawng Hkit</t>
  </si>
  <si>
    <t>Nawnghkio</t>
  </si>
  <si>
    <t>Pang Hkam</t>
  </si>
  <si>
    <t>Pang Yang</t>
  </si>
  <si>
    <t>Pangsang</t>
  </si>
  <si>
    <t>Pangwaun</t>
  </si>
  <si>
    <t>Tangyan</t>
  </si>
  <si>
    <t>Yawng Lin</t>
  </si>
  <si>
    <t>Yin Pang</t>
  </si>
  <si>
    <t>ANauk Ywa</t>
  </si>
  <si>
    <t>Myaunk Ywa</t>
  </si>
  <si>
    <t xml:space="preserve">Thet Kel Pyin </t>
  </si>
  <si>
    <t>AD-2000 Tharthana Compound*</t>
  </si>
  <si>
    <t>Phan Khar Kone*</t>
  </si>
  <si>
    <t>Robert Church*</t>
  </si>
  <si>
    <t>Pan Ku</t>
  </si>
  <si>
    <t>Bum Tsit Pa * (1)</t>
  </si>
  <si>
    <t>Lana Zup Ja *</t>
  </si>
  <si>
    <t>Maing Khaung Baptist Church</t>
  </si>
  <si>
    <t>Man Wing Baptist Church*</t>
  </si>
  <si>
    <t>Man Wing Catholic Church*</t>
  </si>
  <si>
    <t>Mansi Baptist Church*</t>
  </si>
  <si>
    <t xml:space="preserve">Nawng Ing (Indawgyi) Baptist Church  </t>
  </si>
  <si>
    <t>Loi Je Lisu  (1) Camp</t>
  </si>
  <si>
    <t xml:space="preserve">Loi Je Nyaung Na Pin </t>
  </si>
  <si>
    <t xml:space="preserve">Loi Je Seng Ja </t>
  </si>
  <si>
    <t>Pa Kahtawng 1 A</t>
  </si>
  <si>
    <t>Nam Hkawng/Manaung kaung</t>
  </si>
  <si>
    <t>Namtu Baptist</t>
  </si>
  <si>
    <t>Woi Chyai  host families</t>
  </si>
  <si>
    <t>Parameter/Assumptions</t>
  </si>
  <si>
    <t>V29</t>
  </si>
  <si>
    <t>V30</t>
  </si>
  <si>
    <t>V31</t>
  </si>
  <si>
    <t>V32</t>
  </si>
  <si>
    <t>V33</t>
  </si>
  <si>
    <t>V34</t>
  </si>
  <si>
    <t>V35</t>
  </si>
  <si>
    <t>V36</t>
  </si>
  <si>
    <t>V37</t>
  </si>
  <si>
    <t>V38</t>
  </si>
  <si>
    <t>HRP 1</t>
  </si>
  <si>
    <t>HRP 2</t>
  </si>
  <si>
    <t>Chauk Maing</t>
  </si>
  <si>
    <t>Pang Kawng</t>
  </si>
  <si>
    <t xml:space="preserve">Mai Ja Yang </t>
  </si>
  <si>
    <t xml:space="preserve">New Lana Zup Ja </t>
  </si>
  <si>
    <t>MMR015CMP237</t>
  </si>
  <si>
    <t>MMR015CMP241</t>
  </si>
  <si>
    <t>MMR015CMP242</t>
  </si>
  <si>
    <t>MMR001CMP215</t>
  </si>
  <si>
    <t>MMR001CMP216</t>
  </si>
  <si>
    <t>MMR001CMP214</t>
  </si>
  <si>
    <t>MMR001CMP153</t>
  </si>
  <si>
    <t>MMR001CMP046</t>
  </si>
  <si>
    <t>KMSS-MYT</t>
  </si>
  <si>
    <t>MMR015CMP236</t>
  </si>
  <si>
    <t>MMR015CMP233</t>
  </si>
  <si>
    <t>MMR001CMP147</t>
  </si>
  <si>
    <t>MMR001CMP146</t>
  </si>
  <si>
    <t>MMR015CMP232</t>
  </si>
  <si>
    <t>KMSS-LSO</t>
  </si>
  <si>
    <t>MMR015CMP222</t>
  </si>
  <si>
    <t>MMR001CMP136</t>
  </si>
  <si>
    <t>MMR015CMP002</t>
  </si>
  <si>
    <t>MMR015CMP139</t>
  </si>
  <si>
    <t>MMR001CMP209</t>
  </si>
  <si>
    <t>MMR015CMP238</t>
  </si>
  <si>
    <t>MMR015CMP230</t>
  </si>
  <si>
    <t>MMR015CMP231</t>
  </si>
  <si>
    <t>MMR015CMP229</t>
  </si>
  <si>
    <t>MMR001CMP219</t>
  </si>
  <si>
    <t>MMR015CMP239</t>
  </si>
  <si>
    <t>MMR001CMP211</t>
  </si>
  <si>
    <t>MMR015CMP243</t>
  </si>
  <si>
    <t>MMR012CMP037</t>
  </si>
  <si>
    <t>MMR012CMP038</t>
  </si>
  <si>
    <t>MMR012CMP036</t>
  </si>
  <si>
    <t>MMR012CMP035</t>
  </si>
  <si>
    <t>MMR012CMP014</t>
  </si>
  <si>
    <t>MMR012CMP013</t>
  </si>
  <si>
    <t>MMR012CMP019</t>
  </si>
  <si>
    <t>MMR012CMP096</t>
  </si>
  <si>
    <t>MMR012CMP017</t>
  </si>
  <si>
    <t>MMR012CMP018</t>
  </si>
  <si>
    <t>MMR012CMP016</t>
  </si>
  <si>
    <t>MMR012CMP039</t>
  </si>
  <si>
    <t>MMR012CMP056</t>
  </si>
  <si>
    <t>MMR012CMP105</t>
  </si>
  <si>
    <t>MMR012CMP111</t>
  </si>
  <si>
    <t>MMR012CMP112</t>
  </si>
  <si>
    <t>MMR012CMP057</t>
  </si>
  <si>
    <t>MMR012CMP093</t>
  </si>
  <si>
    <t>MMR012CMP047</t>
  </si>
  <si>
    <t>MMR012CMP046</t>
  </si>
  <si>
    <t>MMR012CMP097</t>
  </si>
  <si>
    <t>MMR012CMP041</t>
  </si>
  <si>
    <t>MMR012CMP015</t>
  </si>
  <si>
    <t>MMR012CMP113</t>
  </si>
  <si>
    <t>MMR012CMP048</t>
  </si>
  <si>
    <t>MMR012CMP040</t>
  </si>
  <si>
    <t>MMR012CMP114</t>
  </si>
  <si>
    <t>MMR012CMP091</t>
  </si>
  <si>
    <t>MMR012CMP042</t>
  </si>
  <si>
    <t>MMR012CMP103</t>
  </si>
  <si>
    <t>MMR012CMP116</t>
  </si>
  <si>
    <t>MMR012CMP092</t>
  </si>
  <si>
    <t>MMR012CMP115</t>
  </si>
  <si>
    <t>MMR012CMP045</t>
  </si>
  <si>
    <t>MMR012CMP098</t>
  </si>
  <si>
    <t>MMR012CMP031</t>
  </si>
  <si>
    <t>MMR012CMP001</t>
  </si>
  <si>
    <t>MMR012CMP002</t>
  </si>
  <si>
    <t>MMR012CMP003</t>
  </si>
  <si>
    <t>MMR012CMP032</t>
  </si>
  <si>
    <t>MMR012CMP008</t>
  </si>
  <si>
    <t>MMR012CMP033</t>
  </si>
  <si>
    <t>MMR012CMP104</t>
  </si>
  <si>
    <t>MMR012CMP110</t>
  </si>
  <si>
    <t>MMR012CMP006</t>
  </si>
  <si>
    <t>MMR012CMP117</t>
  </si>
  <si>
    <t>MMR012CMP010</t>
  </si>
  <si>
    <t>MMR012CMP034</t>
  </si>
  <si>
    <t>MMR012CMP009</t>
  </si>
  <si>
    <t>MMR012CMP005</t>
  </si>
  <si>
    <t>MMR012CMP012</t>
  </si>
  <si>
    <t>MMR012CMP026</t>
  </si>
  <si>
    <t>MMR012CMP027</t>
  </si>
  <si>
    <t>MMR012CMP109</t>
  </si>
  <si>
    <t>MMR012CMP088</t>
  </si>
  <si>
    <t>MMR012CMP024</t>
  </si>
  <si>
    <t>MMR012CMP028</t>
  </si>
  <si>
    <t>MMR012CMP029</t>
  </si>
  <si>
    <t>MMR012CMP020</t>
  </si>
  <si>
    <t>MMR012CMP084</t>
  </si>
  <si>
    <t>MMR012CMP086</t>
  </si>
  <si>
    <t>MMR012CMP082</t>
  </si>
  <si>
    <t>MMR012CMP085</t>
  </si>
  <si>
    <t>MMR012CMP083</t>
  </si>
  <si>
    <t>MMR012CMP095</t>
  </si>
  <si>
    <t>MMR012CMP023</t>
  </si>
  <si>
    <t>MMR012CMP030</t>
  </si>
  <si>
    <t>MMR012CMP025</t>
  </si>
  <si>
    <t>MMR012CMP022</t>
  </si>
  <si>
    <t>MMR012CMP021</t>
  </si>
  <si>
    <t>MMR012CMP094</t>
  </si>
  <si>
    <t>MMR015CMP244</t>
  </si>
  <si>
    <t>MMR015CMP221</t>
  </si>
  <si>
    <t>MMR015CMP210</t>
  </si>
  <si>
    <t>MMR015CMP014</t>
  </si>
  <si>
    <t>MMR015CMP248</t>
  </si>
  <si>
    <t>MMR015CMP228</t>
  </si>
  <si>
    <t>MMR015CMP209</t>
  </si>
  <si>
    <t>MMR015CMP009</t>
  </si>
  <si>
    <t>MMR015CMP226</t>
  </si>
  <si>
    <t>MMR015CMP218</t>
  </si>
  <si>
    <t>MMR015CMP207</t>
  </si>
  <si>
    <t>MMR015CMP020</t>
  </si>
  <si>
    <t>MMR015CMP006</t>
  </si>
  <si>
    <t>MMR015CMP015</t>
  </si>
  <si>
    <t>MMR015CMP219</t>
  </si>
  <si>
    <t>MMR015CMP016</t>
  </si>
  <si>
    <t>MMR015CMP245</t>
  </si>
  <si>
    <t>MMR015CMP017</t>
  </si>
  <si>
    <t>MMR015CMP217</t>
  </si>
  <si>
    <t>MMR015CMP018</t>
  </si>
  <si>
    <t>MMR015CMP220</t>
  </si>
  <si>
    <t>MMR015CMP224</t>
  </si>
  <si>
    <t>MMR015CMP223</t>
  </si>
  <si>
    <t>MMR015CMP225</t>
  </si>
  <si>
    <t>MMR015CMP007</t>
  </si>
  <si>
    <t>MMR001CMP204</t>
  </si>
  <si>
    <t>MMR001CMP137</t>
  </si>
  <si>
    <t>MMR015CMP004</t>
  </si>
  <si>
    <t>MMR001CMP134</t>
  </si>
  <si>
    <t>MMR015CMP003</t>
  </si>
  <si>
    <t>MMR015CMP001</t>
  </si>
  <si>
    <t>MMR001CMP230</t>
  </si>
  <si>
    <t>MMR001CMP133</t>
  </si>
  <si>
    <t>MMR001CMP228</t>
  </si>
  <si>
    <t>MMR001CMP132</t>
  </si>
  <si>
    <t>MMR015CMP215</t>
  </si>
  <si>
    <t>MMR015CMP214</t>
  </si>
  <si>
    <t>MMR015CMP227</t>
  </si>
  <si>
    <t>MMR001CMP202</t>
  </si>
  <si>
    <t>MMR001CMP135</t>
  </si>
  <si>
    <t>MMR015CMP010</t>
  </si>
  <si>
    <t>MMR001CMP218</t>
  </si>
  <si>
    <t>MMR001CMP223</t>
  </si>
  <si>
    <t>MMR015CMP011</t>
  </si>
  <si>
    <t>Camp_not registered</t>
  </si>
  <si>
    <t>MMR001CMP226</t>
  </si>
  <si>
    <t>MMR001CMP129</t>
  </si>
  <si>
    <t>MMR015CMP213</t>
  </si>
  <si>
    <t>MMR015CMP216</t>
  </si>
  <si>
    <t>MMR015CMP005</t>
  </si>
  <si>
    <t>MMR001CMP128</t>
  </si>
  <si>
    <t>MMR015CMP022</t>
  </si>
  <si>
    <t>MMR015CMP012</t>
  </si>
  <si>
    <t>MMR001CMP196</t>
  </si>
  <si>
    <t>MMR001CMP066</t>
  </si>
  <si>
    <t>MMR001CMP212</t>
  </si>
  <si>
    <t>MMR001CMP213</t>
  </si>
  <si>
    <t>MMR001CMP067</t>
  </si>
  <si>
    <t>MMR001CMP068</t>
  </si>
  <si>
    <t>MMR001CMP070</t>
  </si>
  <si>
    <t>MMR001CMP071</t>
  </si>
  <si>
    <t>MMR001CMP069</t>
  </si>
  <si>
    <t>MMR001CMP072</t>
  </si>
  <si>
    <t>MMR001CMP203</t>
  </si>
  <si>
    <t>MMR001CMP073</t>
  </si>
  <si>
    <t>MMR001CMP193</t>
  </si>
  <si>
    <t>MMR001CMP199</t>
  </si>
  <si>
    <t>MMR001CMP062</t>
  </si>
  <si>
    <t>MMR001CMP052</t>
  </si>
  <si>
    <t>MMR001CMP053</t>
  </si>
  <si>
    <t>MMR001CMP056</t>
  </si>
  <si>
    <t>MMR001CMP197</t>
  </si>
  <si>
    <t>MMR001CMP057</t>
  </si>
  <si>
    <t>MMR001CMP058</t>
  </si>
  <si>
    <t>MMR001CMP051</t>
  </si>
  <si>
    <t>MMR001CMP059</t>
  </si>
  <si>
    <t>MMR001CMP194</t>
  </si>
  <si>
    <t>MMR001CMP050</t>
  </si>
  <si>
    <t>MMR001CMP048</t>
  </si>
  <si>
    <t>MMR001CMP049</t>
  </si>
  <si>
    <t>MMR001CMP163</t>
  </si>
  <si>
    <t>MMR001CMP047</t>
  </si>
  <si>
    <t>MMR001CMP126</t>
  </si>
  <si>
    <t>MMR001CMP055</t>
  </si>
  <si>
    <t>MMR001CMP054</t>
  </si>
  <si>
    <t>MMR001CMP200</t>
  </si>
  <si>
    <t>MMR001CMP131</t>
  </si>
  <si>
    <t>MMR001CMP061</t>
  </si>
  <si>
    <t>MMR001CMP063</t>
  </si>
  <si>
    <t>MMR001CMP064</t>
  </si>
  <si>
    <t>MMR001CMP123</t>
  </si>
  <si>
    <t>MMR001CMP060</t>
  </si>
  <si>
    <t>MMR001CMP240</t>
  </si>
  <si>
    <t>MMR001CMP065</t>
  </si>
  <si>
    <t>MMR001CMP122</t>
  </si>
  <si>
    <t>MMR001CMP121</t>
  </si>
  <si>
    <t>MMR001CMP117</t>
  </si>
  <si>
    <t>MMR001CMP208</t>
  </si>
  <si>
    <t>MMR001CMP116</t>
  </si>
  <si>
    <t>MMR001CMP198</t>
  </si>
  <si>
    <t>MMR001CMP080</t>
  </si>
  <si>
    <t>MMR001CMP233</t>
  </si>
  <si>
    <t>MMR001CMP120</t>
  </si>
  <si>
    <t>MMR001CMP119</t>
  </si>
  <si>
    <t>MMR001CMP232</t>
  </si>
  <si>
    <t>MMR001CMP081</t>
  </si>
  <si>
    <t>MMR001CMP152</t>
  </si>
  <si>
    <t>MMR001CMP111</t>
  </si>
  <si>
    <t>MMR001CMP149</t>
  </si>
  <si>
    <t>MMR001CMP115</t>
  </si>
  <si>
    <t>MMR001CMP113</t>
  </si>
  <si>
    <t>MMR001CMP235</t>
  </si>
  <si>
    <t>MMR001CMP236</t>
  </si>
  <si>
    <t>MMR001CMP160</t>
  </si>
  <si>
    <t>MMR001CMP077</t>
  </si>
  <si>
    <t>MMR001CMP237</t>
  </si>
  <si>
    <t>MMR001CMP079</t>
  </si>
  <si>
    <t>MMR001CMP248</t>
  </si>
  <si>
    <t>MMR001CMP078</t>
  </si>
  <si>
    <t>MMR001CMP028</t>
  </si>
  <si>
    <t>MMR001CMP037</t>
  </si>
  <si>
    <t>MMR001CMP030</t>
  </si>
  <si>
    <t>MMR001CMP026</t>
  </si>
  <si>
    <t>MMR001CMP014</t>
  </si>
  <si>
    <t>MMR001CMP038</t>
  </si>
  <si>
    <t>MMR001CMP025</t>
  </si>
  <si>
    <t>MMR001CMP033</t>
  </si>
  <si>
    <t>MMR001CMP032</t>
  </si>
  <si>
    <t>MMR001CMP036</t>
  </si>
  <si>
    <t>MMR001CMP027</t>
  </si>
  <si>
    <t>MMR001CMP016</t>
  </si>
  <si>
    <t>MMR001CMP015</t>
  </si>
  <si>
    <t>MMR001CMP013</t>
  </si>
  <si>
    <t>MMR001CMP021</t>
  </si>
  <si>
    <t>MMR001CMP020</t>
  </si>
  <si>
    <t>MMR001CMP022</t>
  </si>
  <si>
    <t>MMR001CMP017</t>
  </si>
  <si>
    <t>MMR001CMP010</t>
  </si>
  <si>
    <t>MMR001CMP011</t>
  </si>
  <si>
    <t>MMR001CMP012</t>
  </si>
  <si>
    <t>MMR001CMP019</t>
  </si>
  <si>
    <t>MMR001CMP018</t>
  </si>
  <si>
    <t>MMR001CMP005</t>
  </si>
  <si>
    <t>MMR001CMP003</t>
  </si>
  <si>
    <t>MMR001CMP039</t>
  </si>
  <si>
    <t>MMR001CMP024</t>
  </si>
  <si>
    <t>MMR001CMP040</t>
  </si>
  <si>
    <t>MMR001CMP006</t>
  </si>
  <si>
    <t>MMR001CMP001</t>
  </si>
  <si>
    <t>MMR001CMP029</t>
  </si>
  <si>
    <t>MMR001CMP004</t>
  </si>
  <si>
    <t>MMR001CMP041</t>
  </si>
  <si>
    <t>MMR001CMP002</t>
  </si>
  <si>
    <t>MMR001CMP023</t>
  </si>
  <si>
    <t>MMR001CMP007</t>
  </si>
  <si>
    <t>MMR001CMP031</t>
  </si>
  <si>
    <t>MMR001CMP008</t>
  </si>
  <si>
    <t>MMR001CMP009</t>
  </si>
  <si>
    <t>MMR001CMP162</t>
  </si>
  <si>
    <t>MMR001CMP148</t>
  </si>
  <si>
    <t>MMR001CMP182</t>
  </si>
  <si>
    <t>MMR001CMP181</t>
  </si>
  <si>
    <t>MMR001CMP184</t>
  </si>
  <si>
    <t>MMR001CMP185</t>
  </si>
  <si>
    <t>MMR001CMP109</t>
  </si>
  <si>
    <t>MMR001CMP105</t>
  </si>
  <si>
    <t>MMR001CMP210</t>
  </si>
  <si>
    <t>MMR001CMP229</t>
  </si>
  <si>
    <t>MMR001CMP103</t>
  </si>
  <si>
    <t>MMR001CMP091</t>
  </si>
  <si>
    <t>MMR001CMP191</t>
  </si>
  <si>
    <t>MMR001CMP190</t>
  </si>
  <si>
    <t>MMR001CMP192</t>
  </si>
  <si>
    <t>MMR001CMP167</t>
  </si>
  <si>
    <t>MMR001CMP176</t>
  </si>
  <si>
    <t>MMR001CMP174</t>
  </si>
  <si>
    <t>MMR001CMP225</t>
  </si>
  <si>
    <t>MMR001CMP169</t>
  </si>
  <si>
    <t>MMR001CMP168</t>
  </si>
  <si>
    <t>MMR001CMP179</t>
  </si>
  <si>
    <t>MMR001CMP177</t>
  </si>
  <si>
    <t>MMR001CMP183</t>
  </si>
  <si>
    <t>MMR001CMP172</t>
  </si>
  <si>
    <t>MMR001CMP045</t>
  </si>
  <si>
    <t>MMR001CMP188</t>
  </si>
  <si>
    <t>MMR001CMP043</t>
  </si>
  <si>
    <t>MMR001CMP231</t>
  </si>
  <si>
    <t>MMR001CMP242</t>
  </si>
  <si>
    <t>MMR001CMP195</t>
  </si>
  <si>
    <t>MMR001CMP042</t>
  </si>
  <si>
    <t>MMR001CMP243</t>
  </si>
  <si>
    <t>MMR001CMP247</t>
  </si>
  <si>
    <t>MMR001CMP244</t>
  </si>
  <si>
    <t>MMR001CMP246</t>
  </si>
  <si>
    <t>MMR001CMP245</t>
  </si>
  <si>
    <t>MMR001CMP206</t>
  </si>
  <si>
    <t>MMR001CMP239</t>
  </si>
  <si>
    <t>MMR001CMP238</t>
  </si>
  <si>
    <t>MMR001CMP074</t>
  </si>
  <si>
    <t>MMR001CMP227</t>
  </si>
  <si>
    <t>MMR001CMP220</t>
  </si>
  <si>
    <t>MMR001CMP221</t>
  </si>
  <si>
    <t>MMR001CMP075</t>
  </si>
  <si>
    <t>MMR001CMP234</t>
  </si>
  <si>
    <t>MMR015CMP247</t>
  </si>
  <si>
    <t>MMR001CMP250</t>
  </si>
  <si>
    <t>MMR015CMP246</t>
  </si>
  <si>
    <t>MMR001CMP249</t>
  </si>
  <si>
    <t>MMR001CMP252</t>
  </si>
  <si>
    <t>MMR001CMP254</t>
  </si>
  <si>
    <t>MMR001CMP253</t>
  </si>
  <si>
    <t>MMR001CMP251</t>
  </si>
  <si>
    <t>HRP 3</t>
  </si>
  <si>
    <t>%Equitable and continuous access to sufficient quantity of safe drinking water</t>
  </si>
  <si>
    <t>#Water points coverage</t>
  </si>
  <si>
    <t>#Potential required new water points</t>
  </si>
  <si>
    <t>Hygiene Coverage%</t>
  </si>
  <si>
    <t>Hygiene Gap%</t>
  </si>
  <si>
    <t>%people reached by regular dedicated hygiene promotion</t>
  </si>
  <si>
    <t>Standard amount of Soap and sanitary pad</t>
  </si>
  <si>
    <t>#People access to unimproved water sources</t>
  </si>
  <si>
    <t>Row Labels</t>
  </si>
  <si>
    <t>(Multiple Items)</t>
  </si>
  <si>
    <t>Grand Total</t>
  </si>
  <si>
    <t>Indicators</t>
  </si>
  <si>
    <t>State/Region</t>
  </si>
  <si>
    <t xml:space="preserve"> In Need</t>
  </si>
  <si>
    <t>Male 
(est 45%)</t>
  </si>
  <si>
    <t>Female 
(est 55%)</t>
  </si>
  <si>
    <t xml:space="preserve"> Children (&lt;18 yrs)
(est 35%)</t>
  </si>
  <si>
    <t xml:space="preserve"> Adult (18-59 yrs)
(est 40%)</t>
  </si>
  <si>
    <t xml:space="preserve"> Elderly (&gt;59 yrs)
(est 25%)</t>
  </si>
  <si>
    <t>Coverage</t>
  </si>
  <si>
    <t>Gap</t>
  </si>
  <si>
    <t>Robert -Middle school</t>
  </si>
  <si>
    <t>SCI, ADRA/CANADA</t>
  </si>
  <si>
    <t>Total Population reached</t>
  </si>
  <si>
    <t>open in cccm?</t>
  </si>
  <si>
    <t>Vtract</t>
  </si>
  <si>
    <t>VillageWard</t>
  </si>
  <si>
    <t>not in cccm2018Mar</t>
  </si>
  <si>
    <t>closed_cccm2018Mar</t>
  </si>
  <si>
    <t>Man Nway (Pang Hseng (Kyu Koke)) Sub-township</t>
  </si>
  <si>
    <t>Nam Hkawng Khu</t>
  </si>
  <si>
    <t>Kha Maung Chi Taing</t>
  </si>
  <si>
    <t>No (6) Ward</t>
  </si>
  <si>
    <t>Kha Maung Chay Taing</t>
  </si>
  <si>
    <t>Khaung Doke Kar</t>
  </si>
  <si>
    <t>Aung Daing</t>
  </si>
  <si>
    <t>Hpwe Ywar Kone</t>
  </si>
  <si>
    <t>(Du) Chee Yar Tan</t>
  </si>
  <si>
    <t>King Chaung(No standard name yet)</t>
  </si>
  <si>
    <t>Kawng Wein</t>
  </si>
  <si>
    <t>Kar Lai Kone Hsar</t>
  </si>
  <si>
    <t>Kar Lai</t>
  </si>
  <si>
    <t>Momauk Town</t>
  </si>
  <si>
    <t>Ah Lin Kawng Ward</t>
  </si>
  <si>
    <t>Seik Mu</t>
  </si>
  <si>
    <t>Maw Shan</t>
  </si>
  <si>
    <t>Muse Town</t>
  </si>
  <si>
    <t>Swei Taw Ward</t>
  </si>
  <si>
    <t>Ho Mun Ward</t>
  </si>
  <si>
    <t>Man Wein</t>
  </si>
  <si>
    <t>Nawng Hkam</t>
  </si>
  <si>
    <t>Nam Lin Pa</t>
  </si>
  <si>
    <t>Nam Pang</t>
  </si>
  <si>
    <t>Nam Hkon</t>
  </si>
  <si>
    <t>Namtu Town</t>
  </si>
  <si>
    <t>Namtu Ward</t>
  </si>
  <si>
    <t>Sin Tet Maw (Ku Lar)</t>
  </si>
  <si>
    <t>Urban</t>
  </si>
  <si>
    <t>Sut Yoe Kya Ward</t>
  </si>
  <si>
    <t>Ywar Gyi (North) Ward</t>
  </si>
  <si>
    <t>Baw Du Hpa</t>
  </si>
  <si>
    <t>Mong Wee</t>
  </si>
  <si>
    <t>Man Mawn</t>
  </si>
  <si>
    <t>La Gat Dawt</t>
  </si>
  <si>
    <t>Man Pying (Pang Hseng (Kyu Koke)) Sub-township</t>
  </si>
  <si>
    <t>Hawwa</t>
  </si>
  <si>
    <t>Mone Paw Nam Chet (Zay) (Pang Hseng (Kyu Koke)) Sub-township</t>
  </si>
  <si>
    <t>Mone Paw Nam Chet</t>
  </si>
  <si>
    <t>Dum Buk</t>
  </si>
  <si>
    <t>Mai Bat</t>
  </si>
  <si>
    <t>Man Kawng</t>
  </si>
  <si>
    <t>Mung Ding Pa</t>
  </si>
  <si>
    <t>Kyay Nan Waing Ward</t>
  </si>
  <si>
    <t>Man Nawng</t>
  </si>
  <si>
    <t>Maing Khat</t>
  </si>
  <si>
    <t>Tar Li</t>
  </si>
  <si>
    <t>Dawthponeyan  Town</t>
  </si>
  <si>
    <t>No (2) Ward</t>
  </si>
  <si>
    <t>Hpar Kei (Dawthponeyan Sub-township)</t>
  </si>
  <si>
    <t>Hpar Kei</t>
  </si>
  <si>
    <t>Nam Sang Yang</t>
  </si>
  <si>
    <t>Man Ping (Ping) (Dawthponeyan Sub-township)</t>
  </si>
  <si>
    <t>Man Ping</t>
  </si>
  <si>
    <t>Nam Mun</t>
  </si>
  <si>
    <t>Hpawt Dawt</t>
  </si>
  <si>
    <t>Mon Gar Zut</t>
  </si>
  <si>
    <t>Sar Hmaw</t>
  </si>
  <si>
    <t>Waingmaw Town</t>
  </si>
  <si>
    <t>Myitkyina Town</t>
  </si>
  <si>
    <t>Kachin Su Ward</t>
  </si>
  <si>
    <t>Myay Myint Ward</t>
  </si>
  <si>
    <t>Lone Khin</t>
  </si>
  <si>
    <t>Ma Sut Yang</t>
  </si>
  <si>
    <t>Lang Jaw (Pang War Sub-township)</t>
  </si>
  <si>
    <t>Lang Jaw</t>
  </si>
  <si>
    <t>Nawng Mi</t>
  </si>
  <si>
    <t>Nawng Myi</t>
  </si>
  <si>
    <t>Ku Day</t>
  </si>
  <si>
    <t>Wa Ra Zut</t>
  </si>
  <si>
    <t>Shar Du Zut</t>
  </si>
  <si>
    <t>La Ja Ga</t>
  </si>
  <si>
    <t>Lang Taung</t>
  </si>
  <si>
    <t>Nawng Hkaing</t>
  </si>
  <si>
    <t>Pa Ma Tee</t>
  </si>
  <si>
    <t>Mogaung Town</t>
  </si>
  <si>
    <t>cccm_2018March</t>
  </si>
  <si>
    <t>Taung Yin</t>
  </si>
  <si>
    <t>Gone Chein</t>
  </si>
  <si>
    <t>Say Poke Kay</t>
  </si>
  <si>
    <t>Kan Thar Htwet Wa Ward</t>
  </si>
  <si>
    <t>Pon Nar Gyi</t>
  </si>
  <si>
    <t>Cha Eik</t>
  </si>
  <si>
    <t>San Pya Ward</t>
  </si>
  <si>
    <t>Ah Nauk San Pya Ward</t>
  </si>
  <si>
    <t>Dar Paing Ywar Thit</t>
  </si>
  <si>
    <t>Kha War De Ywar Haung</t>
  </si>
  <si>
    <t>Say Tha Mar</t>
  </si>
  <si>
    <t>Kin Seik</t>
  </si>
  <si>
    <t>Thar Dar</t>
  </si>
  <si>
    <t>Tha Yet Oke</t>
  </si>
  <si>
    <t>Goke Pi Htaunt (Ku Lar)</t>
  </si>
  <si>
    <t>Sin Oe Chaing</t>
  </si>
  <si>
    <t>Shwe Hlaing Ku Lar</t>
  </si>
  <si>
    <t>Hpa Yar Paung</t>
  </si>
  <si>
    <t>Myo Ma (East) Ward</t>
  </si>
  <si>
    <t>Wa Kin</t>
  </si>
  <si>
    <t>Khaung Toke</t>
  </si>
  <si>
    <t>Khaung Toke (Ku Lar)</t>
  </si>
  <si>
    <t>Moe Tay</t>
  </si>
  <si>
    <t>Nawng Tha Kyar</t>
  </si>
  <si>
    <t>Pang Long</t>
  </si>
  <si>
    <t>Pang Tha Pyay</t>
  </si>
  <si>
    <t>Nar Tee</t>
  </si>
  <si>
    <t>Kutkai Town</t>
  </si>
  <si>
    <t>No (5) Ward</t>
  </si>
  <si>
    <t>No (3) Ward</t>
  </si>
  <si>
    <t>Long Waun Nam Rein (Tarmoenye Sub-township)</t>
  </si>
  <si>
    <t>Mai Pong (Shu See)</t>
  </si>
  <si>
    <t>Mong Yu</t>
  </si>
  <si>
    <t>Nam Hpat Kar</t>
  </si>
  <si>
    <t>Nam Hpat Kar (Ho Pon + Pang Sa Lorp)</t>
  </si>
  <si>
    <t>Ho Nar</t>
  </si>
  <si>
    <t>Mung Hawm</t>
  </si>
  <si>
    <t xml:space="preserve">Htoi San Yang </t>
  </si>
  <si>
    <t>Mansi Town</t>
  </si>
  <si>
    <t>Kawng Yar Ward</t>
  </si>
  <si>
    <t>Shwegu Town</t>
  </si>
  <si>
    <t>Lwegel Town</t>
  </si>
  <si>
    <t>Aung Zay Yar Ward</t>
  </si>
  <si>
    <t>Aung Chan Thar Ward</t>
  </si>
  <si>
    <t>Saing Gyar Ward</t>
  </si>
  <si>
    <t>Han Te</t>
  </si>
  <si>
    <t>Hpan Hkar Kone</t>
  </si>
  <si>
    <t>Man Pon</t>
  </si>
  <si>
    <t>Bhamo Town</t>
  </si>
  <si>
    <t>Pauk Kone Ward</t>
  </si>
  <si>
    <t>Aung Thar</t>
  </si>
  <si>
    <t>Moe Hping</t>
  </si>
  <si>
    <t>Nyaung Pin Ward</t>
  </si>
  <si>
    <t>Kawng Hsa (Lwegel Sub-township)</t>
  </si>
  <si>
    <t>Mai Gyar Yang</t>
  </si>
  <si>
    <t>Nam Hlaing</t>
  </si>
  <si>
    <t>Ba Lawng Kawng (Lwegel Sub-township)</t>
  </si>
  <si>
    <t>Hpa Lum</t>
  </si>
  <si>
    <t>Zee Wone Gawt</t>
  </si>
  <si>
    <t>Dum Bung</t>
  </si>
  <si>
    <t>In Baw Mai Kyin (Dawthponeyan Sub-township)</t>
  </si>
  <si>
    <t>Hpun Lum Yang</t>
  </si>
  <si>
    <t>Mohnyin Town</t>
  </si>
  <si>
    <t>Aung Tha Pyay Ward</t>
  </si>
  <si>
    <t>Sa Ma</t>
  </si>
  <si>
    <t>Par Jaung</t>
  </si>
  <si>
    <t>Nar Gu</t>
  </si>
  <si>
    <t>Saga Pa</t>
  </si>
  <si>
    <t>Hkau Shau</t>
  </si>
  <si>
    <t>Saga Pa (Sadung Sub-township)</t>
  </si>
  <si>
    <t>Nawng Kaing Htaw</t>
  </si>
  <si>
    <t>Ma Haung</t>
  </si>
  <si>
    <t>Nat Gyi Kone Ward</t>
  </si>
  <si>
    <t>Kyun Taw Ward</t>
  </si>
  <si>
    <t>Hkat Shu</t>
  </si>
  <si>
    <t>No (4) Ward</t>
  </si>
  <si>
    <t>Lel Kone Ward</t>
  </si>
  <si>
    <t>Ma Hkan Tee</t>
  </si>
  <si>
    <t>Nawng Hee</t>
  </si>
  <si>
    <t>Mading</t>
  </si>
  <si>
    <t>Mading/Hka Kun</t>
  </si>
  <si>
    <t>Maliyang Ward</t>
  </si>
  <si>
    <t>Kyun Pin Thar Ward</t>
  </si>
  <si>
    <t>Maw Hpawng</t>
  </si>
  <si>
    <t>Du Ka Htaung Ward</t>
  </si>
  <si>
    <t>Jan Mai Kawng</t>
  </si>
  <si>
    <t>Tat Kone Ward</t>
  </si>
  <si>
    <t>Mai Na</t>
  </si>
  <si>
    <t>Nam Koi</t>
  </si>
  <si>
    <t>Si Tar Pu Ward</t>
  </si>
  <si>
    <t>Waw Shung (Kan Paik Ti Sub-township)</t>
  </si>
  <si>
    <t>Shan Kyaing</t>
  </si>
  <si>
    <t>N Jang Dung</t>
  </si>
  <si>
    <t>Man Khein Ward</t>
  </si>
  <si>
    <t>Shwe Set Ward</t>
  </si>
  <si>
    <t>Pa La Na Sa Khan Myar</t>
  </si>
  <si>
    <t>Pi Tauk Myaing</t>
  </si>
  <si>
    <t>Nam Si In (Karmaing Sub-township)</t>
  </si>
  <si>
    <t>Htwe San Yang</t>
  </si>
  <si>
    <t>Sai Taung (Ywar Haung)</t>
  </si>
  <si>
    <t>Nam Ma Hpyit</t>
  </si>
  <si>
    <t>Pang War Town</t>
  </si>
  <si>
    <t>Hpakan Town</t>
  </si>
  <si>
    <t>Maw Wam Ward</t>
  </si>
  <si>
    <t>Nyein Chan Thar Yar</t>
  </si>
  <si>
    <t>Hmaw Si Zar</t>
  </si>
  <si>
    <t>Hpa Re (Pang War Sub-township)</t>
  </si>
  <si>
    <t>Hpa Re Waw Jang</t>
  </si>
  <si>
    <t>Rit Law</t>
  </si>
  <si>
    <t>Chipwi Town</t>
  </si>
  <si>
    <t>Ba Leit Dan Ward</t>
  </si>
  <si>
    <t>Puta-O Town</t>
  </si>
  <si>
    <t>Lone Sut Ward</t>
  </si>
  <si>
    <t>Hpai Kawng (Pang Hseng-Kyu Koke Sub-township</t>
  </si>
  <si>
    <t>Lel Pyin</t>
  </si>
  <si>
    <t>Kawng Hkar Man Pying</t>
  </si>
  <si>
    <t>Ba Wan Chaung Wa Su Ward</t>
  </si>
  <si>
    <t>San Bar Lay</t>
  </si>
  <si>
    <t>Zi War</t>
  </si>
  <si>
    <t>Na Yan</t>
  </si>
  <si>
    <t>Sat Yon Maw (Ku Lar)</t>
  </si>
  <si>
    <t>Oke Kar Kyaw</t>
  </si>
  <si>
    <t>Yin Thei</t>
  </si>
  <si>
    <t>Pu Rein</t>
  </si>
  <si>
    <t>Raw Ma Ni</t>
  </si>
  <si>
    <t>Ah Lel Kyun Ku Lar</t>
  </si>
  <si>
    <t>Ya Da Nar Pon</t>
  </si>
  <si>
    <t>Ku Lar Taung Bway</t>
  </si>
  <si>
    <t>Shwe Kyee Nar Ward</t>
  </si>
  <si>
    <t>Myo Thit</t>
  </si>
  <si>
    <t>Khon Sint</t>
  </si>
  <si>
    <t>Hopin Town</t>
  </si>
  <si>
    <t>Myo Ma (South) Ward</t>
  </si>
  <si>
    <t>Moke Lwe</t>
  </si>
  <si>
    <t>Khar Shi</t>
  </si>
  <si>
    <t>Sumprabum Town</t>
  </si>
  <si>
    <t>Inn Lel Yan</t>
  </si>
  <si>
    <t>Doke Tan Ward</t>
  </si>
  <si>
    <t>Ka Bu Dam</t>
  </si>
  <si>
    <t>Set Yon Su Ward</t>
  </si>
  <si>
    <t>Individual House</t>
  </si>
  <si>
    <t>added by WASHcluster</t>
  </si>
  <si>
    <t>Ei Naing</t>
  </si>
  <si>
    <t>Zaw  Pu Gyar</t>
  </si>
  <si>
    <t>Daung Puauk Kay</t>
  </si>
  <si>
    <t>Nga Pun Ywar  Shee</t>
  </si>
  <si>
    <t>Bar Sa Ra Host</t>
  </si>
  <si>
    <t xml:space="preserve">Me La Zi Kone </t>
  </si>
  <si>
    <t>Bumtsit Pa (1,2,3)</t>
  </si>
  <si>
    <t>Bum Tsit Pa 3</t>
  </si>
  <si>
    <t>SCI/FFO</t>
  </si>
  <si>
    <t>Assume 5 people per hh. 100 hh per Hygiene promoters. So, 500 people per hygiene promotor</t>
  </si>
  <si>
    <t>Column Labels</t>
  </si>
  <si>
    <t>Values</t>
  </si>
  <si>
    <t>Access to unimproved water points</t>
  </si>
  <si>
    <t xml:space="preserve">PoP </t>
  </si>
  <si>
    <t>none</t>
  </si>
  <si>
    <t>Total population</t>
  </si>
  <si>
    <t>Total</t>
  </si>
  <si>
    <t>Bum Tsit Pa</t>
  </si>
  <si>
    <t>Bum Tsit Pa Camp II</t>
  </si>
  <si>
    <t>MMR015CMP249</t>
  </si>
  <si>
    <t>Change camp to village</t>
  </si>
  <si>
    <t>Set Yone Su 3 (Mingan)</t>
  </si>
  <si>
    <t>Nga Kyi Tauk Daing Nat</t>
  </si>
  <si>
    <t>Ka Nyin</t>
  </si>
  <si>
    <t>Min Ga Lar Gyi</t>
  </si>
  <si>
    <t>Paung Zar</t>
  </si>
  <si>
    <t>Ywet Nyo Taung ( Rakhine)</t>
  </si>
  <si>
    <t>Q1_2018</t>
  </si>
  <si>
    <t>Tha Ray Kon Baung</t>
  </si>
  <si>
    <t>rakhine</t>
  </si>
  <si>
    <t>Mi Nyo Htaunt</t>
  </si>
  <si>
    <t>Mi Nyo Htaunt_Thar Si</t>
  </si>
  <si>
    <t>SCI, Metta</t>
  </si>
  <si>
    <t xml:space="preserve"> Reached by Sex</t>
  </si>
  <si>
    <t xml:space="preserve">  Reached by Age</t>
  </si>
  <si>
    <t xml:space="preserve">Partners </t>
  </si>
  <si>
    <t># latrines (target)</t>
  </si>
  <si>
    <t># in villages (6:1)</t>
  </si>
  <si>
    <t>HRP target</t>
  </si>
  <si>
    <t>HHs</t>
  </si>
  <si>
    <t>Pops</t>
  </si>
  <si>
    <t>% WATER GAP</t>
  </si>
  <si>
    <t>% LATRINE GAP</t>
  </si>
  <si>
    <t>% HYGIENE GAP</t>
  </si>
  <si>
    <t>WinE</t>
  </si>
  <si>
    <t>GAP</t>
  </si>
  <si>
    <t>%equitable and continuous access to sufficient quantity of safe drinking and domestic water's GAP</t>
  </si>
  <si>
    <t>% of Latrine Gap</t>
  </si>
  <si>
    <t xml:space="preserve"> </t>
  </si>
  <si>
    <t>Indicator Summary (Eng/MM): All indicators and their propsed definition used in DATABASE</t>
  </si>
  <si>
    <t>Total Population</t>
  </si>
  <si>
    <t>Quarterly Dashboard: Dashboard for 1st Quarter 2017. We can view the analysis with different dimensions</t>
  </si>
  <si>
    <t>Kamai RC church</t>
  </si>
  <si>
    <t>Q2_2018</t>
  </si>
  <si>
    <t>Lawa St.Paul Catholic</t>
  </si>
  <si>
    <t xml:space="preserve">Langwa RC </t>
  </si>
  <si>
    <t xml:space="preserve">Langwa KBC </t>
  </si>
  <si>
    <t>Momauk KBC church</t>
  </si>
  <si>
    <t>Ti Yang Zug</t>
  </si>
  <si>
    <t>Trinity Church</t>
  </si>
  <si>
    <t>Jowmasat Baptist Church (Naw Khuu)</t>
  </si>
  <si>
    <t>Mine Yin Village Monastery</t>
  </si>
  <si>
    <t>Ywar Thit Kone AG Church (relocation)</t>
  </si>
  <si>
    <t>Waingmaw Behtela KBC church</t>
  </si>
  <si>
    <t>closed_cccm2018May</t>
  </si>
  <si>
    <t>31/May/2018: Population update. Data source: Shalom ( Camp Status change to Closed Camp, As per Shalom, the camp was closed on 28 May 2018). 
Updated date: 11/7/2017:SI did not WASH implement since july 2016</t>
  </si>
  <si>
    <t>MMR001CMP256</t>
  </si>
  <si>
    <t>Myo Oo St. Dominic RC Church</t>
  </si>
  <si>
    <t>Lan Gwa St.Paul RC Church</t>
  </si>
  <si>
    <t>Emmanuel AG Church</t>
  </si>
  <si>
    <t>Tang Hpre RC Church</t>
  </si>
  <si>
    <t>Ti Yang Zup</t>
  </si>
  <si>
    <t>MMR001CMP259</t>
  </si>
  <si>
    <t>MMR001CMP260</t>
  </si>
  <si>
    <t>MMR001CMP261</t>
  </si>
  <si>
    <t>MMR001CMP262</t>
  </si>
  <si>
    <t>MMR001CMP263</t>
  </si>
  <si>
    <t>MMR001CMP264</t>
  </si>
  <si>
    <t>MMR001CMP265</t>
  </si>
  <si>
    <t>MMR001CMP267</t>
  </si>
  <si>
    <t>MMR001CMP269</t>
  </si>
  <si>
    <t>MMR001CMP257</t>
  </si>
  <si>
    <t>MMR001CMP255</t>
  </si>
  <si>
    <t>MMR001CMP258</t>
  </si>
  <si>
    <t>Lawa RC Church</t>
  </si>
  <si>
    <t>MMR001CMP268</t>
  </si>
  <si>
    <t>Karmaing RC Church</t>
  </si>
  <si>
    <t>MMR001CMP270</t>
  </si>
  <si>
    <t>6/5/2018: Status changed into Closed. Source Metta NSS
Lack of access. Not updated since Mar/2014.
Change to Host Families.</t>
  </si>
  <si>
    <t>22/May/2017: Camp status change to Closed. Data Source: KBC 
2/June/2017: Population updated. Data source: WASH Cluster (dated 7/April_outlook mail)
Change to Host Families.</t>
  </si>
  <si>
    <t>Tanai AG Church</t>
  </si>
  <si>
    <t>2018_Q2</t>
  </si>
  <si>
    <t>V39</t>
  </si>
  <si>
    <t>V40</t>
  </si>
  <si>
    <t>စခန္းအတြင္း အဖြဲ႕အစည္းမွ အခေၾကးေငြျဖင့္ခန္႔ထားေသာ (က်ြမ္းက်င္) WASH ၀န္ထမ္း အေရအတြက္</t>
  </si>
  <si>
    <t>new site</t>
  </si>
  <si>
    <t>Gaps analysis - Traffic light</t>
  </si>
  <si>
    <t>New Site</t>
  </si>
  <si>
    <t>Lambraw Yang Rc, Namatee</t>
  </si>
  <si>
    <t>InjangYang  host families</t>
  </si>
  <si>
    <t>Ma Ji Bum</t>
  </si>
  <si>
    <t>New Camp April</t>
  </si>
  <si>
    <t>New Camp May</t>
  </si>
  <si>
    <t>New Camp April, , Not include in CCCM may 2018</t>
  </si>
  <si>
    <t>Not include in CCCM may 2018</t>
  </si>
  <si>
    <t>WATER</t>
  </si>
  <si>
    <t>SANITATION</t>
  </si>
  <si>
    <t>HYGIENE</t>
  </si>
  <si>
    <t>Area GAP</t>
  </si>
  <si>
    <t>Dinet</t>
  </si>
  <si>
    <t>Pi Htu_Wa Lar Kan</t>
  </si>
  <si>
    <t>Rakhine, Mro, Khami</t>
  </si>
  <si>
    <t>Mro</t>
  </si>
  <si>
    <t>Taung Htaung Hayar_Wa Lar Kan (Ku Lar)</t>
  </si>
  <si>
    <t>% Reached</t>
  </si>
  <si>
    <t>% Gap</t>
  </si>
  <si>
    <t>National</t>
  </si>
  <si>
    <t>Malteser reported in Q2 2018</t>
  </si>
  <si>
    <t>Thin Baw Hla (Rakhine) (Thar Yar Gone)</t>
  </si>
  <si>
    <t>Ta Man Thar</t>
  </si>
  <si>
    <t>Thea Chaung</t>
  </si>
  <si>
    <t>Kyet Yoe Pyin</t>
  </si>
  <si>
    <t>Kyet Yoe Pyin (Ywa Ma)</t>
  </si>
  <si>
    <t>Ta Man Thar (Thar Zay)_(Myo)</t>
  </si>
  <si>
    <t>??</t>
  </si>
  <si>
    <t>Kyan Taw</t>
  </si>
  <si>
    <t>Taw Kan</t>
  </si>
  <si>
    <t>Yar Tan</t>
  </si>
  <si>
    <t>Yae Chan Pyin</t>
  </si>
  <si>
    <t>Kha Tin Paik</t>
  </si>
  <si>
    <t>Pyin Shey</t>
  </si>
  <si>
    <t>Win Su</t>
  </si>
  <si>
    <t>Nga Pwint Gyi</t>
  </si>
  <si>
    <t>War Bo</t>
  </si>
  <si>
    <t>Pang Hkawn Yang</t>
  </si>
  <si>
    <t>Lone Khin Catholic Church</t>
  </si>
  <si>
    <t>Momauk IDP new Extension camp
(Alen Kawng Lawk)</t>
  </si>
  <si>
    <t>Namatee AG</t>
  </si>
  <si>
    <t>Mohyin</t>
  </si>
  <si>
    <t>Zupra</t>
  </si>
  <si>
    <t>Ban Dang</t>
  </si>
  <si>
    <t>Sut Chyai</t>
  </si>
  <si>
    <t>Da Wei</t>
  </si>
  <si>
    <t>Htai Ra Yang</t>
  </si>
  <si>
    <t>Lawt Awng</t>
  </si>
  <si>
    <t>Unimproved water source</t>
  </si>
  <si>
    <r>
      <rPr>
        <b/>
        <sz val="11"/>
        <color rgb="FFFF0000"/>
        <rFont val="Corbel"/>
        <family val="2"/>
      </rPr>
      <t>Red &gt;=30%</t>
    </r>
    <r>
      <rPr>
        <b/>
        <sz val="11"/>
        <color theme="0"/>
        <rFont val="Corbel"/>
        <family val="2"/>
      </rPr>
      <t>,</t>
    </r>
    <r>
      <rPr>
        <b/>
        <sz val="11"/>
        <color theme="5"/>
        <rFont val="Corbel"/>
        <family val="2"/>
      </rPr>
      <t>Orange 0%~29%</t>
    </r>
    <r>
      <rPr>
        <b/>
        <sz val="11"/>
        <color theme="0"/>
        <rFont val="Corbel"/>
        <family val="2"/>
      </rPr>
      <t>,</t>
    </r>
    <r>
      <rPr>
        <b/>
        <sz val="11"/>
        <color theme="9" tint="-0.499984740745262"/>
        <rFont val="Corbel"/>
        <family val="2"/>
      </rPr>
      <t>Green =0%</t>
    </r>
  </si>
  <si>
    <t>Aung Ba La</t>
  </si>
  <si>
    <t>Shwe Zar (west)</t>
  </si>
  <si>
    <t>Kan Paing Nar</t>
  </si>
  <si>
    <t>Shwe Zar (North)</t>
  </si>
  <si>
    <t>Shwe Zar (Middle)</t>
  </si>
  <si>
    <t>Aung Zay Ya (Su See)</t>
  </si>
  <si>
    <t>Kyee Kan Pyin ( Temoprary Tent)</t>
  </si>
  <si>
    <t>Aung Sit Pyin ( Done Pike)</t>
  </si>
  <si>
    <t>A Lei Ywar</t>
  </si>
  <si>
    <t>Ah Kyaw (Arisha Para)</t>
  </si>
  <si>
    <t>La Baw Zar</t>
  </si>
  <si>
    <t>Dar Shey</t>
  </si>
  <si>
    <t>Pyin Hpyu</t>
  </si>
  <si>
    <t>Thar Zay Kone (Thar Zi Kone)</t>
  </si>
  <si>
    <t>Kyauk Hlay Kar</t>
  </si>
  <si>
    <t>Thea Chaung Pyu Su</t>
  </si>
  <si>
    <t>Thea Chaung Ywar Thit Kay</t>
  </si>
  <si>
    <t>Ka Nyin Tan</t>
  </si>
  <si>
    <t>Maung Ni</t>
  </si>
  <si>
    <t>Pan Taw Pyin</t>
  </si>
  <si>
    <t>Shwe Yin Aye (NaTaLa)</t>
  </si>
  <si>
    <t>Zaw Ma Tat ( Kyine Gyi)</t>
  </si>
  <si>
    <t>Zaw Ma Tat ( Myo/ Relocation)</t>
  </si>
  <si>
    <t>Taung Pyo ( 4 Quarter)</t>
  </si>
  <si>
    <t>Taung Pyo ( 3Quarter)</t>
  </si>
  <si>
    <t>Taung Pyo ( 2 Quarter)</t>
  </si>
  <si>
    <t>Taung Pyo ( 1 Quarter)</t>
  </si>
  <si>
    <t>Kun Thee Pin</t>
  </si>
  <si>
    <t>Gyit Chaung</t>
  </si>
  <si>
    <t>Ngar Sar Kyu</t>
  </si>
  <si>
    <t>Ngan Chaung</t>
  </si>
  <si>
    <t>Thi Ho Kyun Tha Dar ( Myo/ Temporary)</t>
  </si>
  <si>
    <t>Myo U</t>
  </si>
  <si>
    <t>Sar Kon Boke (Hindu Para)</t>
  </si>
  <si>
    <t>Chan Pyin</t>
  </si>
  <si>
    <t>Sa Bai Pin Yin</t>
  </si>
  <si>
    <t>Kat Pa Kaung</t>
  </si>
  <si>
    <t>Ywet Nyo Taung</t>
  </si>
  <si>
    <t>Ah Bu Gyar</t>
  </si>
  <si>
    <t>Dar Gyi Zar</t>
  </si>
  <si>
    <t>Min Ga Lar Ahr Sheik Kyar</t>
  </si>
  <si>
    <t>Thu U Lar</t>
  </si>
  <si>
    <t>Inn Din (Rakhine)</t>
  </si>
  <si>
    <t>Kyauk Pan Du</t>
  </si>
  <si>
    <t>Myo</t>
  </si>
  <si>
    <t>Ma Ya Ma Gyi</t>
  </si>
  <si>
    <t xml:space="preserve">Dyine Net </t>
  </si>
  <si>
    <t>Ma Ya Ma Gyi + Dyine Net</t>
  </si>
  <si>
    <t>Dyine Net + Rakhine</t>
  </si>
  <si>
    <t>Dyine Net</t>
  </si>
  <si>
    <t>Shwe Zar Kat Pa Kaung</t>
  </si>
  <si>
    <t>Gaung Nyar</t>
  </si>
  <si>
    <t>Kan Beit</t>
  </si>
  <si>
    <t>Ka Nyin Chaung</t>
  </si>
  <si>
    <t>Aung Mingalar (NaTaLa)</t>
  </si>
  <si>
    <t>Hpar Wut Chaung (Ywar Thit)</t>
  </si>
  <si>
    <t>Wet Kyein (Myo)</t>
  </si>
  <si>
    <t>Pa Da Kar Ywar Thit</t>
  </si>
  <si>
    <t>Min Gyi (Tu Lar Tu Li)</t>
  </si>
  <si>
    <t>U Daung (NaTaLa)</t>
  </si>
  <si>
    <t>Mee Taik</t>
  </si>
  <si>
    <t>Yae Nauk Ngar Thar (Daing Nat)</t>
  </si>
  <si>
    <t>Ta Man Thar Ah Nauk (Rakhine)</t>
  </si>
  <si>
    <t>Mingalar Nyunt (NaTaLa)</t>
  </si>
  <si>
    <t>Min Kha Maung (NaTaLa)</t>
  </si>
  <si>
    <t>Thit Tone Nar Gwa Son</t>
  </si>
  <si>
    <t>Laung Don (Myo)</t>
  </si>
  <si>
    <t>Nga Khu Ya</t>
  </si>
  <si>
    <t>Nga Ku Ya (Ku Lar)</t>
  </si>
  <si>
    <t>Shwe Zar _Hindu</t>
  </si>
  <si>
    <t>Inn Din_new village</t>
  </si>
  <si>
    <t>MMR012009702501</t>
  </si>
  <si>
    <t>MMR012009702502</t>
  </si>
  <si>
    <t>MMR012009702503</t>
  </si>
  <si>
    <t>MMR012009702504</t>
  </si>
  <si>
    <t>(in active villages)</t>
  </si>
  <si>
    <t>Gap in active villages/ Township</t>
  </si>
  <si>
    <t>Jaw Masat Camp</t>
  </si>
  <si>
    <t>Pa Dauk Myaing(Pa La Na)-II</t>
  </si>
  <si>
    <t>MMR001CMP271</t>
  </si>
  <si>
    <t>Q3_2018</t>
  </si>
  <si>
    <t>31/July /2018: Population update. Data source: KMSS M
6/1/2018: Added as new camp (Camp Like Setting).</t>
  </si>
  <si>
    <t>2/June/2017: Updated Accessibility NGCA to GCA. Data source: UNOCHA.
Change to Host Families.</t>
  </si>
  <si>
    <t>Closed_cccm2018Aug</t>
  </si>
  <si>
    <t>Waimaw Baptist Zonal Office 2</t>
  </si>
  <si>
    <t>Namti Labraw Yang KBC Camp</t>
  </si>
  <si>
    <t>Ma Hawng Baptist Church</t>
  </si>
  <si>
    <t>Trinity Camp</t>
  </si>
  <si>
    <t>Tanai KBC Camp</t>
  </si>
  <si>
    <t>Mai Yu Lay New (Ta'ang)</t>
  </si>
  <si>
    <t>Mine Yu Lay village ( Old)</t>
  </si>
  <si>
    <t>Nam Hpak Ka Ta'ang ( Aung Tha Pyay)</t>
  </si>
  <si>
    <t>uncovered</t>
  </si>
  <si>
    <t>Closed : Source, OCHA</t>
  </si>
  <si>
    <t>Closed: Source UNHCR-Bhamo</t>
  </si>
  <si>
    <t>31/May/2018: Population update. Data source: Shalom ( Camp Status change to Closed Camp, As per Shalom, the camp was closed on 28 May 2018). 
30/Apr/2018: Population update. Data source: Shalom
27/Mar/2018: Population update. Data source: Shalom
5/Mar/2018: Population update. Data source: Shalom
29/June/2017: Population update. Data source: Shalom
2/June/2017: Population update. Data source: Shalom
3/May/2017: Population update. Data source: Shalom
24/April/2017: Population update. Data source: Shalom
14/Feb/2017: Population update. Data source: Shalom (the same data with previous month)
10/Jan/2017: Population update. Data source: Shalom.
21 Oct 2016: Population update. Data source: Shalom
20/Jul/2016: Population update. Data source: Shalom
16/Jun/2016: Population update. Data source: mail by Shalom
9/Nov/15. Population update. Data source: monthly report by HAP.
19-Aug-15 Population update. Source: Shalom.
25-Jun-15 (Population update. Source : Shalom)
Population update: Source: Camp Profile Round 2.</t>
  </si>
  <si>
    <t>Closed. Rellocated to Tharthana Ahlin Yaung.</t>
  </si>
  <si>
    <t>2-Apr-15 (Closed. Source: GAD)
Responsible Agency update. KMSS-BMO to KMSS-MYT.</t>
  </si>
  <si>
    <t>11/Jul/2017: Change status to Close as no update available since December 2016</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</si>
  <si>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14-Oct-15 Population update. Soruce; Hpakant Mission Report_WFP
25-Jun-15 Population update. Source: KBC
2-Apr-15 (Population update, Source: UNHCR CCCM Mission)
Population Update. Source: KBC.</t>
  </si>
  <si>
    <t>24/Apr/2017: Changed camp status as "closed". Data source: KMSS_Myitkyina and CCCM unit.
16/Sep/2016: New added camp. There no responsible organization.</t>
  </si>
  <si>
    <t>19-Aug-15 Closed. IDP were provided with individual lands within Naung Hmee village and transit toward semi-permanent settlement. Source: CCCM Unit
2-Apr-15 (Population update, Source: UNHCR CCCM Mission)
Population update: Source: Camp Profile Round 2.</t>
  </si>
  <si>
    <t>Only one HH left, included in Lon Khin Baptist distribution list.</t>
  </si>
  <si>
    <t>30/June /2018: Population update. Data source: UNHCR/Cluster partners
30/May/2018: Population update. Data source: UNHCR/Cluster partners
30/May/2018: Added as new camp</t>
  </si>
  <si>
    <t>3/Jul/2017: Changed camp status as "Closed" according to the information of KBC. Note from KBC " (5 Ward Baptist Church( Lon Khin- MMR001CMP179, and Ku Day Maw KBC- MMR001CMP231) and open new camp as Lawng Hkang Shait Yang Camp ( Lel Pyin) under Hpakant Township. So technically, the mentioned two camp will be combine into one camp as 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18-May-15 (Population update by field mission)
Source: CCCM Unit (Hpakant Assessement Mission)</t>
  </si>
  <si>
    <t>Closed.</t>
  </si>
  <si>
    <t>11/Jul/2017: Change status into closed: Data source: KBC
25/Jul/2016: Added as new camp according to KBC data. Data was given by Jade</t>
  </si>
  <si>
    <t>Move to Nant Ma Hpit Catholic Church.</t>
  </si>
  <si>
    <t>Close. According to RRC's info, this camp does not include in reported list.</t>
  </si>
  <si>
    <t>Closed Camp
Update data from OCHA IDPs List</t>
  </si>
  <si>
    <t>25-Jun-15 (Relocate to Long Sut)
Geo-Info, HH/Pop data received from MIRA Form</t>
  </si>
  <si>
    <t>Closed. Rellocated to Man Win and La Ga Yaung</t>
  </si>
  <si>
    <t>27-Mar-15 (Closed. Source: UNHCR-Bhamo)
New Camp</t>
  </si>
  <si>
    <t>16/Sep/2016: Changes camp status. Actually it was not closed. It was combined as one camp with Bum Tsit Pa. Data source: KMSS_Bhamo.
28/Jan/2016. Population update. Data source: KBC
Population Update. Source: Save The Children.</t>
  </si>
  <si>
    <t>Closed. Source: Save The Children</t>
  </si>
  <si>
    <t>19-Aug-15 Close. Source: CCCM Unit.
Population source: KMSS-BMO</t>
  </si>
  <si>
    <t>Closed. Duplicate with Maing Khaung.</t>
  </si>
  <si>
    <t>Closed. Move to Bum Tist Pa II and Man Wing. HH113/Pop837</t>
  </si>
  <si>
    <t xml:space="preserve">This IDP are registered in Nam Lim pa (Boarder) (MMR001CMP204). We should not calculate this number in total. </t>
  </si>
  <si>
    <t>Close (Source: OCHA)</t>
  </si>
  <si>
    <t>30/Mar/2018: Camp Status change to Closed: Relocate to Nongpong. 
29/June/2017: Population update. Planning to local integration through KMSS_Myitkyina. Relocated to Naung Pon
3/May/2017: Pop update. Data source: KMSS_Myitkyina
24/Apr/2017: Pop update. Data source: KMSS_Myitkyina
6/Apr/2017: Change camp status as "Open". Data source: Protection team and comfirmed by camp manager.
2/feb/2017: Closed Camp
10/Jan/2017: Population update. Data source: KMSS_Myitkyina
21/Oct/2016: Population update. Data source: KMSS_Myitkyina
14/Jul/2016: Population update. Data Source:KMSS_Myitkyina
9/Nov/15. Accomodation changes from Host families to Camp. Data source: CCCM
19-Aug-15 (Population Udate. Data Source: KMSS-MYT)
25-Jun-2015 (New host families. Source: RRD)</t>
  </si>
  <si>
    <t>IDPs returned</t>
  </si>
  <si>
    <t>11/Jul/2017: Closed camp. No update information.
25-Jun-2015 (New host families. Source: RRD)</t>
  </si>
  <si>
    <t>Closed. Duplicate with (Nawng Ing (Indawgyi) Baptist Church)</t>
  </si>
  <si>
    <t>11/Jul/2017: Closed camp. No update information since Nov 2015.
9/Nov/2015. Population update. Data source: mail from WFP.
New added Boarding School</t>
  </si>
  <si>
    <t>11/Jul/2017: Change status to Close as no update available since June/2017.
Geo-Info, HH/Pop data was updated from Google Earth.</t>
  </si>
  <si>
    <t>11/Jul/17: Change status to Close as no update available.</t>
  </si>
  <si>
    <t>11/Jul/2017: Change status to Close as no update available
Geo-Info, HH/Pop data was updated from Google Earth.</t>
  </si>
  <si>
    <t>9/Nov/2015. updated camp status (Closed). Data Source; Lu Lu Awng by mail.
19-Aug-15 Population update. Source: Shalom
25-Jun-15 (Population update. Source : Shalom)
Checked with Shalom data, IDPs figure do not change</t>
  </si>
  <si>
    <t>Closed. Population relocated to Man Bung Catholic Compound (MMR001CMP062)</t>
  </si>
  <si>
    <t>16/Jun/2016: Camp Closed. Data source: Shalom. Commnets from Shalom "Household return to Kayuk sa khan village"
9/Nov/15. Population update. Data source: monthly report by HAP.
19-Aug-15 Population update. Source: Shalom
25-Jun-15 (Population update. Source : Shalom)
Population update: Source UNHCR-Bhamo</t>
  </si>
  <si>
    <t>11/Jul/2017: Change status to Close as no update available since Jan/2017.
Update from OCHA Data (2 Jan 2014)</t>
  </si>
  <si>
    <t>11/Jul/2017: Change status to Close as no update available since June 2014
Geo-Info, HH/Pop data was updated from Google Earth.</t>
  </si>
  <si>
    <t>New displacement from Ka Sung</t>
  </si>
  <si>
    <t>25-Jun-15 Relocate to Shatapru Thida Aye Baptist Church
Population update: Source: Camp Profile Round 2.</t>
  </si>
  <si>
    <t>Closed july 2017</t>
  </si>
  <si>
    <t>25-Jun-15 (Relocated to Lone Sut)
Geo-Info, HH/Pop data received from MIRA Form</t>
  </si>
  <si>
    <t>11/Jul/2017: Change status to Close as no update available.</t>
  </si>
  <si>
    <t>25-Jun-15 (Relocated to Hpum Lone Yan and Wai Choi)
Population Update. Source: UNHCR Cross-Line Mission Report. (July 2014)</t>
  </si>
  <si>
    <t>22/June/2018: camp status change to Closed Camp. 44 HHs shifted to Maina Governent plan low cost housing. 35 HHs stayed in the host community where they already bought land and constructed houses. 
30/June/2018: Population update. Data source: Shalom
31/May/2018: Population update. Data source: Shalom
30/Apr/2018: Population update. Data source: Shalom
27/Mar/2018: Population update. Data source: Shalom
5/Mar/2018: Population update. Data source: Shalom
29/June/2017: Population update. Data source: Shalom
2/June/2017: Population update. Data source: Shalom
3/May/2017: Population update. Data source: Shalom
24/April/2017: Population update. Data source: Shalom
14/Feb/2017: Population update. Data source: Shalom (the same data with previous month)
10/Jan/2017: Population update. Data source: Shalom.
21 Oct 2016: Population update. Data source: Shalom
20/Jul/2016: Population update. Data source: Shalom
16/Jun/2016: Population update. Data source: mail by Shalom
10 May 2016. Population update: Data source_Shalom
28/Jan/2016. Population update. Data source: KBC (mail by maran)
9/Nov/15. Population update. Data source: monthly report by HAP.
19-Aug-15 Population update. Source: Shalom.
25-Jun-15 Population update. Source : Shalom.
Population update: Source: Camp Profile Round 2.</t>
  </si>
  <si>
    <t>UNHCR/DRC joint mission</t>
  </si>
  <si>
    <t>3/Mar/2016. Closed Camp. Data source: January report from KBC.
28/Jan/2016. Population update. Data source: KBC (mail by maran)
2/Dec/2015 (Population update. Data source: Monthly report by KBC).
25-Jun-2015 Update population. Data Source: KBC
Changed to Boarding School.</t>
  </si>
  <si>
    <t>6/June/2017: Changed camp status as "Closed" because of the conflict on Dec, 2016. So IDPs ( from Zai Awng - Mung Ga Zup) flew to Lung Byen. They stay awhile at Lung Byen and then they moved to Shait Yang on 17 Jan 2017. Added as a new camp (Shait Yang) instead of Zai Awng-Mung Ga Zup".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</si>
  <si>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19-Aug-15 Population update. Source KBC.
25-Jun-15 New camp. Data Source : KBC</t>
  </si>
  <si>
    <t>6/5/2018: Status changed into Closed. Source Metta NSS,some IDP have returned, some moved to host families in Namtu and Kha Shi village, Lashio township
Lack of access. Not updated since Mar/2014.
Change to Host Families.</t>
  </si>
  <si>
    <t>11/Jul/2017: Camp status change into closed. KBC said Camp will be combine with Nam Sa Larp. DATA Source: KBC
25/Jul/2016: Added as new camp according to KBC data. Data was given by Jade</t>
  </si>
  <si>
    <t>5/June/2018: Data Updated
17-01-2017: New added camp. Missing data will be collected from partners and present in next Report.</t>
  </si>
  <si>
    <t>27/Apr/2017: Changed camp status as "Closed", Data source: KBC.
15/Mar/2017: Population update, KBC is not responsible  org started from December 2016. Data Source: KBC
24/Feb/2017: Population update. Data source: KBC
18/Jul/2016: Population updte. Data source: KBC
12/May/2016. Population update. Data source: KBC
25-Jun-15 Population update. Source: KBC
Update population. Source: Camp Profile.</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</si>
  <si>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25-Jun-15 Population update. Source: KBC
Update population. Source: Camp Profile.</t>
  </si>
  <si>
    <t>30/June/2018: Population update. Data source: KBC,
31/May/2018: Population update. Data source: KBC
30/Apr/2018: Population update. Data source: KBC
27/Mar/2018: Population update. Data source: KBC
5/Mar/2018: Population update. Data source: KBC
CCCM activities start in july 2017</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</si>
  <si>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MKSS-LSO)
25-Jun-15 (Population update. Source: KMSS-LSO)
Population updated. Source: Shelter unit.</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</si>
  <si>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and Responsible agency update. Data source: KBC.
10/Jan/2017: Population update. Data source: KBC
18/Jul/2016: Added as new camp according to KBC_Brang Mai.</t>
  </si>
  <si>
    <t>5/June/2018. Data Updated.
6/May/2017: New added camp. Data source: KBC. Camp was confirmed by CCCM unit. The missing informaiton will be updated as soon as possible.</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</si>
  <si>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</si>
  <si>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5/June/2018: Data Source Metta NSS
No update information since Jul/2016, KBC to follow up
25/Jul/2016: Added as new camp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</si>
  <si>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27-Mar-15 (Changed to GCA. Source UNHCR-Bhamo)
Update population. Source: Camp Profile.</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</si>
  <si>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27-Mar-15 (Changed to GCA. Source UNHCR-Bhamo)
New camp. Source: KMSS-BMO</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</si>
  <si>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</si>
  <si>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5/Marcy/2018: Population update. Data source: KMSS-LSO.
From Jan 2018, camp like setting status change to Camp as KMSS-LSO will be cover the Camp 
6/Apr/2017: Population update. Data source: CCCM and confirmed by camp manager.
20/Feb/2017: Updating GPS coordiante.
25/Jul/2016: Added as new camp according to KBC data. Data was given by Jade</t>
  </si>
  <si>
    <t>31/July/2018: Data Source (UNHCR-LSH)
6/June/2018: Data Source ( IRC, KMSS-Lsh)
11/Jul/2017: Updated from UNOCHA, visited on March 2017 
9/Nov/15. New added camp. Data source: UNHCR CCCM officer NSS mission 8-12 July 2015.</t>
  </si>
  <si>
    <t>31/July/2018: Data Source (UNHCR-LSH)
5/June/2018: Data Source: IRC
No update information since Jul/2016, KBC to follow up
25/Jul/2016: Added as new camp according to KBC data.</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</si>
  <si>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18/Jul/2016: Population updte. Data source: KBC
15/Jun/2016: Population update. Data source: monthly report by KBC
12/May/2016. Population update. Data source: KBC
28/Jan/2016. Population update. Data source: KBC
25-Jun-15 Population update. Source: KBC
Population update. Source: KBC.</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</si>
  <si>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25-Jun-15 Population update. Source: KBC
Changed NGCA to GCA. Source: CCCM Unit</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</si>
  <si>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New Camp</t>
  </si>
  <si>
    <t>6/Apr/2017: Changed camp status as "closed". Data source: CCCM_UNHCR, comfirmed by partners (KBC)
17-01-2017: New added camp. Missing data will be collected from partners and present in next Report.</t>
  </si>
  <si>
    <t>6/Apr/2017: Changed the camp status as "Closed". Data source: CCCM and comfirmed by partner (KBC). And it was updated since 3/Mar/2014.
Change to Host Families.</t>
  </si>
  <si>
    <t>Camp Closed. Updated on 15 Jun 2016. Data source: Camp Profiling Data from KBC (Our NSS KBC-ERC team confirmed that Munekoe Pa camp has been closed regarding to their request. )
12/May/2016. Population update. Data source: KBC
28/Jan/2016. Population update. Data source: KBC (mail by maran)
2/Dec/2015. Population update. Data source: KBC
25-Jun-15 Population update. Source: KBC
Update population. Source: Camp Profile.</t>
  </si>
  <si>
    <t>6/April/2017: Changed the camp stutas as "Closed". Data source CCCM and comfirmed by partner (KBC). And it was updated since 3/March/2017
Change to Host Families.</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</si>
  <si>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New camp.</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</si>
  <si>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MKSS-LSO)
25-Jun-15 (Population update. Source: KMSS-LSO)
Population Update. Source: Save The Children.</t>
  </si>
  <si>
    <t>Closed as of 1st of September 2017</t>
  </si>
  <si>
    <t>31/July/2018: Data Source (UNHCR-LSH)
5/Jun/2018: Population update. Data source: DRC, SCI
2/Jun/2017: Population update. Data source: WASH cluster.
25/Jul/2016: Added as new camp according to KBC data. Data was given by Jade</t>
  </si>
  <si>
    <t>2/June/2017: Changed camp status as "Closed". Data source: UNOCHA and confirmed by CCCM unit.
25/Jul/2016: Added as new camp according to KBC data. Data was given by Jade</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</si>
  <si>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&amp; OCHA Lashio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</si>
  <si>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KBC
30/June/2018: Population update. Data source: KBC,
31/May/2018: Population update. Data source: KBC
27/Mar/2018: Population update. Data source: KBC
5/Mar/2018: Population update. Data source: KBC
12/Jan/2018: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</si>
  <si>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</si>
  <si>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29/Jun/2017: Population update. Data source:KMSS_Lashio
24/Apr/2017: Population update. Data source:KMSS_Lashio
14/Feb/2017: Population update. Data source: KMSS_LSO
10/Jan/2017: Population update. Data source: KMSS_LSO
27/Oct/2016: Population update. Data source: KMSS_Lashio
1/Sep/2016: Population update. Data source: KMSS_LSO
14/Jul/2016: Population update. Data source: KMSS_LSO
28/Jan/2016. Population update. Data source: KMSS_LSO
19-Aug-15 (Population update. Source: KMSS-LSO)
25-Jun-15 (Population update. Source: KMSS-LSO)
Population update. Changed NGCA to GCA. Source: CCCM Unit</t>
  </si>
  <si>
    <t>Closed. Same with (Nam Hkam Catholic Church  St. Thomas II)</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</si>
  <si>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&amp; OCHA Lashio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15/Jun/2016: Population update. Data source: monthly report by KBC
12/May/2016. Population update. Data source: KBC
28/Jan/2016. Population update. Data source: KBC
2/Dec/2015. Population update. Data source: KBC
25-Jun-15 Population update. Source: KBC
Population Update. Source: Save The Children.</t>
  </si>
  <si>
    <t>31/July/2018: Population update. Data source: KMSS_Lashio
30/June/2018: Population update. Data source: KMSS_Lashio
31/May/2018: Population update. Data source: KMSS_Lashio
10/May/2018: Population update. Data source: KMSS_Lashio
30/Apr/2018: Population update. Data source: KMSS_Lashio
27 Mar 2018: Population update. Data source: KMSS_Lashio.
5/Mar/2018:  Population update. Data source:KMSS_Lashio
12/Jan/2018: Population update. Data source:KMSS_Lashio
CCCM activities start in july 2017</t>
  </si>
  <si>
    <t>31/July/2018: Population update. Data source: KBC
30/June/2018: Population update. Data source: KBC,
31/May/2018: Population update. Data source: KBC
30/Apr/2018: Population update. Data source: KBC
27/Mar/2018: Population update. Data source: KBC
5/Mar/2018: Population update. Data source: KBC
12/Jan/2018: Population update. Data source: KBC
3/Jul/2017: Namtu KBC 1(MMR015CMP230) and Namtu KBC 2 (MMR015CMP231) are already integrated into the old camp ( Nam Tu Baptist (MMR015CMP014)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25-Jun-15 Population update. Source: KBC
Update population. Source: Camp Profile.</t>
  </si>
  <si>
    <t>18th - 19th May joint assessment of OCHA and UNHCR, population returned to place of origin. Location is closed. Change to Host Families. Source: Programme Unit.</t>
  </si>
  <si>
    <t>31/July/2018: Data Source (UNHCR-LSH)
6/June/2018: Data source ( DRC- NSS)
25/Jul/2016: Added as new camp according to KBC data.</t>
  </si>
  <si>
    <t>2/June/2017: Changed camp status as "Closed" according to UNHCR_Lashio information.
17-01-2017: New added camp. Missing data will be collected from partners and present in next Report.</t>
  </si>
  <si>
    <t>Comments form CCCM</t>
  </si>
  <si>
    <t>New camp June</t>
  </si>
  <si>
    <t>V41</t>
  </si>
  <si>
    <t>2018_Q3</t>
  </si>
  <si>
    <t>2018_Q4</t>
  </si>
  <si>
    <t>Ah Lay Yaw / Kar Di (Ah Le)</t>
  </si>
  <si>
    <t>Pyar</t>
  </si>
  <si>
    <t>Kar Di Har Yar</t>
  </si>
  <si>
    <t xml:space="preserve">Nga Saung Bet </t>
  </si>
  <si>
    <t>San Pay Hla</t>
  </si>
  <si>
    <t>San Thit Pyin</t>
  </si>
  <si>
    <t xml:space="preserve">Thin Ga Net </t>
  </si>
  <si>
    <t>Ponn Nar</t>
  </si>
  <si>
    <t>Kar Di (Middle)</t>
  </si>
  <si>
    <t>Kar Di Ha Yar</t>
  </si>
  <si>
    <t>Ngar Saung Bet</t>
  </si>
  <si>
    <t>Sabei Hla</t>
  </si>
  <si>
    <t>San Thar Pyin</t>
  </si>
  <si>
    <t>Thin Ga Net</t>
  </si>
  <si>
    <t>Pon Nar</t>
  </si>
  <si>
    <t>Mee Pho Kone</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</si>
  <si>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The camp name also change from "Tanai RC Church - Kinsa Ra" to St. Joseph Tanai RC camp. 
31/July /2018: Population update. Data source: KMSS M
 30/June/2018: Population update. Data source: UNHCR/Cluster partners
30/May/2018: Population update. Data source: UNHCR/Cluster partners</t>
  </si>
  <si>
    <t xml:space="preserve">St. Joseph Tanai RC camp </t>
  </si>
  <si>
    <t>Information received from UNHCR PU remote monitoring tool that all the IDPs moved to nearby location ; Yartikaun; camp like setting changed from Opened to Closed on the date of 31 Aust 2018</t>
  </si>
  <si>
    <t>Closed_cccm2018Oct</t>
  </si>
  <si>
    <t>Galeng (Palaung) &amp; Kone Khem</t>
  </si>
  <si>
    <t>MMR015CMP212</t>
  </si>
  <si>
    <t>Galeng</t>
  </si>
  <si>
    <t>Q4_2018</t>
  </si>
  <si>
    <t>new camp added in 1/11/18</t>
  </si>
  <si>
    <t>1/Nov/2018: Changed camp status as "reopen", Data source: NSS Cluster Partners: Reopen as per NSS Cluster Partners confirm that the IDPs are staying in the location during Cluster Meeting. 
Close: Duplicate Camp (MMR015CMP015 - Kone Khem Camp) 21-Jan-14</t>
  </si>
  <si>
    <t>Hu Hku &amp; Ho Hko</t>
  </si>
  <si>
    <t>MMR015CMP250</t>
  </si>
  <si>
    <t>Pang Kai Pang Lawt</t>
  </si>
  <si>
    <t>new cam added in 1/11/2018. opening date is 20/4/2018 at CCCM</t>
  </si>
  <si>
    <t>closed_CCCM2018Oct</t>
  </si>
  <si>
    <t>No agency has visited since Jul/2016, KBC to follow up.
25/Jul/2016: Added as new camp according to KBC data/ all the hh stayed temporarily and returned to VoO in 2016; source of information: cluster meeting 15 Aug 2018. Lashio, by Metta, KBC, KMSS-L</t>
  </si>
  <si>
    <t xml:space="preserve">1/Nov/2018: Changed camp status as "reopen", Data source: NSS Cluster Partners: Reopen as per NSS Cluster Partners confirm that the IDPs are staying in the location during Cluster Meeting. 
Close: Duplicate Camp (MMR015CMP015 - Kone Khem Camp) 21-Jan-14.1/November/2018: Data Source: UNHCR-LSH and Partners
IDPs relocated from  Mai Yu Lay New (Ta'ang) ( MMR015CMP220)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</si>
  <si>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25-Jun-2015 Update population. Data Source: KBC
Population update: Source: Camp Profile Round 2.</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</si>
  <si>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12/May/2016. Population update. Data source: KBC
28/Jan/2016. Population update. Data source: KBC
2/Dec/2015. Population update. Data source: KBC
25-Jun-2015 Update population. Data Source: KBC
Update population according to KBC data</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</si>
  <si>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30/June /2018: Population update. Data source: UNHCR/Cluster partners
30/May/2018: Population update. Data source: UNHCR/Cluster partners
30/May/2018: Added as new camp</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</si>
  <si>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30/June /2018: Population update. Data source: UNHCR/Cluster partners
30/May/2018: Population update. Data source: UNHCR/Cluster partners
30/May/2018: Added as new camp</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</si>
  <si>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13/Dec/2014. Population update. Data source: Mail by Ko Maran. Reason for Pop changes: Following September 2016 conflict there was sudden increase of IDP pp in Mansi and Mahkawng
2/Dec/2015. Population update. Data source: KBC
2-Oct-14 Population update (New arrival). Data source: NFI distribution list from Bhamo.
19-Aug-15 Population update. Source: KBC.
25-Jun-15 Population update. Source: KBC
Population update: Source: Camp Profile Round 2.</t>
  </si>
  <si>
    <t>31/August /2018: Population update. Data source: KMSS M;Remaining IDPs voluntarily moved to PaMaTi area
30/June /2018: Population update. Data source: UNHCR/Cluster partners
30/May/2018: Population update. Data source: UNHCR/Cluster partners
21/May/2018: Added as new camp. Data source: MIRA (Multi Sector Assessment Team)</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</si>
  <si>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</si>
  <si>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 Lan Gwa KBC Church) change to Namti Labraw Yang KBC camp)  As per KBC email sent on Thu 7/5/2018 5:47 PM by PC KBC- HDD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</si>
  <si>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18/Jul/2016: Population updte. Data source: KBC
15/Jun/2016: Population update. Data source: monthly report by KBC
12/May/2016. Population update. Data source: KBC
28/Jan/2016. Population update. Data source: KBC 
2/Dec/2015. Population update. Data source: KBC.
19-Aug-15 Population update. Source: KBC.
25-Jun-15 Population update. Source: KBC
Update population according to KBC data</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</si>
  <si>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“Nawng Nan, Jaw Ma Sat KBC Church) change to Jaw Masat Camp)  As per KBC email sent on Thu 7/5/2018 5:47 PM by PC KBC- HDD 
30/June /2018: Population update. Data source: UNHCR/Cluster partners
30/May/2018: Population update. Data source: UNHCR/Cluster partners
30/May/2018: Added as new camp</t>
  </si>
  <si>
    <t xml:space="preserve">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5/Mar/2018: Population update. Data source:  Camp manager 
New displacement from Tingkawk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</si>
  <si>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KBC.
19-Aug-15 Update population from KBC.
25-Jun-2015 Update population from KBC.
Update population according to KBC data</t>
  </si>
  <si>
    <t>1/Nov/2018: Population update. Data source: KMSS_Myitkyina
1/October/2018: Population update. Data source: KMSS_Myitkyina
31/August/2018: Population update. Data source: KMSS_Myitkyina
1/Aug/2018: Type of accommodation change from " Camp Like Setting to Camp". The camp will be managed by KMSS-M from August, 2018.
31/July /2018: Population update. Data source: KMSS M
6/1/2018: Added as new camp (Camp Like Setting).</t>
  </si>
  <si>
    <t>31/August/2018: Population update. Data source: KMSS_Myitkyina
31/July /2018: Population update. Data source: UNHCR
30/June /2018: Population update. Data source: UNHCR/Cluster partners
30/May/2018: Population update. Data source: UNHCR/Cluster partners
21/May/2018: Added as new camp. Data source: MIRA (Multi Sector Assessment Team)</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</si>
  <si>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 Trinity KBC Church) change to Trinity camp)  As per KBC email sent on Thu 7/5/2018 5:47 PM by PC KBC- HDD 
30/June /2018: Population update. Data source: UNHCR/Cluster partners
30/May/2018: Population update. Data source: UNHCR/Cluster partners
21/May/2018: Added as new camp. Data source: MIRA (Multi Sector Assessment Team)</t>
  </si>
  <si>
    <t>1/Nov/2018: Population update. Data source: KMSS_Myitkyina
1/October/2018: Population update. Data source: KMSS_Myitkyina
31/August/2018: Population update. Data source: KMSS_Myitkyina
31/July /2018: Population update. Data source: KMSS M</t>
  </si>
  <si>
    <t xml:space="preserve">1/Nov/2018: Population update. Data source: KBC
1/October/2018: Population update. Data source: KBC
31/August/2018: Population update. Data source: KBC
31/July/2018: Population update: Data Source: KBC ( The camp status change to Camp from Camp like setting as KBC covers as CMA from July 2018
5/July/2018: The camp name “ Tanail KBC Church) change to Tanai KBC camp  As per KBC email sent on Thu 7/5/2018 5:47 PM by PC KBC- HDD </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</si>
  <si>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Monthly report by KBC).
19-Aug-15 Update population from KBC
25-Jun-2015 Update population. Data Source: KBC
Update population according to KBC data</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</si>
  <si>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2/Dec/2015 (Population update. Data source: Monthly report by KBC).
19-Aug-15 Update population from KBC
25-Jun-2015 Update population. Data Source: KBC
Update population according to KBC data</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</si>
  <si>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6/June/2017: Added as new camp instead of Zai Awng - Mung Ga Zup camp because of the conflict on Dec, 2016. So IDPs ( from Zai Awng - Mung Ga Zup ) flew to Lung Byen. They stay awhile at Lung Byen and then they moved to Shait Yang on 17 Jan 2017. Changed the camp name as "Shait Yan</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</si>
  <si>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Population update. Data source: KBC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25-Jun-2015 Update population. Data Source: KBC
Changed NGCA to GCA. Source: Programme Unit.</t>
  </si>
  <si>
    <t>1/Nov/2018: Population update. Data source: KBC
1/October/2018: Population update. Data source: KBC
31/August/2018: Population update. Data source: KBC
31/July /2018: Camp Status change to Camp from Camp Like Setting ( KBC covers as CMA from July 2018)
31/July /2018: Population update. Data source: KBC
5/July/2018: The camp name change Bethela KBC church to  Waimaw Baptist Zonal Offie 2 As per KBC email sent on Thu 7/5/2018 5:47 PM by PC KBC- HDD 
30/June /2018: Population update. Data source: UNHCR/Cluster partners
30/May/2018: Population update. Data source: UNHCR/Cluster partners
30/May/2018: Added as new camp</t>
  </si>
  <si>
    <t>1/Nov/2018: Population update. Data source: KMSS_Myitkyina
1/October/2018: Population update. Data source: KMSS_Myitkyina
31/August/2018: Population update. Data source: KMSS_Myitkyina ( Number of household and population was increase in July ( +9HHs/45pax ). Living in host community. This families came from Maga Yang and Sha It Yang along with their children who have to attend the high School in Laiza which is nearby Woi Chyai) 
31/July/2018: Population update. Data source: KMSS_Myitkyina
30/June/2018: Population update. Data source: KMSS_Myitkyina
31/May/2018: Population update. Data source: KMSS_Myitkyina
10/May/2018: Population update. Data source: KMSS_Myitkyina
30/Apr/2018: Population update. Data source: KMSS_Myitkyina
27/Mar/2018: Population update. Data source: KMSS_Myitkyina
12/Jan/2018: Pop update. Data source: KMSS_Myitkyina
29/June/2017: Pop update. Data source: KMSS_Myitkyina
2/June/2017: Pop update. Data source: KMSS_Myitkyina
3/May/2017: Pop update. Data source: KMSS_Myitkyina
24/Apr/2017: Pop update. Data source: KMSS_Myitkyina
14/Feb/2017: Population update. Data source: KMSS_Myitkyina
10/Jan/2017: Population update. Data source: KMSS_Myitkyina
21/Oct/2016: Population update. Data source: KMSS_Myitkyina
1/Sep/2016: population update. Data source: KMSS_Myitkyina
14/Jul/2016: Population update. Data Source:KMSS_Myitkyina
16/Jun/2016. Population update. Data source: monthly report from KMSS_MYT
10/May/2016. Population update. Data source:KMSS
16/Feb/2016. HH and Pop correction
28/Jan/2016. Population update. Data source: KBC 
2/Dec/2015 (Population update. Data source: Monthly report by KMSS_MYT). Reason for pop changes; Travelling from the camp for daily work.
23-Oct-15 (Population update. Data sorce: Monthly report by KMSS-MYT). Reason for changes; Arrived from daily work.
2-Oct-15 (Population update. Data Source: Monthly report by KMSS-MYT)
19-Aug-15 (Population update: Data Source: KMSS-MYT)
25-Jun-15 (Population update. Source: IRRC)
Population Update. Source: KMSS-MYT</t>
  </si>
  <si>
    <t>CDA</t>
  </si>
  <si>
    <t>Pyin Hpyu Maw</t>
  </si>
  <si>
    <t>newly added in Q4 2018</t>
  </si>
  <si>
    <t>Ba laung Chaung</t>
  </si>
  <si>
    <t>Thin Pyin</t>
  </si>
  <si>
    <t>Kauk Kyaing</t>
  </si>
  <si>
    <t>Pone Sar</t>
  </si>
  <si>
    <t>Aung Zay Ya</t>
  </si>
  <si>
    <t>Pyeing Chaung</t>
  </si>
  <si>
    <t>CDN - newly added in Q4</t>
  </si>
  <si>
    <t>Than Pyin</t>
  </si>
  <si>
    <t>Kauk Kyit</t>
  </si>
  <si>
    <t>Pon Sar</t>
  </si>
  <si>
    <t>OXSI (Oxfam)</t>
  </si>
  <si>
    <t>OXSI (SI)</t>
  </si>
  <si>
    <t xml:space="preserve"> # of hand washing stations with sufficient soap</t>
  </si>
  <si>
    <t>Khaung Doke Khar 1</t>
  </si>
  <si>
    <t>Khaung Doke Khar 2 (Hmanzi)</t>
  </si>
  <si>
    <t>Phwe Yar Kone (Say Tha Mar Gyi)</t>
  </si>
  <si>
    <t>CCCM_2018Dec</t>
  </si>
  <si>
    <t>4W Activities (2019)</t>
  </si>
  <si>
    <t>Activity
Measurement</t>
  </si>
  <si>
    <t>Output
Measurement</t>
  </si>
  <si>
    <t>State
(Rakhine, Kachin-Shan, All)</t>
  </si>
  <si>
    <t>Reporting period</t>
  </si>
  <si>
    <t>All</t>
  </si>
  <si>
    <t>WASH project agency</t>
  </si>
  <si>
    <t>Name of WASH program agency (program agency and implementing agency may be the same)</t>
  </si>
  <si>
    <t>WASH implementing agency</t>
  </si>
  <si>
    <t>Name of WASH implementing agency (program agency and implementing agency may be the same)</t>
  </si>
  <si>
    <t>Donors</t>
  </si>
  <si>
    <t>Named from Myanmar national naming conventions</t>
  </si>
  <si>
    <t>Site type (camp or village)</t>
  </si>
  <si>
    <t>The site may be either a CCCM registered camp or a village</t>
  </si>
  <si>
    <t xml:space="preserve">Site name </t>
  </si>
  <si>
    <t>All camp names need to be aligned with CCCM naming conventions</t>
  </si>
  <si>
    <t>Project start date</t>
  </si>
  <si>
    <t>Current project start date</t>
  </si>
  <si>
    <t>Project end date</t>
  </si>
  <si>
    <t>Current project end date</t>
  </si>
  <si>
    <t>Person work days lost due to access restrictions to the site</t>
  </si>
  <si>
    <t>drop down
(Yes, No)</t>
  </si>
  <si>
    <t>Estimate liters/person/day</t>
  </si>
  <si>
    <t>HRP1: Percentage of women, men, boys and girls benefitting from safe/improved drinking water, meeting demand for domestic purposes, at minimum/agreed standards</t>
  </si>
  <si>
    <t>HRP 1 (unimproved sources)</t>
  </si>
  <si>
    <t>HRP  (unimproved sources)</t>
  </si>
  <si>
    <t>HRP 2 (latrine X 20 ppl)</t>
  </si>
  <si>
    <t>HRP 2 (latrine X 6 ppl)</t>
  </si>
  <si>
    <t xml:space="preserve">HRP2: Percentage of targeted women, men, boys and girls benefitting from a functional excreta disposal system, reducing safety/public health/environmental risks
</t>
  </si>
  <si>
    <t>V42</t>
  </si>
  <si>
    <t>V43</t>
  </si>
  <si>
    <t>V44</t>
  </si>
  <si>
    <t>V45</t>
  </si>
  <si>
    <t>HRP 2 (Latrine X 20 ppl)</t>
  </si>
  <si>
    <t>V46</t>
  </si>
  <si>
    <t>V47</t>
  </si>
  <si>
    <t>V48</t>
  </si>
  <si>
    <t>V49</t>
  </si>
  <si>
    <t>V50</t>
  </si>
  <si>
    <t>V51</t>
  </si>
  <si>
    <t>V52</t>
  </si>
  <si>
    <t>V53</t>
  </si>
  <si>
    <t>V54</t>
  </si>
  <si>
    <t>V55</t>
  </si>
  <si>
    <t>V56</t>
  </si>
  <si>
    <t>V57</t>
  </si>
  <si>
    <t>HRP 3 (1:100 HHs)</t>
  </si>
  <si>
    <t>HRP35 (1:100 HHs)</t>
  </si>
  <si>
    <t>HRP3: Percentage of targeted women, men, boys and girls benefitting from timely/adequate/tailored personal hygiene items and receiving appropriate/ community tailored messages that enable health seeking behavior</t>
  </si>
  <si>
    <t>V58</t>
  </si>
  <si>
    <t>V59</t>
  </si>
  <si>
    <t>HRP 3 (11ks / HH / Qtr)</t>
  </si>
  <si>
    <t>V60</t>
  </si>
  <si>
    <t>HRP 3 (45 sanitary pads / menstrating age female / HH / quater)</t>
  </si>
  <si>
    <t>V61</t>
  </si>
  <si>
    <t>V62</t>
  </si>
  <si>
    <t>V63</t>
  </si>
  <si>
    <t>2019 HRP Calculation</t>
  </si>
  <si>
    <t xml:space="preserve">HRP 2019 Indicators </t>
  </si>
  <si>
    <t>Percentage of women, men, boys and girls benefitting from safe/improved drinking water, meeting demand for domestic purposes, at minimum/agreed standards</t>
  </si>
  <si>
    <t>Percentage of targeted women, men, boys and girls benefitting from a functional excreta disposal system, reducing safety/public health/environmental risks</t>
  </si>
  <si>
    <t>Camp figures is needed to align with CCCM</t>
  </si>
  <si>
    <t>Site information</t>
  </si>
  <si>
    <t>Project Duration</t>
  </si>
  <si>
    <t>WASH Partner &amp; Donor information</t>
  </si>
  <si>
    <t>2019_Q1</t>
  </si>
  <si>
    <t>2019_Q2</t>
  </si>
  <si>
    <t>2019_Q3</t>
  </si>
  <si>
    <t>2019_Q4</t>
  </si>
  <si>
    <t>2019 HRP Indicators</t>
  </si>
  <si>
    <t>Number of students with equitable access to functioing school latrines</t>
  </si>
  <si>
    <t>အစီရင္ခံစာ ေပးပို႔သည္႔ကာလ</t>
  </si>
  <si>
    <t xml:space="preserve">အဖြဲ႔အစည္းအမည္ </t>
  </si>
  <si>
    <t>စခန္းတြင္သြားေရာက္ ေထာက္ပံ႔ေသာ အဖြဲ႔အစည္းအမည္</t>
  </si>
  <si>
    <t>အလွဴရွင္ အမည္</t>
  </si>
  <si>
    <t xml:space="preserve">ျပည္နယ္ </t>
  </si>
  <si>
    <t>ျမိဳ႔နယ္</t>
  </si>
  <si>
    <t>စခန္း အမ်ိဳးအစား ( ယာယီ စခန္း ၊ ယာယီမဟုတ္ေသာ စခန္း )</t>
  </si>
  <si>
    <t>စခန္းအမည္ ( စခန္းစီမံခန္႔ခြဲေရးေကာ္မတီမွ ေပးေသာ နာမည္ )</t>
  </si>
  <si>
    <t>စီမံကိန္းစတင္သည္႔ေန႔</t>
  </si>
  <si>
    <t>စီမံကိန္း ျပီးဆံုးမည္႔ေန႔</t>
  </si>
  <si>
    <t>စခန္းအတြင္း WASH ႏွင့္ သက္ဆိုင္ေသာ လုပ္ငန္းမ်ားလုပ္ေဆာင္ရန္ အဖြဲ႕အစည္းမွ အခေၾကးေငြျဖင့္ခန္႔ထားေသာ (က်ြမ္းက်င္)၀န္ထမ္း  အေရအတြက္</t>
  </si>
  <si>
    <t>စခန္းအတြင္း အဖြဲ႕အစည္းမွ အခေၾကးေငြျဖင့္ခန္႔ထားေသာ (အေထြေထြလုပ္သား) WASH ၀န္ထမ္း အေရအတြက္</t>
  </si>
  <si>
    <t>စခန္းအတြင္း WASH ႏွင့္ သက္ဆိုင္ေသာ လုပ္ငန္းမ်ားလုပ္ေဆာင္ရန္ အဖြဲ႕အစည္းမွ အခေၾကးေငြျဖင့္ခန္႔ထားေသာ (အေထြေထြလုပ္သား)၀န္ထမ္း  အေရအတြက္</t>
  </si>
  <si>
    <t>သြားလာခြင့္ အကန္႔အသတ္မ်ားေၾကာင့္ လုပ္ငန္း ရပ္တန္႔ေနေသာ ရက္မ်ား</t>
  </si>
  <si>
    <t>သြားလာခြင့္ အကန္႔အသတ္မ်ားေၾကာင့္အလုပ္သမားမ်ား  လုပ္ငန္း ရပ္တန္႔ေနေသာ ရက္မ်ား ( စုစုေပါင္းအလုပ္နားရက္)</t>
  </si>
  <si>
    <t>WASH ေကာ္မတီသည္ စခန္းဧ။္  စီမံခန္႔ခြဲမွု အဖြဲ႔တြင္ပါ၀င္မွုရွိသလား</t>
  </si>
  <si>
    <t>စခန္း ဧ။္ WASH အဖြဲ႔တြင္ ပါ၀င္ေသာ အမ်ိဴးသား ဦးေရ</t>
  </si>
  <si>
    <t>စခန္း ဧ။္ WASH အဖြဲ႔တြင္ ပါ၀င္ေသာ အမ်ိဴးသမီး ဦးေရ</t>
  </si>
  <si>
    <t>ေရ သယ္ယူေထာက္ပံ႔ျခင္းလုပ္ငန္း ( ကားျဖင္႔ (သို႔မဟုတ္) ေလွျဖင္႔ )</t>
  </si>
  <si>
    <t xml:space="preserve">ေရျပတ္လပ္ေသာလ တြင္ စံခ်ိန္ စံညြန္း ႏွင္႔ အညီ ေထာက္ပံ႔ ေပးခဲ႔ ေသာ ေရ လီတာေပါင္း ( လူတစ္ဦး အတြက္ တစ္ရက္လွ်င္ အနည္းဆံုး ၇.၅ လီတာ ခန္႔ ) </t>
  </si>
  <si>
    <t>e.coli ပိုးရွိ မရွိ စစ္ေဆးထားေသာ္လဲ ေျမေရစစ္အိုးျဖင္႔ မေသာက္သံုးပါ က ကာရံထားေသာ ေရ ကန္ ၊ ေရအိုင္မွေရအား သန္႔ရွင္းေသာ ေသာက္သံုးေရ ဟုမဆိုနိုင္ပါ။</t>
  </si>
  <si>
    <t>ေရႏွင္႔ ပါတ္သက္ျပီး ထပ္မံျဖည္႔စြက္လိုေသာ အေၾကာင္းအရာရွိပါက ျဖည္႔ရန္</t>
  </si>
  <si>
    <t>မိသားစု မ်ားမွ မိမိတို႔ကိုယ္တိုင္ စီမံခန္႔ခြဲ ႏိုင္ေသာ အိမ္သာအျဖစ္ လံုးဝလြဲေျပာင္းျပီးေသာ အိမ္သာ အေရအတြက္</t>
  </si>
  <si>
    <t>ေကာင္းမြန္ေသာ စံမံခန္႔ခြဲမႈရွိေသာ အမိႈက္သိမ္းစနစ္ ရွိပါသလား ( အမိႈက္မီးရွိဳ႕ စက္ ၊ အမိႈက္ကားျဖင္႔ သိမ္းစနစ္ ၊ လူထုမွ ကိုယ္တိုင္သန္႔ရွင္းေရးစနစ္ )</t>
  </si>
  <si>
    <t>ေကာင္းမြန္ေသာ စံမံခန္႔ခြဲမႈရွိေသာ အမိႈက္သိမ္းစနစ္ ရွိပါသလား ( အမိႈက္မီးရွိဳ႕ စက္ ၊ အမိႈက္ကားျဖင္႔ သိမ္းစနစ္ ၊ လူထုမွ အမိႈက္ပံုးမ်ားျဖင္႔  ကိုယ္တိုင္သန္႔ရွင္းေရးစနစ္ )</t>
  </si>
  <si>
    <t>ေကာင္းမြန္ေသာ ေရဆိုးထုတ္ ေျမာင္းစနစ္ ရွိပါသလား ( စခန္းအတြင္းေရအိုင္မ်ားမရွိျခင္း ၊ ျခင္ေပါက္ပြားမႈမရွိျခင္း၊  ေရဆိုးမ်ားပိတ္ဆို႔မႈမရွိဘဲ အၿမဲစီးဆင္းေနေသာ ေရေျမာင္းစနစ္အားဆိုလိုပါသည္။ )</t>
  </si>
  <si>
    <t xml:space="preserve">ကေလးသံုးအိမ္သာ အေရအတြက္ </t>
  </si>
  <si>
    <t>ကေလးသံုး အိမ္သာစုစုေပါင္း ( တံခါး အေရအတြက္အတိုင္း ေကာက္ယူပါမည္)</t>
  </si>
  <si>
    <t>မသန္စြမ္း ႏွင္႔ သက္ၾကီးရြယ္အိုမ်ားအသံုးျပဳႏိုင္ေသာ အိမ္သာ အေရအတြက္</t>
  </si>
  <si>
    <t>မသန္စြမ္း ႏွင္႔ သက္ၾကီးရြယ္အိုမ်ားအသံုးျပဳႏိုင္ေသာ အိမ္သာစုစုေပါင္း (  တံခါး အေရအတြက္အတိုင္း ေကာက္ယူပါမည္)</t>
  </si>
  <si>
    <t>မိလႅာသန္႔ရွင္းႏွင္႔ပါတ္သက္ျပီး ထပ္မံျဖည္႔စြက္လိုေသာ အေၾကာင္းအရာရွိပါက ျဖည္႔ရန္</t>
  </si>
  <si>
    <t>ထပ္မံျဖည္႔စြက္လိုေသာ အေၾကာင္းအရာရွိပါက ျဖည္႔ရန္</t>
  </si>
  <si>
    <t>စခန္းအတြင္းရွိ လက္ေဆးစင္ အေရအတြက္</t>
  </si>
  <si>
    <t>စခန္းအတြင္းရွိအသံုးျပဳရေသာ ( ေရႏွင္႔ ဆပ္ျပာရွိျပီး ပိုက္ေခါင္းမ်ား ေကာင္းေသာ) လက္ေဆးစင္ အေရအတြက္</t>
  </si>
  <si>
    <t>စခန္းအတြင္းရွိ မိသားစုသံုး သီးသန္႔ ေရခ်ိဳးခန္း အေရအတြက္</t>
  </si>
  <si>
    <t>စခန္းအတြင္အမ်ိဳးသမီး အမ်ိဳးသားခြဲထားေသာေကာင္းမြန္ေသာ အမ်ားသံုး ေရခ်ိဳးခန္း အေရအတြက္</t>
  </si>
  <si>
    <t>စခန္းအတြင္အမ်ိဳးသမီး အမ်ိဳးသားခြဲထားေသာ အမ်ားသံုး ေရခ်ိဳးခန္း အေရအတြက္ ( တံခါးမ်ားေကာင္းမြန္ျခင္း ၊ လံုျခံဳစိတ္ခ်မႈ႔ရွိျခင္း ၊ ေရစီးေရလာေကာင္းမြန္ျခင္း )</t>
  </si>
  <si>
    <t>စခန္းအတြင္းရွိ က်န္းမာေရး ၊ သန္႔ရွင္းေရး ျမွင္႔တင္ေရး လုပ္အားေပးဝန္ထမ္း-အမ်ိဳးသမီး  ( အဖြဲ႔အစည္းမ်ားမွ လုပ္အားဂုဏ္ျပဳေငြသို႔မဟုတ္ ၊ အေထာက္အပ႔ံ ရရွိေသာသူ) အေရအတြက္</t>
  </si>
  <si>
    <t>တစ္လလွ်င္ လူတစ္ဦး ရသင္႔ေသာ စံခ်ိန္စံညြန္းအတိုင္း ဆပ္ျပာ ရရွိေသာ အိမ္ေထာင္စု</t>
  </si>
  <si>
    <t>တစ္လလွ်င္ လူတစ္ဦး ရသင္႔ေသာ စံခ်ိန္စံညြန္းအတိုင္း အမ်ိဳးသမီးလစဥ္သံုး ပစၥည္း ရရွိေသာ အိမ္ေထာင္စု</t>
  </si>
  <si>
    <t>ယာယီစာသင္ေက်ာင္းေဆာင္တြင္ လက္ေဆးရန္လိုအပ္ေသာ ဆပ္ျပာရွိပါသလား ( ရွိ ၊ မရွိ ) သာေျဖရန္</t>
  </si>
  <si>
    <t>တကိုယ္ရည္သန္႔ရွင္းေရးျမွင္႔ တင္ျခင္းလုပ္ငန္းႏွင္႔ပါတ္သက္ျပီးထပ္မံျဖည္႔စြက္လိုပါက ထပ္ထည္႔ရန္</t>
  </si>
  <si>
    <t xml:space="preserve">စခန္းအတြင္းရွိ အဝီစီတြင္း ( တြင္းတိမ္ / တြင္းနက္ ) ႏွင္႔ လက္နိွပ္တံုကင္မ်ား သည္ အျခားေသာ ပုဂၢလိ က အဖြဲ႔အစည္းမ်ားမွ လွဴထားျပီး အစီရင္ခံ သည္႔ စာရင္းတြင္ မပါ ရွိေသာ အေရအတြက္ </t>
  </si>
  <si>
    <t>သဘာဝ ေရစီးဆင္းမႈစနစ္ျဖင္႔ တည္ေဆာက္ထားေသာ ေရသြယ္တန္းမႈစနစ္ ၊ ပိုက္လိုင္း ၊ သိုေလွာင္ကန္ အေရ အတြက္</t>
  </si>
  <si>
    <t xml:space="preserve">ေကာင္းမြန္ေသာ ေရဆိုးထုတ္ ေျမာင္းစနစ္ ရွိပါသလား </t>
  </si>
  <si>
    <t>စခန္းအတြင္းရွိ (အမ်ိဳးသား) က်န္းမာေရး ၊ သန္႔ရွင္းေရး  ျမွင္႔တင္ေရး လုပ္အားေပးဝန္ထမ္း</t>
  </si>
  <si>
    <t>အစီရင္ခံသည္႔ကာလ အတြင္း စခန္းအတြင္းရွိ က်န္းမာေရး ၊ သန္႔ရွင္းေရး ျမွင္႔တင္ေရး လုပ္အားေပးဝန္ထမ္း-အမ်ိဳးသား  ( အဖြဲ႔အစည္းမ်ားမွ လုပ္အားဂုဏ္ျပဳေငြသို႔မဟုတ္ ၊ အေထာက္အပ႔ံ ရရွိေသာသူ) အေရအတြက္</t>
  </si>
  <si>
    <t>စခန္းအတြင္းရွိ (အမ်ိဳးသမီး) က်န္းမာေရး ၊ သန္႔ရွင္းေရး  ျမွင္႔တင္ေရး လုပ္အားေပးဝန္ထမ္း</t>
  </si>
  <si>
    <t>စုစုေပါင္း လူဦးေရ အေရအတြက္</t>
  </si>
  <si>
    <t>စုစုေပါင္းအိမ္ေထာင္စု အေရအတြက္</t>
  </si>
  <si>
    <t># Liters/person/day</t>
  </si>
  <si>
    <t>drop down (Yes,No)</t>
  </si>
  <si>
    <t>Dropdown (Functional,Not_Functional,No,NA)</t>
  </si>
  <si>
    <t>Dropdown (Yes,No)</t>
  </si>
  <si>
    <t>အစီရင္ခံစာ ေပးပို႔သည္႔ကာလအတြင္း ေကာင္းမြန္စြာ အသံုးမျပဳႏိုင္ေသာ ဖံုးကာထားသည့္ ေရတြင္း အေရအတြက္</t>
  </si>
  <si>
    <t>အစီရင္ခံစာ ေပးပို႔သည္႔ကာလအတြင္း လက္ယက္ေရတြင္း စီမံခန္႔ခြဲျခင္း ႏွင္႔ ျပဳျပင္ထိမ္းသိမ္းျခင္း</t>
  </si>
  <si>
    <t>အစီရင္ခံစာ ေပးပို႔သည္႔ကာလအတြင္း စခန္းအတြင္း ရွိ္လက္ယက္ေရတြင္း မ်ား  စီမံခန္႔ခြဲျခင္း ႏွင္႔ ျပဳျပင္ထိမ္းသိမ္းျခင္း ျပဳလုပ္ေသာ အေရအတြက္</t>
  </si>
  <si>
    <r>
      <t>အစီရင္ခံစာ ေပးပို႔သည္႔ကာလအတြင္း သဘာ၀ ေရစီးဆင္းမွုစနစ္ျဖင္႔ တည္ေဆာက္ထားျပီး အသံုးျပဳ</t>
    </r>
    <r>
      <rPr>
        <sz val="10"/>
        <rFont val="Zawgyi-One"/>
        <family val="2"/>
      </rPr>
      <t>၍</t>
    </r>
    <r>
      <rPr>
        <sz val="9"/>
        <rFont val="zawgyi1"/>
        <family val="2"/>
      </rPr>
      <t xml:space="preserve"> မရေသာ </t>
    </r>
    <r>
      <rPr>
        <sz val="10"/>
        <rFont val="zawgyi1"/>
        <family val="2"/>
      </rPr>
      <t xml:space="preserve"> ေရသြယ္တန္းမႈ စနစ္ ၊ ပိုက္လိုင္း ၊ သိုေလွာင္ကန္ အေရ အတြက္ </t>
    </r>
  </si>
  <si>
    <r>
      <t xml:space="preserve">အစီရင္ခံစာ ေပးပို႔သည္႔ကာလအတြင္း ျပဳျပင္ထိမ္းသိမ္းမႈ႔ ျပဳလုပ္ေသာ  သဘာဝ ေရစီးဆင္းမႈ႔စနစ္ျဖင္႔ တည္ေဆာက္ထားျပီး </t>
    </r>
    <r>
      <rPr>
        <sz val="9"/>
        <rFont val="zawgyi1"/>
        <family val="2"/>
      </rPr>
      <t xml:space="preserve"> </t>
    </r>
    <r>
      <rPr>
        <sz val="10"/>
        <rFont val="zawgyi1"/>
        <family val="2"/>
      </rPr>
      <t xml:space="preserve"> ေရသြယ္တန္းမႈ႕ စနစ္ ၊ ပိုက္လိုင္း ၊ သိုေလွာင္ကန္ တုိ႔ အေရတြက္</t>
    </r>
  </si>
  <si>
    <t>အစီရင္ခံစာ ေပးပို႔သည္႔ကာလအတြင္း ေရထြက္ပင္ရင္းအားေရစမ္းသပ္ျပီးေနာက္ ကလိုရင္းေဆး ျဖင္႔ပိုးသတ္ျခင္းျပဳလုပ္သည္႔အေရအတြက္</t>
  </si>
  <si>
    <t>အစီရင္ခံစာ ေပးပို႔သည္႔ကာလအတြင္း ေရထြက္ပင္ရင္းမွ ေရနမူနာယူျပီး ေရစမ္းသပ္ျခင္း</t>
  </si>
  <si>
    <t>အစီရင္ခံစာ ေပးပို႔သည္႔ကာလအတြင္း ေရထြက္ပင္ရင္းမွ ေရနမူနာယူျပီး ေရစမ္းသပ္ျခင္း ျပဳလုပ္ေသာ နမူအေရအတြက္</t>
  </si>
  <si>
    <t>အစီရင္ခံစာ ေပးပို႔သည္႔ကာလအတြင္း မိသားစုသံုး ေသာက္ေရမွ ေရနမူနာယူျပီး ေရစမ္းသပ္ျခင္း ျပဳလုပ္ျပီးစီးသည္႔ အေရအတြက္</t>
  </si>
  <si>
    <t xml:space="preserve">အစီရင္ခံစာ ေပးပို႔သည္႔ကာလအတြင္း ေသာက္သံုးေရတြင္ ပိုးပါေသာ အိမ္ေထာင္စုမ်ားအားျပဳလုပ္ေသာေနာက္ဆက္တြဲ လုပ္ငန္းစဥ္ အၾကိမ္ အေရအတြက္ ( တကိုယ္ေရသန္႔ရွင္းေရး ေသာက္သံုးေရသန္႔ရွင္းေရးပညာေပး၊ ကလိုရင္းေဆးခတ္ျခင္း ) </t>
  </si>
  <si>
    <t>အစီရင္ခံစာ ေပးပို႔သည္႔ကာလအတြင္း မိသားစုသံုး ေသာက္ေရမွ ေရနမူနာယူျပီး ေရစမ္းသပ္ျခင္း</t>
  </si>
  <si>
    <t>အစီရင္ခံစာ ေပးပို႔သည္႔ကာလအတြင္း ေသာက္သံုးေရတြင္ ပိုးပါေသာ အိမ္ေထာင္စုမ်ားအားျပဳလုပ္ေသာေနာက္ဆက္တြဲ လုပ္ငန္းစဥ္</t>
  </si>
  <si>
    <t>အစီရင္ခံစာ ေပးပို႔သည္႔ကာလအတြင္း  မိလႅာစုပ္ထုတ္ခဲ႔ေသာ က်င္းအေရအတြက္</t>
  </si>
  <si>
    <t>အစီရင္ခံစာ ေပးပို႔သည္႔ကာလအတြင္း မိလႅာစုပ္ထုတ္ခဲ႔ေသာ က်င္းအေရအတြက္ ( အိမ္သာခန္းအေရအတြက္ ျဖင္႔ေကာက္ယူရန္  )</t>
  </si>
  <si>
    <t>အစီရင္ခံစာ ေပးပို႔သည္႔ကာလအတြင္း မိလႅာစုပ္ထုတ္ခဲ႔ေသာထုထည္ ပမာဏ ( ကုဗ မိတာ) - အလ်ား x အနံ x အျမင္႔  ( ၁၀၀ စီတီမိတာ = ၁ မိတာ ) မိတာျဖင္႔တိုင္းတာရန္</t>
  </si>
  <si>
    <t>အစီရင္ခံစာ ေပးပို႔သည္႔ကာလအတြင္း မိလႅာစုပ္ထုတ္ခဲ႔ေသာထုထည္ ပမာဏ</t>
  </si>
  <si>
    <t>မိသားစုသံုး အိမ္သာအျဖစ္  လံုးဝလြဲေျပာင္းျပီးေသာ အိမ္သာ အေရအတြက္</t>
  </si>
  <si>
    <t>လက္ရွိ ကာရံ ဖံုးအုပ္ထားေသာ ေရကန္၊ ေရအိုင္ အေရအတြက္</t>
  </si>
  <si>
    <r>
      <t>စခန္းအတြင္းရွိ လက္ရွိအိမ္သာအေရအတြင္း  ( ယာယီတိမ္းေရွာင္စခန္း တြင္ အေရးေပၚကာလသံုး ဒီဇိုင္း(သို႔) ယာယီမဟုတ္ေသာ တိ္မ္းေရွာင္စခန္း မ်ားတြင္စံခ်ိန္စံညြန္းႏွင္႔အညီေဆာက္လုပ္ျခင္း ) ႏွင္႔ အသံုးျပဳ</t>
    </r>
    <r>
      <rPr>
        <sz val="10"/>
        <rFont val="Zawgyi-One"/>
        <family val="2"/>
      </rPr>
      <t>၍</t>
    </r>
    <r>
      <rPr>
        <sz val="9"/>
        <rFont val="zawgyi1"/>
        <family val="2"/>
      </rPr>
      <t>ရေသာ အိမ္သာဆိုသည္မွာ ( က်င္း ေကာင္းမြန္ျခင္း၊ မိလႅာမ်ားျပည္႔မေနျခင္း ၊ လံု (၃) လံုႏွင္႔ျပ္ည္႔စံုျခင္း၊ အတြင္း တံခါး ၊ ေသာ႔မ်ား ၊ ၾကမ္းခင္းမ်ား ေကာင္းမြန္ျခင္း) တို႔ႏွင္ျပည္႔စံုရမည္။</t>
    </r>
  </si>
  <si>
    <t>Storage Capacity - meters cube</t>
  </si>
  <si>
    <t>Rakhine/Kachin</t>
  </si>
  <si>
    <t>site A</t>
  </si>
  <si>
    <t>auto calculation</t>
  </si>
  <si>
    <t>ေကာင္းမြန္စြာ အသံုးျပဳႏိုင္ေသာ ဖံုးကာထားသည္ စခန္းအတြင္းရွိ ေရတြင္း အေရအတြက္</t>
  </si>
  <si>
    <t>WASH အဖြဲ႔အစည္းမွ စခန္းေန လူထု အတြက္ လံုေလာက္ေသာ ပမာဏ အား ေန႔စဥ္ ထုတ္ေပးနိုင္ေသာ အသံုးျပဳေနဆဲ အဝီစီတြင္း ( တြင္းတိမ္ / တြင္းနက္ ) ႏွင္႔ လက္ႏိုပ္တံုကင္မ်ား အေရအတြက္</t>
  </si>
  <si>
    <t>ပုဂၢလိက/အျခားအလွဴရွင္မ်ား/အဖြဲ့အစည္းမ်ားမွ လွဴထားေသာ  အဝီစီတြင္း ( တြင္းတိမ္ / တြင္းနက္ ) ႏွင္႔ လက္နိွပ္တံုကင္မ်ား အေရအတြက္</t>
  </si>
  <si>
    <t>V64</t>
  </si>
  <si>
    <t>V65</t>
  </si>
  <si>
    <t>Donors should be filled WASH program agency's donor if WASH project agency and WASH implementing agency is different.</t>
  </si>
  <si>
    <r>
      <t xml:space="preserve">Hygiene Gap %
</t>
    </r>
    <r>
      <rPr>
        <b/>
        <sz val="10"/>
        <color rgb="FFFF0000"/>
        <rFont val="Crobel"/>
      </rPr>
      <t>Red &gt;=30%,</t>
    </r>
    <r>
      <rPr>
        <b/>
        <sz val="10"/>
        <color theme="0"/>
        <rFont val="Crobel"/>
      </rPr>
      <t xml:space="preserve">
</t>
    </r>
    <r>
      <rPr>
        <b/>
        <sz val="10"/>
        <color rgb="FFFFC000"/>
        <rFont val="Crobel"/>
      </rPr>
      <t>Orange 0%~29%,</t>
    </r>
    <r>
      <rPr>
        <b/>
        <sz val="10"/>
        <color theme="0"/>
        <rFont val="Crobel"/>
      </rPr>
      <t xml:space="preserve"> 
</t>
    </r>
    <r>
      <rPr>
        <b/>
        <sz val="10"/>
        <color theme="9" tint="-0.499984740745262"/>
        <rFont val="Crobel"/>
      </rPr>
      <t>Green =0%</t>
    </r>
  </si>
  <si>
    <t>အကယ္၍ V2 ႏွင့္ v3 မတူေနလွ်င္ အလွဴရွင္ အမည္သည္ v2 ၏ အလွဴရွင္ အမည္ျဖစ္သင့္သည္။</t>
  </si>
  <si>
    <t xml:space="preserve">စီမံကိန္းကို ဦးေဆာင္ေသာ အဖြဲ႔အစည္းအမည္ </t>
  </si>
  <si>
    <t>စခန္းတြင္းရွိ စုစုေပါင္းအိမ္ေထာင္စု အေရအတြက္</t>
  </si>
  <si>
    <t>စခန္းတြင္းရွိ  စုစုေပါင္း လူဦးေရ အေရအတြက္</t>
  </si>
  <si>
    <t>WASH အဖြဲ႔သည္ စခန္းစီမံ ခန္႔ခြဲမႈ နွင္႔ ခ်ိတ္ဆက္မႈရွိျပီး သတင္းအခ်က္အလက္မ်ားမ်ွေဝျခင္း (ရွိ ၊ မရွိ)</t>
  </si>
  <si>
    <t>စခန္းအတြင္း WASH အဖြဲ႔တြင္  ပါ၀င္ေသာ အမ်ိဳးသမီးဦးေရ</t>
  </si>
  <si>
    <t>စခန္းအတြင္း WASH အဖြဲ႔တြင္  ပါ၀င္ေသာ အမ်ိဳးသားဦးေရ</t>
  </si>
  <si>
    <t>ေကာင္းမြန္စြာ အသံုးျပဳႏိုင္ေသာ ဖံုးကာထားသည့္ စခန္းအတြင္းရွိ ေရတြင္း အေရအတြက္။ တစ္ေန့လံုး ေသာက္ေရ၊သံူးေရ အျဖစ္ သံုးစြဲလို႔ရသည္။</t>
  </si>
  <si>
    <t>သဘာ၀ ေရစီးဆင္းမွုစနစ္ျဖင္႔ တည္ေဆာက္ထားေသာ ေရသြယ္တန္းမႈစနစ္ ၊ ပိုက္လိုင္း ၊ သိုေလွာင္ကန္ အေရ အတြက္</t>
  </si>
  <si>
    <t>( WASH အဖြဲ႔အစည္းမွ ပံ့ပိုးထားေသာ) စခန္းအတြင္းရွိ  လက္ရွိအိမ္သာအေရအတြင္း ( ယာယီတိမ္းေရွာင္စခန္း တြင္ အေရးေပၚကာလသံုး ဒီဇိုင္း(သို႔) ယာယီမဟုတ္ေသာ တိ္မ္းေရွာင္စခန္း မ်ားတြင္စံခ်ိန္စံညြန္းႏွင္႔အညီေဆာက္လုပ္ျခင္း )</t>
  </si>
  <si>
    <t>WASH အစုအဖြဲ႔သို႔ သတင္းေပးပို႔ရာတြင္ မပါဝင္ေသာ ပုဂၢလိက/အျခားအလွဴရွင္မ်ား/အဖြဲ့အစည္းမ်ားမွ လွဴထားေသာ   အိမ္သာမ်ား အေရအတြက္</t>
  </si>
  <si>
    <t>အစီရင္ခံစာ ေပးပို႔သည္႔ကာလအတြင္း အသံုးျပဳမရေသာ လက္ေဆးစင္ အေရအတြက္</t>
  </si>
  <si>
    <t>အစီရင္ခံစာ ေပးပို႔သည္႔ကာလအတြင္း အသံုးျပဳမရေသာ င္အမ်ိဳးသမီး အမ်ိဳးသားခြဲထားေသာ အမ်ားသံုး ေရခ်ိဳးခန္း အေရအတြက္</t>
  </si>
  <si>
    <t>အစီရင္ခံစာ ေပးပို႔သည္႔ကာလအတြင္း သဘာဝ ေရစီးဆင္းမွုစနစ္ျဖင္႔ တည္ေဆာက္ထားျပီး အသံုးျပဳ၍ မရေသာ  ေရသြယ္တန္းမႈစနစ္ ၊ ပိုက္လိုင္း ၊ သိုေလွာင္ကန္ အေရ အတြက္</t>
  </si>
  <si>
    <t>Number of person days</t>
  </si>
  <si>
    <r>
      <rPr>
        <b/>
        <sz val="10"/>
        <rFont val="Corbel"/>
        <family val="2"/>
      </rPr>
      <t>Example:</t>
    </r>
    <r>
      <rPr>
        <sz val="10"/>
        <rFont val="Corbel"/>
        <family val="2"/>
      </rPr>
      <t xml:space="preserve"> If one paid employee could not access the site for 3 days and one paid employee could not access for 1 day due to access restrictions, total = 4 days lost (not 2 people)</t>
    </r>
  </si>
  <si>
    <t>#cubic meters</t>
  </si>
  <si>
    <t>Estimate liters/person/day (cubic meters)</t>
  </si>
  <si>
    <t>Kachin/Shan</t>
  </si>
  <si>
    <t>V66</t>
  </si>
  <si>
    <t>V67</t>
  </si>
  <si>
    <t>V68</t>
  </si>
  <si>
    <t>ယာယီ ေက်ာင္းေဆာင္မ်ား နွင့္ ကေလးေပ်ာ္ေနရာမ်ား တြင္တက္ေရာက္ေနေသာ ေက်ာင္းသားဦးေရ</t>
  </si>
  <si>
    <t>WASH အဖြဲ႔အစည္းမွ ပံ့ပိုးထားေသာ အဝီစီတြင္း ( တြင္းတိမ္ / တြင္းနက္ ) ႏွင္႔ လက္နိွပ္တံုကင္မ်ား အေရအတြက္</t>
  </si>
  <si>
    <t>အစီရင္ခံစာ ေပးပို႔သည္႔ကာလအတြင္း  ေကာင္းမြန္စြာ အသံုးမျပဳႏိုင္ေသာ အဝီစီတြင္း ( တြင္းတိမ္ / တြင္းနက္ ) ႏွင္႔  လက္နိွပ္တံုကင္မ်ား အေရအတြက္ (ပုဂၢလိက/အျခားအလွဴရွင္မ်ား/အဖြဲ့အစည္းမ်ားမွ လွဴဒါန္းမွုမ်ားအပါအ၀င္)</t>
  </si>
  <si>
    <t>အစီရင္ခံစာ ေပးပို႔သည္႔ကာလအတြင္း စီမံခန္႔ခြဲျခင္း ႏွင္႔ ျပဳျပင္ထိမ္းသိမ္းျခင္း ျပဳလုပ္ရေသာ အဝီစီတြင္း ( တြင္းတိမ္ / တြင္းနက္ ) ႏွင့္ လက္နိွပ္တံုကင္မ်ား အေရအတြက္ (ပုဂၢလိက/အျခားအလွဴရွင္မ်ား/အဖြဲ့အစည္းမ်ားမွ လွဴဒါန္းမွုမ်ားအပါအ၀င္)</t>
  </si>
  <si>
    <t>အစီရင္ခံစာ ေပးပို႔သည္႔ကာလအတြင္း ျပဳျပင္ထိမ္းသိမ္းမႈ ျပဳလုပ္ျပီးစီးေသာ  (သဘာဝ ေရစီးဆင္းမႈ႔စနစ္ျဖင္႔ တည္ေဆာက္ထားျပီး) ေရသြယ္တန္းမႈ႕ စနစ္ ၊ ပိုက္လိုင္း ၊ သိုေလွာင္ကန္ တုိ႔ အေရတြက္</t>
  </si>
  <si>
    <t>လက္ရွိ တည္ေဆာက္အသံုးျပဳေနေသာ ေရ အရင္းအျမစ္ ( ျမစ္ေခ်ာင္း) မွ တဆင္ ့ ေရျဖန္႔ျဖဴးေသာ စနစ္</t>
  </si>
  <si>
    <t>လက္ရွိ တည္ေဆာက္အသံုးျပဳေနေသာ ေရ အရင္းအျမစ္ ( ျမစ္ေခ်ာင္း) မွ ေန႔စဥ္ထုတ္ယူ အသံုးျပဳႏိုင္ေသာ ေရပမာဏ</t>
  </si>
  <si>
    <t>စခန္းတြင္းေနထိုင္သူမ်ားသို႔ လႊဲေျပာင္းေပးျပီးေသာ ေရထြက္ပင္ရင္းေနရာမ်ားအား ျပဳျပင္ထိန္းသိမ္းျခင္း သင္တန္းရရွိျပီးေသာ က်ြမ္းက်င္သူအေရအတြက္</t>
  </si>
  <si>
    <t>စခန္းေန ျပည္သူသို႔ အျပည္မဝ လႊဲေျပာင္းေပးျပီးေသာ ေရထြက္ပင္ရင္းေနရာမ်ား ( စခန္းေနထိုင္သူမ်ားမွ စီမံခန္႔ခြဲၿပီး WASH ေကာ္မတီမွ ျပဳျပင္ထိန္းသိမ္းျခင္း )</t>
  </si>
  <si>
    <t>စခန္းေန ျပည္သူသို႔ အျပည္မဝ   လႊဲေျပာင္းေပးျပီးေသာ ေရထြက္ပင္ရင္းေနရာမ်ား ၏ အေရအတြက္ ( စခန္းေနထိုင္သူမ်ားမွ စီမံခန္႔ခြဲၿပီး WASH ေကာ္မတီမွ ျပဳျပင္ထိန္းသိမ္းျခင္း )</t>
  </si>
  <si>
    <t>ယာယီ ေက်ာင္းေဆာင္မ်ား ႏွင့္ ကေလးေပ်ာ္ေနရာမ်ား တြင္ ရွိေသာ လက္ေဆးစင္ အေရအတြက္</t>
  </si>
  <si>
    <t>ယာယီ ေက်ာင္းေဆာင္မ်ား နွင့္ ကေလးေပ်ာ္ေနရာမ်ားတြင္ ေဆာက္လုပ္ၿပီးစီးသည္႔ လက္ေဆးစင္ အေရအတြက္</t>
  </si>
  <si>
    <t>ယာယီ ေက်ာင္းေဆာင္မ်ား နွင့္ ကေလးေပ်ာ္ေနရာမ်ားတြင္ ေဆာက္လုပ္ထားေသာ ေရထြက္ပင္ရင္း ေရသံုးရန္ ေနရာ</t>
  </si>
  <si>
    <t>ယာယီ ေက်ာင္းေဆာင္မ်ား နွင့္ ကေလးေပ်ာ္ေနရာမ်ားတြင္ ေဆာက္လုပ္ထားေသာ ေရထြက္ပင္ရင္း ေရသံုးရန္ ေနရာ ေဆာက္လုပ္ျပီးစီးသည္႔ အေရအတြက္ (သို႔) ျပဳျပင္ေပးသည္႔ အေရအတြက္</t>
  </si>
  <si>
    <t>ပုဂၢလိက/အျခားအလွဴရွင္မ်ား/အဖြဲ့အစည္းမ်ားမွ လွဴထားေသာ   အိမ္သာအေရအတြက္</t>
  </si>
  <si>
    <r>
      <t>အိမ္သာလွဴထားေသာ ပုဂၢလိက/အျခားအလွဴရွင္မ်ား/အဖြဲ့အစည္းမ်ား</t>
    </r>
    <r>
      <rPr>
        <sz val="10"/>
        <rFont val="zawgyi1"/>
        <family val="2"/>
      </rPr>
      <t>၏</t>
    </r>
    <r>
      <rPr>
        <sz val="10"/>
        <rFont val="Zawgyi-One"/>
        <family val="2"/>
      </rPr>
      <t xml:space="preserve"> အမည္</t>
    </r>
  </si>
  <si>
    <t>အိမ္သာလွဴထားေသာ ပုဂၢလိက/အျခားအလွဴရွင္မ်ား/အဖြဲ့အစည္းမ်ား၏ အမည္</t>
  </si>
  <si>
    <t>အစီရင္ခံစာ ေပးပို႔သည္႔ကာလအတြင္း အသံုးျပဳမရေသာ အိမ္သာမ်ား အေရအတြက္ (ပုဂၢလိက/အျခားအလွဴရွင္မ်ား/အဖြဲ့အစည္းမ်ားမွ လွဴဒါန္းမွုမ်ားအပါအ၀င္)</t>
  </si>
  <si>
    <t>အစီရင္ခံစာ ေပးပို႔သည္႔ကာလအတြင္း အသံုး ျပဳမရေသာ အိမ္သာ အေရအတြက္ (ပုဂၢလိက/အျခားအလွဴရွင္မ်ား/အဖြဲ့အစည္းမ်ားမွ လွဴဒါန္းမွုမ်ားအပါအ၀င္)</t>
  </si>
  <si>
    <t>အစီရင္ခံစာ ေပးပို႔သည္႔ကာလအတြင္း အၾကီးစားျပင္ဆင္ရန္လိုအပ္ေသာ အိမ္သာ ( အသံုးျပဳမရေသာ အေျခအေန) (ပုဂၢလိက/အျခားအလွဴရွင္မ်ား/အဖြဲ့အစည္းမ်ားမွ လွဴဒါန္းမွုမ်ားအပါအ၀င္)</t>
  </si>
  <si>
    <t>အၾကီးစားျပင္ဆင္ရန္လိုအပ္ေသာ အေျခအေန ဆိုသည္မွာ ( မိလႅာက်င္းဖံုး မရွိျခင္း ၊ ပ်က္စီးျခင္း၊ အမိုး အကာ မ်ားပ်က္စီးျခင္း ၊ ၾကမ္းခင္းမ်ားပ်က္စီးျခင္း ၊ အတက္အဆင္းေလွကားထစ္ မရွိျခင္း ပ်က္စီးျခင္း ၊ ပိုက္ ခြက္မ်ား ပ်က္စီးျခင္း ၊ ပိုက္လိုင္းမ်ားပ်က္စီးျခင္းတို႔ပါဝင္သည္။) (ပုဂၢလိက/အျခားအလွဴရွင္မ်ား/အဖြဲ့အစည္းမ်ားမွ လွဴဒါန္းမွုမ်ားအပါအ၀င္)</t>
  </si>
  <si>
    <t xml:space="preserve">စခန္းတြင္းရွိ ယာယီစာသင္ေက်ာင္းမ်ား နွင့္ ကေလးေပ်ာ္ေနရာမ်ား တြင္ရွိေသာ အိမ္သာအေရအတြက္ </t>
  </si>
  <si>
    <t>စခန္းတြင္းရွိ ယာယီစာသင္ေက်ာင္းမ်ား နွင့္ ကေလးေပ်ာ္ေနရာမ်ား တြင္ရွိေသာ အိမ္သာ  အေရအတြက္ (  တံခါး အေရအတြက္အတိုင္း ေကာက္ယူပါမည္)</t>
  </si>
  <si>
    <t>ယာယီစာသင္ေက်ာင္းေဆာင္မ်ား နွင့္ ကေလးေပ်ာ္ေနရာမ်ားတြင္ တကိုယ္ရည္သန္႔ရွင္းေရးပညာေပးအစီအစဥ္  
( အၾကိမ္အေရတြက္ ) သာေျဖရန္</t>
  </si>
  <si>
    <t>တကိုယ္ရည္သန္႔ရွင္းေရးပညာေပးအစီအစဥ္မ်ား ရရွိေသာ ေက်ာင္းသား ရာခိုင္နွိုင္း</t>
  </si>
  <si>
    <t>Percentage of targeted women, men, boys and girls benefitting from timely/adequate/tailored personal hygiene items and receiving appropriate/ community tailored messages that enable health seeking behavior</t>
  </si>
  <si>
    <t>Safe drinking water</t>
  </si>
  <si>
    <t>% Equitable and continuous access to sufficient quantity of domestic water</t>
  </si>
  <si>
    <t># people with equitable and continuous access to sufficient quantity of safe drinking water</t>
  </si>
  <si>
    <t>Number of women, men, boys and girls benefitting from safe/improved drinking water, meeting demand for domestic purposes, at minimum/agreed standards</t>
  </si>
  <si>
    <t># people needs equitable and continuous access to sufficient quantity of safe drinking and domestic water GAP</t>
  </si>
  <si>
    <t>water point gap</t>
  </si>
  <si>
    <r>
      <t>WATER GAP</t>
    </r>
    <r>
      <rPr>
        <b/>
        <sz val="12"/>
        <color rgb="FFFF0000"/>
        <rFont val="Corbel"/>
        <family val="2"/>
      </rPr>
      <t/>
    </r>
  </si>
  <si>
    <t># students access to functioning school latrines</t>
  </si>
  <si>
    <t>Number of  targeted women, men, boys and girls benefitting from a functional excreta disposal system, reducing safety/public health/environmental risks</t>
  </si>
  <si>
    <t>HRP2</t>
  </si>
  <si>
    <t># people needs equitable and continuous access to sufficient quantity of safe drinking and domestic water -GAP</t>
  </si>
  <si>
    <t>HRP3</t>
  </si>
  <si>
    <t>HRP 3b</t>
  </si>
  <si>
    <t xml:space="preserve"> # of women, men, boys and girls benefitting from timely/adequate/tailored personal hygiene items and receiving appropriate/ community tailored messages that enable health seeking behavior</t>
  </si>
  <si>
    <t xml:space="preserve"> HRP1</t>
  </si>
  <si>
    <t xml:space="preserve"> HRP2</t>
  </si>
  <si>
    <t xml:space="preserve"> HRP3</t>
  </si>
  <si>
    <t>benefitting from timely/adequate/tailored personal hygiene items and receiving appropriate/ community tailored messages that enable health seeking behavior</t>
  </si>
  <si>
    <t>benefitting from a functional excreta disposal system, reducing safety/public health/environmental risks</t>
  </si>
  <si>
    <t>benefitting from safe/improved drinking water, meeting demand for domestic purposes, at minimum/agreed standards</t>
  </si>
  <si>
    <t>PIN</t>
  </si>
  <si>
    <t>Htan Shauk Khan</t>
  </si>
  <si>
    <t>Ah Twin Hnget Thay</t>
  </si>
  <si>
    <t>Pyar Pin Yin</t>
  </si>
  <si>
    <t>Ward (1)</t>
  </si>
  <si>
    <t>Sha Kay Ywa</t>
  </si>
  <si>
    <t>Tha Yet Pyin (Rakhine)</t>
  </si>
  <si>
    <t>Tha Bauk Chaung</t>
  </si>
  <si>
    <t>Baw Li (Rakhine)</t>
  </si>
  <si>
    <t>Baw Li (Muslim)</t>
  </si>
  <si>
    <t>Gwa Sone (Muslim)</t>
  </si>
  <si>
    <t>Gwa Sone (Rakhine)</t>
  </si>
  <si>
    <t>Thay Kan (Muslim)</t>
  </si>
  <si>
    <t>Thay Kan (Rakhine)</t>
  </si>
  <si>
    <t>Na Nwin Ku</t>
  </si>
  <si>
    <t>Kyauk Yant (Rakhine)</t>
  </si>
  <si>
    <t>Than Chay (Rakhine)</t>
  </si>
  <si>
    <t>Kyauk Yit (Rakhine)</t>
  </si>
  <si>
    <t>Shwe Baho</t>
  </si>
  <si>
    <t>Wai Thar Li</t>
  </si>
  <si>
    <t>Ar Kya</t>
  </si>
  <si>
    <t>Ka Yin</t>
  </si>
  <si>
    <t>Ka Yin Taw</t>
  </si>
  <si>
    <t>Gyin Chaung</t>
  </si>
  <si>
    <t>Na Htoe Pyin</t>
  </si>
  <si>
    <t>Yar Taik</t>
  </si>
  <si>
    <t>Yae Hnyin Chaung</t>
  </si>
  <si>
    <t>Kyu Yaw Chaing</t>
  </si>
  <si>
    <t>Ku Lar Te</t>
  </si>
  <si>
    <t>Auk Thin Pone Than/ Phar Kywe</t>
  </si>
  <si>
    <t> A Htet Myat Lay</t>
  </si>
  <si>
    <t>Tha Lu Chaung</t>
  </si>
  <si>
    <t xml:space="preserve"> Zay Ywar </t>
  </si>
  <si>
    <t>Nga Pha Yone</t>
  </si>
  <si>
    <t xml:space="preserve">Wah Net Yone </t>
  </si>
  <si>
    <t>Ma La Kyun</t>
  </si>
  <si>
    <t>Dway Cha</t>
  </si>
  <si>
    <t>YinYeKan</t>
  </si>
  <si>
    <t>OhnHnanChaung</t>
  </si>
  <si>
    <t>ThonePetChaing</t>
  </si>
  <si>
    <t>MiGyaungTet</t>
  </si>
  <si>
    <t>KaLarChaung</t>
  </si>
  <si>
    <t>PyunTo</t>
  </si>
  <si>
    <t>Sar Pyin</t>
  </si>
  <si>
    <t>Nga Khu Chaung</t>
  </si>
  <si>
    <t>Tha Yet Cho</t>
  </si>
  <si>
    <t>Tha Yet</t>
  </si>
  <si>
    <t>NgweTwinDway</t>
  </si>
  <si>
    <t>NgaWetSway</t>
  </si>
  <si>
    <t>HlaKhaing</t>
  </si>
  <si>
    <t>MinPauk</t>
  </si>
  <si>
    <t>Town</t>
  </si>
  <si>
    <t>Shit Thaung Monastery</t>
  </si>
  <si>
    <t>Shaw Me (Primary School)</t>
  </si>
  <si>
    <t>Mya Ta Saung Monastery</t>
  </si>
  <si>
    <t>Let Kauk Zay Monastery</t>
  </si>
  <si>
    <t>Phayapaw Phayathein</t>
  </si>
  <si>
    <t>Tin Nyo (Primary School)</t>
  </si>
  <si>
    <t>Out Thar Kan Monastery</t>
  </si>
  <si>
    <t>Shwe Taung Monastery</t>
  </si>
  <si>
    <t>Payar Por Thain Taw Gyi Monastery</t>
  </si>
  <si>
    <t>Myat Yeik Kyun Monastery</t>
  </si>
  <si>
    <t>Chaung Thit Monastery</t>
  </si>
  <si>
    <t>Sin Kae (High School)</t>
  </si>
  <si>
    <t>Sin Khing Baw (Primary School)</t>
  </si>
  <si>
    <t>Chaung New Min Gan</t>
  </si>
  <si>
    <t>Kan Pyin Ywa Haung</t>
  </si>
  <si>
    <t>Kan Pyin Ywar Thit</t>
  </si>
  <si>
    <t>Thone Saung</t>
  </si>
  <si>
    <t>Kyauk Tan Gyi</t>
  </si>
  <si>
    <t>Kyauk Tan Chay</t>
  </si>
  <si>
    <t>Kyar Ma Thauk</t>
  </si>
  <si>
    <t>Done Pyin (North)</t>
  </si>
  <si>
    <t>Done Pyin (South)</t>
  </si>
  <si>
    <t>Maung Ni Pyin</t>
  </si>
  <si>
    <t>Pyar Lay Chaung Ywar Haung</t>
  </si>
  <si>
    <t>Ohn Ye Paw</t>
  </si>
  <si>
    <t>Pyin Shey Ku lar</t>
  </si>
  <si>
    <t>Bu May Ohn Daw Chay</t>
  </si>
  <si>
    <t>Dar Paing Ywar Haung</t>
  </si>
  <si>
    <t>Sa Ma Nya Village</t>
  </si>
  <si>
    <t>Koe Saung (1) village</t>
  </si>
  <si>
    <t>Koe Song (2) Village</t>
  </si>
  <si>
    <t>Thet Kay Pyin</t>
  </si>
  <si>
    <t>Kyan Taik</t>
  </si>
  <si>
    <t>Sat Yon Maw (Rakhine)</t>
  </si>
  <si>
    <t>Ann Thar</t>
  </si>
  <si>
    <t>Naw Naw(Rakhine)</t>
  </si>
  <si>
    <t>Naw Naw(Ku Lar)</t>
  </si>
  <si>
    <t>Ah Pyin Done Chaung</t>
  </si>
  <si>
    <t>Thin Ga Zar</t>
  </si>
  <si>
    <t>Than Shin Ywar Thit</t>
  </si>
  <si>
    <t>Tan Seik</t>
  </si>
  <si>
    <t>Sat Kyar</t>
  </si>
  <si>
    <t>Let Taw Ri</t>
  </si>
  <si>
    <t>Har Ra Paing</t>
  </si>
  <si>
    <t>Kan Hpay</t>
  </si>
  <si>
    <t>Thin Khaung Maw</t>
  </si>
  <si>
    <t>Beik Taung</t>
  </si>
  <si>
    <t>Taw Tan</t>
  </si>
  <si>
    <t>Sin Seik</t>
  </si>
  <si>
    <t>Ta Khun Taing</t>
  </si>
  <si>
    <t>Done Thar</t>
  </si>
  <si>
    <t>War Taung</t>
  </si>
  <si>
    <t>Athay Kar La</t>
  </si>
  <si>
    <t>Myin Kan Seik</t>
  </si>
  <si>
    <t>Seik Ta Ra</t>
  </si>
  <si>
    <t>Gwa Sone Chin</t>
  </si>
  <si>
    <t>Taung Poke Kay</t>
  </si>
  <si>
    <t>Shwe Zin Yaw</t>
  </si>
  <si>
    <t>Temporary location</t>
  </si>
  <si>
    <t>Kyar Nyo Pyin</t>
  </si>
  <si>
    <t>Mro/ Kha Mee</t>
  </si>
  <si>
    <t>1/Nov/2018: Population update. Data source: KBC
1/October/2018: Population update. Data source: KBC
31/August/2018: Population update. Data source: KBC
31/July/2018: Population update. Data source: KBC
30/June/2018: Population update. Data source: KBC,
31/May/2018: Population update. Data source: KBC
30/Apr/2018: Population update. Data source: KBC
27/Mar/2018: Population update. Data source: KBC
5/Mar/2018: Population update. Data source: KBC
3/Jul/2017: Added New camp. 
As per mail from KBC-HDD, we have to close two camps (5 Ward Baptist Church( Lon Khin- MMR001CMP179, and Ku Day Maw KBC- MMR001CMP231) and open new camp as Lawng Hkang Shait Yang Camp ( Lel Pyin) under Hpakant Township. So technically, the mentioned two camp will be combine into one camp as Lawng Hkang Shait Yang Camp ( Lel Pyin) More over  19/12/2017:  Sai Nai Baptish Church, Maw Shan Vil., Seki Mu (Closed the camp. The camp combine atLawng Hkang Shait Yang Camp? ( Lel Pyin)? </t>
  </si>
  <si>
    <t>3/Jul/2017: Population update. Data source: KBC
3/Jul/2017: Population update. Data source: KBC
19/12/2017: Closed the camp. The camp combine atLawng Hkang Shait Yang Camp? ( Lel Pyin)? 
2/June/2017: Population update. Data source: KBC
3/May/2017: Population update. Data source: KBC
24/Apr/2017: Population update. Data source: KBC and CCCM unit
15/Mar/2017: Population update. Data Source: KBC
24/Feb/2017: Population update. Data source: KBC
10/Jan/2017: Population update. Data source: KBC
21/Oct/2016: Population update. Data soure: KBC
9/Sep/2016. Population update. Data source:KBC.
18/Jul/2016: Population updte. Data source: KBC
15/Jun/2016: Population update. Data source: monthly report by KBC
12/May/2016. Population update. Data source: KBC
28/Jan/2016. Population update. Data source: KBC
14-Oct-15 Population update. Soruce; Hpakant Mission Report_WFP
25-Jun-15 Population update. Source: KBC
2-Apr-15 (Population update, Source: UNHCR CCCM Mission)
Update population according to KBC data</t>
  </si>
  <si>
    <t>Q1_2019</t>
  </si>
  <si>
    <t>Hpon Nyo Leik</t>
  </si>
  <si>
    <t>Tha Yet Pyin</t>
  </si>
  <si>
    <t>Wet Ma Kya (a) Zay Di Taung</t>
  </si>
  <si>
    <t>Thay Kan Gwa Son</t>
  </si>
  <si>
    <t>Kyauk Hpyu Thar Thay Kan</t>
  </si>
  <si>
    <t>Kyauk Yant</t>
  </si>
  <si>
    <t>Nan Yar Kone</t>
  </si>
  <si>
    <t>San Goe Taung</t>
  </si>
  <si>
    <t>Kyee Kan Pyin</t>
  </si>
  <si>
    <t>Gaw Du Tha Yah</t>
  </si>
  <si>
    <t>Myo Thu Gyi</t>
  </si>
  <si>
    <t>KhaMi</t>
  </si>
  <si>
    <t>Pyein Chaung (Ngwe Twin Dway tract)</t>
  </si>
  <si>
    <t>Boe Taw monastery</t>
  </si>
  <si>
    <t>Man Li</t>
  </si>
  <si>
    <t>Sasana 2500 monastery</t>
  </si>
  <si>
    <t>Baw Du Pha Village (IDP in host families)</t>
  </si>
  <si>
    <t>OXSI (OXFAM)</t>
  </si>
  <si>
    <t>camp + village + new IDP</t>
  </si>
  <si>
    <t>Northern Rakhine</t>
  </si>
  <si>
    <t>Central Rakhine</t>
  </si>
  <si>
    <t>Central Rakhine Total</t>
  </si>
  <si>
    <t>Targeted population provided with sanitation or hygiene kits or key hygiene items</t>
  </si>
  <si>
    <t>Temporary location_Town</t>
  </si>
  <si>
    <t>New Temporary Site</t>
  </si>
  <si>
    <t>% Access to unimproved water points</t>
  </si>
  <si>
    <t>it is included non-functioning latrines</t>
  </si>
  <si>
    <r>
      <t>% of Latrine</t>
    </r>
    <r>
      <rPr>
        <b/>
        <sz val="10"/>
        <color theme="5" tint="-0.249977111117893"/>
        <rFont val="Crobel"/>
      </rPr>
      <t xml:space="preserve"> Gap</t>
    </r>
    <r>
      <rPr>
        <b/>
        <sz val="10"/>
        <color theme="0"/>
        <rFont val="Crobel"/>
      </rPr>
      <t xml:space="preserve">
</t>
    </r>
    <r>
      <rPr>
        <b/>
        <sz val="10"/>
        <color rgb="FFFF0000"/>
        <rFont val="Crobel"/>
      </rPr>
      <t>Red &gt;=10%,</t>
    </r>
    <r>
      <rPr>
        <b/>
        <sz val="10"/>
        <color theme="0"/>
        <rFont val="Crobel"/>
      </rPr>
      <t xml:space="preserve">
</t>
    </r>
    <r>
      <rPr>
        <b/>
        <sz val="10"/>
        <color theme="5"/>
        <rFont val="Crobel"/>
      </rPr>
      <t>Orange 0%~9%,</t>
    </r>
    <r>
      <rPr>
        <b/>
        <sz val="10"/>
        <color theme="0"/>
        <rFont val="Crobel"/>
      </rPr>
      <t xml:space="preserve">
</t>
    </r>
    <r>
      <rPr>
        <b/>
        <sz val="10"/>
        <color rgb="FF00B050"/>
        <rFont val="Crobel"/>
      </rPr>
      <t>Green =0%</t>
    </r>
  </si>
  <si>
    <t>% people access to functioning Latrine</t>
  </si>
  <si>
    <t>Closed_cccm2019Apr</t>
  </si>
  <si>
    <t xml:space="preserve">Hka Garan Yang </t>
  </si>
  <si>
    <t>MMR001CMP272</t>
  </si>
  <si>
    <t>KBC-BMO</t>
  </si>
  <si>
    <t>KBC-MYT</t>
  </si>
  <si>
    <t>KBC-NSS</t>
  </si>
  <si>
    <t>Opeing date: 1/6/2017 and updated date in CCCM list: 29/6/2017;not yet updated in Q3 4W. Closed in  31 Aust 2018 in CCCM list but KMSS covered still Q4 2018. in Q1 2019, no report from KMSS</t>
  </si>
  <si>
    <t>KMSS covered till Q4 2018. No report from KMSS in Q1 2019.
6/Apr/2017: Change camp status as "Open". Data source: Protection team and comfirmed by camp manager.
2/feb/2017: Closed Camp
10/Jan/2017: Population update. Data source: KMSS_Myitkyina
21/Oct/2016: Population update. Data source: KMSS_Myitkyina
14/Jul/2016: Population update. Data Source:KMSS_Myitkyina
9/Nov/15. Accomodation changes from Host families to Camp. Data source: CCCM
19-Aug-15 (Population Udate. Data Source: KMSS-MYT)
25-Jun-2015 (New host families. Source: RRD)</t>
  </si>
  <si>
    <t>NSS WASH Cluster comments:Metta distributed hygiene kit in Apr'17 but no assessment done for other WASH needs. Security concern is high to travel.
SCI covered till Q4 2018. No report from SCI in Q1 2019</t>
  </si>
  <si>
    <t># Hygiene Promotion activities (sessions) in TLS</t>
  </si>
  <si>
    <t>Number of people with equitable and continuous access to sufficient quantity of domestic water</t>
  </si>
  <si>
    <t>Number of people with equitable and continuous access to safe sanitation facilities</t>
  </si>
  <si>
    <t>Number of People adopt basic personal and community hygiene practices</t>
  </si>
  <si>
    <t>Kin Taung</t>
  </si>
  <si>
    <t>Tha Win Chaung</t>
  </si>
  <si>
    <t>UNICEF response through WFP</t>
  </si>
  <si>
    <t>Thein Tan (Ku Lar)</t>
  </si>
  <si>
    <t>Hpa Yar Pyin Thein Tan</t>
  </si>
  <si>
    <t>Ah Lel Chaung</t>
  </si>
  <si>
    <t>Zay Di Taung</t>
  </si>
  <si>
    <t>Ka Kyet Bet Kan Pyin</t>
  </si>
  <si>
    <t>Kin Taung (a) Kyar Nyo Pyin</t>
  </si>
  <si>
    <t>Aung Tha Pyay</t>
  </si>
  <si>
    <t>Kar Lar Day Hpet</t>
  </si>
  <si>
    <t>Yae Nauk Ngar Thar</t>
  </si>
  <si>
    <t>Kha Maung Seik</t>
  </si>
  <si>
    <t>Wet Kyein</t>
  </si>
  <si>
    <t>Ah Lel Than Kyaw</t>
  </si>
  <si>
    <t>Tha Win Chaung (Kan Pyo)</t>
  </si>
  <si>
    <t>WFP</t>
  </si>
  <si>
    <t>Ba Da Nar Ku Lar</t>
  </si>
  <si>
    <t>Thar Yar Kone (Rakhine)</t>
  </si>
  <si>
    <t>Thar Yar Kone (Dyine Net)</t>
  </si>
  <si>
    <t>Hpon Thar Wa</t>
  </si>
  <si>
    <t>Done Gyi</t>
  </si>
  <si>
    <t>Min Zi</t>
  </si>
  <si>
    <t>Chaung Wa</t>
  </si>
  <si>
    <t>Pan Hpaw Pyin</t>
  </si>
  <si>
    <t>Pyein Taw</t>
  </si>
  <si>
    <t>Pyin Shey (Sa Hpo Kyun)</t>
  </si>
  <si>
    <t>Chaung Nwe</t>
  </si>
  <si>
    <t>A Lei Ywar (Rakhine)</t>
  </si>
  <si>
    <t>A Lei Ywar (Ma Ya Ma Gyi)</t>
  </si>
  <si>
    <t>Myauk Ywar (Rakhine)</t>
  </si>
  <si>
    <t>Myauk Ywar (Hindu)</t>
  </si>
  <si>
    <t>Thin Baw Hla (Dyine Net) (Thar Yar Gone)</t>
  </si>
  <si>
    <t>Baw Ya Bar</t>
  </si>
  <si>
    <t>Kha Tin Paik Gyi</t>
  </si>
  <si>
    <t>SCI, SI</t>
  </si>
  <si>
    <t># of People adopt basic personal and community hygiene practices</t>
  </si>
  <si>
    <t># of people access to functioning  sanitation facilities</t>
  </si>
  <si>
    <t># of people Equitable and continuous access to sufficient quantity of domestic water</t>
  </si>
  <si>
    <t>remove from db, ipds moved to lawa rc church</t>
  </si>
  <si>
    <t>HH
(Rakhine-CCCM as of 31st Jan 2019)
(Kachin/Shan-CCCM as of 31st March 2019)</t>
  </si>
  <si>
    <t>Pop
(Rakhine-CCCM as of 31st Jan 2019)
(Kachin/Shan-CCCM as of 31st March 2019)</t>
  </si>
  <si>
    <t>CCCM_2019Jan</t>
  </si>
  <si>
    <t xml:space="preserve">Site_DB: if partners have a new site, this needs to be added/edited here (camp, village). Otherwise, no need for partners input as it's already linked with the core Database. WC IMO updated HHs and Pop figures based on updated CCCM's camp list </t>
  </si>
  <si>
    <t>HRP report: linked with 2019 WASH Cluster HRP report and outcome of quarterly WASH Cluster 4 W</t>
  </si>
  <si>
    <t>Ah Htet Thin Pone Tan</t>
  </si>
  <si>
    <t>Yoe Ta Yote</t>
  </si>
  <si>
    <t>Sin Thi Pein Hne Taw (Sin Tae)</t>
  </si>
  <si>
    <t>Kan Sauk</t>
  </si>
  <si>
    <t>Taung Min Ku Lar</t>
  </si>
  <si>
    <t>Kyun Taw</t>
  </si>
  <si>
    <t>Say Oe Kya ( Host+ Displaced)</t>
  </si>
  <si>
    <t>Thay Kan Gwa Sone ( Host)</t>
  </si>
  <si>
    <t>Zay Di Taung  ( Host + Displaced)</t>
  </si>
  <si>
    <t>Pan Myaung (Aung Mingalar Monastery)</t>
  </si>
  <si>
    <t>Gye Kyaung</t>
  </si>
  <si>
    <t>Win Zar</t>
  </si>
  <si>
    <t>Tin Nyo Thit Monastery</t>
  </si>
  <si>
    <t>Thu Yiya Yaung Chi Monastery</t>
  </si>
  <si>
    <t>Ywar Thit Kay Monastery</t>
  </si>
  <si>
    <t>Tin Htein Kan Monastery</t>
  </si>
  <si>
    <t>Thin Pan Kaing</t>
  </si>
  <si>
    <t>Wet Hla Middle School</t>
  </si>
  <si>
    <t>Taung Myint</t>
  </si>
  <si>
    <t>Pi Pin Yin Monastery</t>
  </si>
  <si>
    <t>Aung Tat Ward (Aung Mingalar Monastery)</t>
  </si>
  <si>
    <t>Aung Tat Ward (Aung Zaydi Hpayar Thin)</t>
  </si>
  <si>
    <t>Aung Tat Ward (Dein Kyi Monastery)</t>
  </si>
  <si>
    <t>Aung Tat Ward (Myo Thit Monastery)</t>
  </si>
  <si>
    <t>Aung Tat Ward (Naratsar Hpayar Thin)</t>
  </si>
  <si>
    <t>Myet Yeik Kyun Monastery</t>
  </si>
  <si>
    <t>Tein Nyo</t>
  </si>
  <si>
    <t>Kyauk Reik Kay Monastery</t>
  </si>
  <si>
    <t>Nyaung Bin Hla Village</t>
  </si>
  <si>
    <t>Mya Yaike Kyun</t>
  </si>
  <si>
    <t>Ywar Thit Monastery/Pan Myaung</t>
  </si>
  <si>
    <t>Hpar Kywe Wa</t>
  </si>
  <si>
    <t>Kun Taung</t>
  </si>
  <si>
    <t>Taung Yin School Compound</t>
  </si>
  <si>
    <t>Ban Bwee</t>
  </si>
  <si>
    <t>Auk Myat Lay</t>
  </si>
  <si>
    <t>Let Wea Myan</t>
  </si>
  <si>
    <t>Nga/Pyauk Se</t>
  </si>
  <si>
    <t>Be Kho</t>
  </si>
  <si>
    <t>Nga Sin Rine Kine Primary School</t>
  </si>
  <si>
    <t>Hnget Pyaw Chaung</t>
  </si>
  <si>
    <t>Doke Kan Chaung Monastery</t>
  </si>
  <si>
    <t>Myo Thit Ward</t>
  </si>
  <si>
    <t>Paik Thei Ward</t>
  </si>
  <si>
    <t>Bo Min Monastery</t>
  </si>
  <si>
    <t>Aung Zay Ya Monastery</t>
  </si>
  <si>
    <t>Ba Ra War Monastery</t>
  </si>
  <si>
    <t>Kyar Nin Kan Monastery</t>
  </si>
  <si>
    <t>Zin Khar Chay Monastery</t>
  </si>
  <si>
    <t>Min Hla Kaing</t>
  </si>
  <si>
    <t>Zedi Pyin</t>
  </si>
  <si>
    <t>Yay Myet</t>
  </si>
  <si>
    <t>Phat Lake</t>
  </si>
  <si>
    <t>Aung Si Kone</t>
  </si>
  <si>
    <t>Ah Shae Myauk Quarter</t>
  </si>
  <si>
    <t>Tha Mee Hla</t>
  </si>
  <si>
    <t>Ray Zar Chaung</t>
  </si>
  <si>
    <t>Sin Khone Taing</t>
  </si>
  <si>
    <t>Gan Kya</t>
  </si>
  <si>
    <t>Ba Wan Chaung Wa Su Ward / Monastery</t>
  </si>
  <si>
    <t xml:space="preserve"> % Water GAP</t>
  </si>
  <si>
    <t xml:space="preserve"> % Sanitation GAP</t>
  </si>
  <si>
    <t xml:space="preserve"> % Hygiene Gap</t>
  </si>
  <si>
    <t xml:space="preserve">  % Hygiene Gap</t>
  </si>
  <si>
    <t xml:space="preserve">  % Latrine Coverage</t>
  </si>
  <si>
    <t xml:space="preserve">  % Latrine GAP</t>
  </si>
  <si>
    <t xml:space="preserve">  % Hygiene Coverage</t>
  </si>
  <si>
    <t xml:space="preserve">Shwe Thee </t>
  </si>
  <si>
    <t>BUT_Sa Par Htar</t>
  </si>
  <si>
    <t>War Taung Camp</t>
  </si>
  <si>
    <t>MMR012004701502</t>
  </si>
  <si>
    <t>MMR012004701505</t>
  </si>
  <si>
    <t>Auk Thar Kan</t>
  </si>
  <si>
    <t>MMR012003701505</t>
  </si>
  <si>
    <t>Htan Ma Rit (Kwet Thit)</t>
  </si>
  <si>
    <t>Mra_Zay Di Taung</t>
  </si>
  <si>
    <t>Sin Baw Kaing (Monastery)</t>
  </si>
  <si>
    <t>Sin Baw Kaing (School)</t>
  </si>
  <si>
    <t>Thit Pok Chaung</t>
  </si>
  <si>
    <t>Kyu Taw Chaing</t>
  </si>
  <si>
    <t>MMR012007701505</t>
  </si>
  <si>
    <t>Ah Htet Myat Hle</t>
  </si>
  <si>
    <t>Auk Myat Hle</t>
  </si>
  <si>
    <t>Yoe Ta Yoke</t>
  </si>
  <si>
    <t>Sin Thi Pein Hne Taw</t>
  </si>
  <si>
    <t>RAT_Zay Di Pyin</t>
  </si>
  <si>
    <t>Hpet Leik</t>
  </si>
  <si>
    <t>Aung Zay Kone</t>
  </si>
  <si>
    <t>Ah Shey (North) Ward</t>
  </si>
  <si>
    <t>MMR012008701503</t>
  </si>
  <si>
    <t>KAT_Nyaung Chaung</t>
  </si>
  <si>
    <t xml:space="preserve">Sum of Total PoP </t>
  </si>
  <si>
    <t>Ywa Thit</t>
  </si>
  <si>
    <t>Teik Tu Pauk</t>
  </si>
  <si>
    <t>Kan Thar Yar</t>
  </si>
  <si>
    <t>Shwe Baho+Sein P M</t>
  </si>
  <si>
    <t>Tat U Chaung (West)</t>
  </si>
  <si>
    <t>WVI</t>
  </si>
  <si>
    <t>Zay Di Taung (Rakhine)</t>
  </si>
  <si>
    <t>Bar Ri Zar</t>
  </si>
  <si>
    <t>Tat U Chaung</t>
  </si>
  <si>
    <t>Pyar Pyin Thein Tan</t>
  </si>
  <si>
    <t>cccm_2019May</t>
  </si>
  <si>
    <t>MMR001CMP273</t>
  </si>
  <si>
    <t>30/April/19: Camp Created as Open Camp like setting. KBC Bhamo implemented WASH,Education and Food assistance  as an emergency since 2016 collaboration and coordination with IRRC and some other agencies such as SI,KMSS,NRC and Metta Foundation at Pang Hkawn Yang Camp(7 different divided area).Pang Hkawn Yang is located between four Township(Shwegu,Hopin ,Myo Hla and Myitkyina)and closed to shwegu Town. 
fled in early of 2012 because of Arm Clashed between KIO and Burmese Millitary.They are still at the forest area of near their origin village as the mobile IDPs until now</t>
  </si>
  <si>
    <t>6-Miles</t>
  </si>
  <si>
    <t>Q2_2019</t>
  </si>
  <si>
    <t>Enai (Man Pyein)</t>
  </si>
  <si>
    <t>Frequency</t>
  </si>
  <si>
    <t>Quarterly</t>
  </si>
  <si>
    <t>WATER Comments                                         
(If you have gaps or questions)</t>
  </si>
  <si>
    <t>SANITATION Comments                                               
(If you have gaps or questions)</t>
  </si>
  <si>
    <t>HYGIENE Comments                                                               
(If you have gaps or questions)</t>
  </si>
  <si>
    <t># Existing protected/fenced ponds</t>
  </si>
  <si>
    <t># of functional public open wells with sealed walls with water flowing/available all day used for drinking/domestic water</t>
  </si>
  <si>
    <t># of functional public wells/boreholes ( deep tube well, shallow tube well) with water flowing/available all day with a functional flowrate</t>
  </si>
  <si>
    <t xml:space="preserve">Protected/fenced ponds do not count as improved water source or safe drinking water </t>
  </si>
  <si>
    <t>number of waterpoints which you  plan on building or repairing,  (target) OR the numbers you have built of have rehabilitated (current)</t>
  </si>
  <si>
    <r>
      <t xml:space="preserve"># of people accessing to </t>
    </r>
    <r>
      <rPr>
        <b/>
        <u/>
        <sz val="10"/>
        <rFont val="Corbel"/>
        <family val="2"/>
      </rPr>
      <t>other types of un-improved water</t>
    </r>
    <r>
      <rPr>
        <sz val="10"/>
        <rFont val="Corbel"/>
        <family val="2"/>
      </rPr>
      <t xml:space="preserve"> sources (river, spring) during the reporting period.</t>
    </r>
  </si>
  <si>
    <r>
      <t xml:space="preserve"># Functioning </t>
    </r>
    <r>
      <rPr>
        <b/>
        <u/>
        <sz val="10"/>
        <rFont val="Corbel"/>
        <family val="2"/>
      </rPr>
      <t>Tube wells/boreholes/hand pump</t>
    </r>
    <r>
      <rPr>
        <sz val="10"/>
        <rFont val="Corbel"/>
        <family val="2"/>
      </rPr>
      <t>s including community's own hand pumps during the reporting period.</t>
    </r>
  </si>
  <si>
    <r>
      <t># Functioning</t>
    </r>
    <r>
      <rPr>
        <b/>
        <u/>
        <sz val="10"/>
        <rFont val="Corbel"/>
        <family val="2"/>
      </rPr>
      <t xml:space="preserve"> protected hand dug well/open well</t>
    </r>
    <r>
      <rPr>
        <sz val="10"/>
        <rFont val="Corbel"/>
        <family val="2"/>
      </rPr>
      <t xml:space="preserve"> during the reporting period.</t>
    </r>
  </si>
  <si>
    <t>Availability of drainage in school compound (Yes or No)</t>
  </si>
  <si>
    <r>
      <t># of</t>
    </r>
    <r>
      <rPr>
        <b/>
        <u/>
        <sz val="10"/>
        <rFont val="Corbel"/>
        <family val="2"/>
      </rPr>
      <t xml:space="preserve"> sanitary fly-proof HH latrines</t>
    </r>
  </si>
  <si>
    <t># Functioning water points at school</t>
  </si>
  <si>
    <r>
      <t xml:space="preserve"># of </t>
    </r>
    <r>
      <rPr>
        <b/>
        <u/>
        <sz val="10"/>
        <rFont val="Corbel"/>
        <family val="2"/>
      </rPr>
      <t>Functioning latrines in school</t>
    </r>
  </si>
  <si>
    <r>
      <t># of</t>
    </r>
    <r>
      <rPr>
        <b/>
        <u/>
        <sz val="10"/>
        <rFont val="Corbel"/>
        <family val="2"/>
      </rPr>
      <t xml:space="preserve"> person with disabilities at village</t>
    </r>
  </si>
  <si>
    <r>
      <t xml:space="preserve"># of </t>
    </r>
    <r>
      <rPr>
        <b/>
        <u/>
        <sz val="10"/>
        <rFont val="Corbel"/>
        <family val="2"/>
      </rPr>
      <t>person with disabilities at school</t>
    </r>
  </si>
  <si>
    <r>
      <t xml:space="preserve"># of </t>
    </r>
    <r>
      <rPr>
        <b/>
        <u/>
        <sz val="10"/>
        <rFont val="Corbel"/>
        <family val="2"/>
      </rPr>
      <t xml:space="preserve">persons with disabilities with adapted sanitation option at HH level </t>
    </r>
  </si>
  <si>
    <r>
      <t xml:space="preserve"># of </t>
    </r>
    <r>
      <rPr>
        <b/>
        <u/>
        <sz val="10"/>
        <rFont val="Corbel"/>
        <family val="2"/>
      </rPr>
      <t>person with disabilities with access to adapted sanitation option at School</t>
    </r>
  </si>
  <si>
    <t># of Men who received appropirate/community tailored hygiene messages</t>
  </si>
  <si>
    <t># of Women who received appropirate/community tailored hygiene messages</t>
  </si>
  <si>
    <t># of Boys who received appropirate/community tailored hygiene messages</t>
  </si>
  <si>
    <t># of Girls who received appropirate/community tailored hygiene messages</t>
  </si>
  <si>
    <t># of students (boys) who received appropirate hygiene messages</t>
  </si>
  <si>
    <t># of students (girls) who received appropirate hygiene messages</t>
  </si>
  <si>
    <t># of functional handwashing facilities at HH level?? (CDN implementing in HH level)</t>
  </si>
  <si>
    <t># of functional handwashing facilities at school</t>
  </si>
  <si>
    <t>% of affected people surveyed who feel informed about the WASH services available to them (To incorporate AAP questions in monitoring tool)</t>
  </si>
  <si>
    <t>% of people surveryed who know how to and feel comfortable to make suggestions or complaints (To incorporate AAP questions in monitoring tool)</t>
  </si>
  <si>
    <t>% of people surveryed who know how to and feel comfortable to make suggestions or complaints</t>
  </si>
  <si>
    <r>
      <t xml:space="preserve">% of affected people surveyed </t>
    </r>
    <r>
      <rPr>
        <b/>
        <u/>
        <sz val="10"/>
        <rFont val="Corbel"/>
        <family val="2"/>
      </rPr>
      <t>who feel informed</t>
    </r>
    <r>
      <rPr>
        <sz val="10"/>
        <rFont val="Corbel"/>
        <family val="2"/>
      </rPr>
      <t xml:space="preserve"> about the WASH services available to them</t>
    </r>
  </si>
  <si>
    <t>Yearly</t>
  </si>
  <si>
    <t>#_Existing_protected/fenced_ponds</t>
  </si>
  <si>
    <t>#_Functioning_water_points_at_school</t>
  </si>
  <si>
    <t>#_Functioning_protected_hand_dug_well/open_well</t>
  </si>
  <si>
    <t>#_Functioning_Tube_wells/boreholes/hand_pumps_including_community's_own_hand_pumps</t>
  </si>
  <si>
    <t>#_of_people_accessing_to_other_types_of_un-improved_water_sources_(river,_spring)</t>
  </si>
  <si>
    <t>WATER_Comments</t>
  </si>
  <si>
    <t>#_of_sanitary_fly-proof_HH_latrines</t>
  </si>
  <si>
    <t>Availability_of_drainage_in_school_compound_(Yes_or_No)</t>
  </si>
  <si>
    <t>#_of_Functioning_latrines_in_school</t>
  </si>
  <si>
    <t>#_of_PWD_at_school</t>
  </si>
  <si>
    <t>#_of_PWD_at_village</t>
  </si>
  <si>
    <t>#_of_PWD_with_adapted_sanitation_option_at_HH_level_</t>
  </si>
  <si>
    <t>#_of_PWD_with_access_to_adapted_sanitation_option_at_School</t>
  </si>
  <si>
    <t>SANITATION_Comment</t>
  </si>
  <si>
    <t>#_of_Men_who_received_appropirate/community_tailored_hygiene_messages</t>
  </si>
  <si>
    <t>#_of_Women_who_received_appropirate/community_tailored_hygiene_messages</t>
  </si>
  <si>
    <t>#_of_Boys_who_received_appropirate/community_tailored_hygiene_messages</t>
  </si>
  <si>
    <t>#_of_Girls_who_received_appropirate/community_tailored_hygiene_messages</t>
  </si>
  <si>
    <t>#_of_students_(boys)_who_received_appropirate_hygiene_messages</t>
  </si>
  <si>
    <t>#_of_students_(girls)_who_received_appropirate_hygiene_messages</t>
  </si>
  <si>
    <t>#_of_functional_handwashing_facilities_at_school</t>
  </si>
  <si>
    <t>%_of_affected_people_surveyed_who_feel_informed_about_the_WASH_services_available_to_them</t>
  </si>
  <si>
    <t>%_of_people_surveryed_who_know_how_to_and_feel_comfortable_to_make_suggestions_or_complaints</t>
  </si>
  <si>
    <t>#_of_functional_handwashing_facilities_at_HH_level</t>
  </si>
  <si>
    <t># of functional handwashing facilities at HH level</t>
  </si>
  <si>
    <t>HYGIENE_Comments</t>
  </si>
  <si>
    <t>V15, 16, 17, 18, 19</t>
  </si>
  <si>
    <t># Functioning protected hand dug well/open well during the reporting period.
# Functioning Tube wells/boreholes/hand pumps including community's own hand pumps during the reporting period.
# Existing protected/fenced ponds
# of people accessing to other types of un-improved water sources (river, spring) during the reporting period.
# Functioning water points at school</t>
  </si>
  <si>
    <r>
      <t xml:space="preserve">
</t>
    </r>
    <r>
      <rPr>
        <b/>
        <sz val="12"/>
        <color rgb="FF2C2C2C"/>
        <rFont val="Gill Sans MT"/>
        <family val="2"/>
      </rPr>
      <t>Village:</t>
    </r>
    <r>
      <rPr>
        <sz val="12"/>
        <color rgb="FF2C2C2C"/>
        <rFont val="Gill Sans MT"/>
        <family val="2"/>
      </rPr>
      <t xml:space="preserve"> Hand dug well/open well 250 PPL, Hand Pump 250 PPL, Pond=15L/P/D </t>
    </r>
  </si>
  <si>
    <t xml:space="preserve">
Village:HH latrine; 6 PPL:1
</t>
  </si>
  <si>
    <t>Village name</t>
  </si>
  <si>
    <t>#of students in school</t>
  </si>
  <si>
    <t>Person work days lost due to access restrictions to the village</t>
  </si>
  <si>
    <t>Total number of people who is accessing to other types of un-improved water sources (river, spring) during the reporting period.</t>
  </si>
  <si>
    <t>The number of men who attend focus group sessions, community meetings and hygiene awareness sessions (excluding mass campaigns).  Count unique beneficiaries (each person should only be counted once).</t>
  </si>
  <si>
    <t>The number of women who attend focus group sessions, community meetings and hygiene awareness sessions (excluding mass campaigns).  Count unique beneficiaries (each person should only be counted once).</t>
  </si>
  <si>
    <t>The number of boys (&lt;18) who attend focus group sessions, community meetings and hygiene awareness sessions (excluding mass campaigns).  Count unique beneficiaries (each person should only be counted once).</t>
  </si>
  <si>
    <t>The number of girls (&lt;18) who attend focus group sessions, community meetings and hygiene awareness sessions (excluding mass campaigns).  Count unique beneficiaries (each person should only be counted once).</t>
  </si>
  <si>
    <t>Village  Name</t>
  </si>
  <si>
    <t># people access to functional handwashing facilities</t>
  </si>
  <si>
    <t># people reached by regular dedicated hygiene promotion</t>
  </si>
  <si>
    <t>Village with School</t>
  </si>
  <si>
    <t>x3</t>
  </si>
  <si>
    <t>Men</t>
  </si>
  <si>
    <t>Women</t>
  </si>
  <si>
    <t>Boys</t>
  </si>
  <si>
    <t>Girls</t>
  </si>
  <si>
    <t>Count of Village  Name</t>
  </si>
  <si>
    <t>Village-Overall HRP Target</t>
  </si>
  <si>
    <t>Village-Overall reached</t>
  </si>
  <si>
    <t xml:space="preserve">  #of students in school</t>
  </si>
  <si>
    <t>HPM</t>
  </si>
  <si>
    <t>Ku La Thein</t>
  </si>
  <si>
    <t>Hpa Yar Pyin</t>
  </si>
  <si>
    <t>Pi Htu</t>
  </si>
  <si>
    <t>War Lan</t>
  </si>
  <si>
    <t>War Lan Kone</t>
  </si>
  <si>
    <t>Sum of #_of_sanitary_fly-proof_HH_latrines</t>
  </si>
  <si>
    <t>Count of Availability_of_drainage_in_school_compound_(Yes_or_No)</t>
  </si>
  <si>
    <t>Count of Village with School</t>
  </si>
  <si>
    <t>Village With No School</t>
  </si>
  <si>
    <t>Sum of #of students in school</t>
  </si>
  <si>
    <t>Sum of #_of_Functioning_latrines_in_school</t>
  </si>
  <si>
    <t>Required latrines in school</t>
  </si>
  <si>
    <t xml:space="preserve"> # of students in school</t>
  </si>
  <si>
    <t xml:space="preserve"> # of hand washing stations for school</t>
  </si>
  <si>
    <t>Sum of #_of_functional_handwashing_facilities_at_school</t>
  </si>
  <si>
    <t>Sum of #_Functioning_water_points_at_school</t>
  </si>
  <si>
    <t xml:space="preserve"> # of latrines in schools</t>
  </si>
  <si>
    <t xml:space="preserve">  Total PoP </t>
  </si>
  <si>
    <t>No drainage in school compound</t>
  </si>
  <si>
    <t>Drainage in school compound</t>
  </si>
  <si>
    <t>Reached</t>
  </si>
  <si>
    <t>No Reached</t>
  </si>
  <si>
    <t>Sum of #_of_functional_handwashing_facilities_at_HH_level</t>
  </si>
  <si>
    <r>
      <t xml:space="preserve"># of affected households receiving a </t>
    </r>
    <r>
      <rPr>
        <b/>
        <u/>
        <sz val="10"/>
        <rFont val="Corbel"/>
        <family val="2"/>
      </rPr>
      <t>sufficient quantity</t>
    </r>
    <r>
      <rPr>
        <sz val="10"/>
        <rFont val="Corbel"/>
        <family val="2"/>
      </rPr>
      <t xml:space="preserve"> of </t>
    </r>
    <r>
      <rPr>
        <b/>
        <u/>
        <sz val="10"/>
        <rFont val="Corbel"/>
        <family val="2"/>
      </rPr>
      <t>soap</t>
    </r>
    <r>
      <rPr>
        <sz val="10"/>
        <rFont val="Corbel"/>
        <family val="2"/>
      </rPr>
      <t xml:space="preserve"> during the reporting period</t>
    </r>
  </si>
  <si>
    <r>
      <t xml:space="preserve"># of affected women and girls receiving a </t>
    </r>
    <r>
      <rPr>
        <b/>
        <u/>
        <sz val="10"/>
        <rFont val="Corbel"/>
        <family val="2"/>
      </rPr>
      <t>sufficient quantity</t>
    </r>
    <r>
      <rPr>
        <sz val="10"/>
        <rFont val="Corbel"/>
        <family val="2"/>
      </rPr>
      <t xml:space="preserve"> of </t>
    </r>
    <r>
      <rPr>
        <b/>
        <u/>
        <sz val="10"/>
        <rFont val="Corbel"/>
        <family val="2"/>
      </rPr>
      <t>sanitary pads</t>
    </r>
    <r>
      <rPr>
        <sz val="10"/>
        <rFont val="Corbel"/>
        <family val="2"/>
      </rPr>
      <t xml:space="preserve"> during the reporting period</t>
    </r>
  </si>
  <si>
    <t># of affected households receiving a sufficient quantity of soap during the reporting period</t>
  </si>
  <si>
    <t># of affected women and girls receiving a sufficient quantity of sanitary pads during the reporting period</t>
  </si>
  <si>
    <t>#_of_affected_households_receiving_a_sufficient_quantity_of_soap</t>
  </si>
  <si>
    <t>#_of_affected_women_and_girls_receiving_a_sufficient_quantity_of_sanitary_pads</t>
  </si>
  <si>
    <t>AAP</t>
  </si>
  <si>
    <t>Min Te</t>
  </si>
  <si>
    <t>Myar Lee Kan</t>
  </si>
  <si>
    <t>Tha Zin</t>
  </si>
  <si>
    <t>Taw Pan Zin</t>
  </si>
  <si>
    <t># People with access to soap</t>
  </si>
  <si>
    <t># People with access to Sanity Pads</t>
  </si>
  <si>
    <t># People received regular supply of hygiene items</t>
  </si>
  <si>
    <t xml:space="preserve"> # People received regular supply of hygiene items</t>
  </si>
  <si>
    <t>Oak Ta Ma</t>
  </si>
  <si>
    <t>Chaung Du</t>
  </si>
  <si>
    <t>Nar Yi Kan</t>
  </si>
  <si>
    <t>Shwe Pyi Thar</t>
  </si>
  <si>
    <t>Min Gan 1</t>
  </si>
  <si>
    <t>Par Taw</t>
  </si>
  <si>
    <t>Ta Yar Thee Su Ward</t>
  </si>
  <si>
    <t>MMR012001701508</t>
  </si>
  <si>
    <t>MMR012001701522</t>
  </si>
  <si>
    <t>Aung Min Ga Lar Ward</t>
  </si>
  <si>
    <t>MMR012001701530</t>
  </si>
  <si>
    <t>MMR012001701532</t>
  </si>
  <si>
    <t>U Sun Taung</t>
  </si>
  <si>
    <t>Yin Dar</t>
  </si>
  <si>
    <t>Q3_2019</t>
  </si>
  <si>
    <t>Nan Tet</t>
  </si>
  <si>
    <t>Nan Kya (Nan Kyar)</t>
  </si>
  <si>
    <t>Kyauk Kyat</t>
  </si>
  <si>
    <t>Taung U</t>
  </si>
  <si>
    <t>Hteik Wa Pyin</t>
  </si>
  <si>
    <t>Bu Ywet Ma Nyoe</t>
  </si>
  <si>
    <t>Chaung Hpyar</t>
  </si>
  <si>
    <t>Ah Shey</t>
  </si>
  <si>
    <t>Kyee Kan Pyin (South)</t>
  </si>
  <si>
    <t>Kan Thar Yar(Upper)</t>
  </si>
  <si>
    <t>Kan Thar Yar(Lower)</t>
  </si>
  <si>
    <t>Kine Gyi (Myo)</t>
  </si>
  <si>
    <t>Min Gyi</t>
  </si>
  <si>
    <t>Da Pyu Chaung</t>
  </si>
  <si>
    <t>Inn Gyin Myaing (NaTaLa)</t>
  </si>
  <si>
    <t>Laung Chaung</t>
  </si>
  <si>
    <t>Nga Kyin Tauk</t>
  </si>
  <si>
    <t>Pae Youne (NaTaLa)</t>
  </si>
  <si>
    <t>Inn Din</t>
  </si>
  <si>
    <t>Har Bi (West)</t>
  </si>
  <si>
    <t>Zay Kone Tan</t>
  </si>
  <si>
    <t>Tat Min Chaung (Muslim)</t>
  </si>
  <si>
    <t>Tat Min Chaung (Daing Net/Rakhine)</t>
  </si>
  <si>
    <t>Gu Dar Pyin</t>
  </si>
  <si>
    <t>Tha Peik Taung (Rakhine)</t>
  </si>
  <si>
    <t>Rakhine, Daing Net</t>
  </si>
  <si>
    <t>Nga Yant Chaung</t>
  </si>
  <si>
    <t>Dar Paing Sa Yar</t>
  </si>
  <si>
    <t>Mee Kyaung Khaung Swea</t>
  </si>
  <si>
    <t># of total (Liters) stored in Constructed/Existing water storage tank with gravity fed reticulation system</t>
  </si>
  <si>
    <t># liters</t>
  </si>
  <si>
    <t>#_of_total_(Liters)_stored_in_Constructed/Existing_water_storage_tank_with_gravity_fed_reticulation_system</t>
  </si>
  <si>
    <t>HPA</t>
  </si>
  <si>
    <t>JI Guan #1 Village</t>
  </si>
  <si>
    <t>Longdong Yicun</t>
  </si>
  <si>
    <t>#5 Village</t>
  </si>
  <si>
    <t xml:space="preserve">Aik Chan School </t>
  </si>
  <si>
    <t>Long Kong Village</t>
  </si>
  <si>
    <t>Long Man Village</t>
  </si>
  <si>
    <t>Licong Village</t>
  </si>
  <si>
    <t>Yong Lai Village</t>
  </si>
  <si>
    <t>Peng Cai School</t>
  </si>
  <si>
    <t>Yin Pan Zhong Mian You Hao School</t>
  </si>
  <si>
    <t>Nam Hkam Wu</t>
  </si>
  <si>
    <t>Kuankong village</t>
  </si>
  <si>
    <t xml:space="preserve">Nanpa Shiwu </t>
  </si>
  <si>
    <t xml:space="preserve"> Nanpa Niwa </t>
  </si>
  <si>
    <t xml:space="preserve">Yongshang Niwa village </t>
  </si>
  <si>
    <t>Lare Yongbula Village</t>
  </si>
  <si>
    <t xml:space="preserve">Xitong Lengkang </t>
  </si>
  <si>
    <t>WA</t>
  </si>
  <si>
    <t>Gongcong No.2</t>
  </si>
  <si>
    <t>Gongcong No.3</t>
  </si>
  <si>
    <t>Yongben</t>
  </si>
  <si>
    <t>Longdong Ercun</t>
  </si>
  <si>
    <t>Longdong Sancun</t>
  </si>
  <si>
    <t>Yongben/Longdong Sicun</t>
  </si>
  <si>
    <t>Yongyue</t>
  </si>
  <si>
    <t>Yongran</t>
  </si>
  <si>
    <t>Yongkao</t>
  </si>
  <si>
    <t>Shandong Sancun</t>
  </si>
  <si>
    <t>Shandong Sicun</t>
  </si>
  <si>
    <t>Bagedi Qicun</t>
  </si>
  <si>
    <t>Bagedi Bacun</t>
  </si>
  <si>
    <t>Bagedi Ercun</t>
  </si>
  <si>
    <t>Bagedi Yicun</t>
  </si>
  <si>
    <t>Daxisuo Yicun</t>
  </si>
  <si>
    <t>Daxisuo Ercun</t>
  </si>
  <si>
    <t>Laojie</t>
  </si>
  <si>
    <t>Guanyang</t>
  </si>
  <si>
    <t>Yongbang</t>
  </si>
  <si>
    <t>SR4</t>
  </si>
  <si>
    <t>Wan Hui</t>
  </si>
  <si>
    <t>Bang Ma Pai</t>
  </si>
  <si>
    <t>Wan Nan</t>
  </si>
  <si>
    <t>An Ka</t>
  </si>
  <si>
    <t>Bo He</t>
  </si>
  <si>
    <t>Wan Gang Long</t>
  </si>
  <si>
    <t>Ba Lie</t>
  </si>
  <si>
    <t>Jing Yan</t>
  </si>
  <si>
    <t>Suo Yi</t>
  </si>
  <si>
    <t>Meng Suo</t>
  </si>
  <si>
    <t>Yang Lan</t>
  </si>
  <si>
    <t>Wan Ru Gan</t>
  </si>
  <si>
    <t>Ta Ban Long</t>
  </si>
  <si>
    <t>Wan Nuo Da</t>
  </si>
  <si>
    <t>Wan Jing</t>
  </si>
  <si>
    <t>Ake Man Yang</t>
  </si>
  <si>
    <t>Wan Gu</t>
  </si>
  <si>
    <t>Wan Gong</t>
  </si>
  <si>
    <t>Ga Lan</t>
  </si>
  <si>
    <t>Nuo Mei</t>
  </si>
  <si>
    <t>Ta Ban Dang</t>
  </si>
  <si>
    <t>Ta Ban Ga</t>
  </si>
  <si>
    <t>Ta Long</t>
  </si>
  <si>
    <t>Nuo Bing</t>
  </si>
  <si>
    <t>Nuo Ka</t>
  </si>
  <si>
    <t>Meng La</t>
  </si>
  <si>
    <t>Lei Long</t>
  </si>
  <si>
    <t>Pu Du</t>
  </si>
  <si>
    <t>Nan Me Man</t>
  </si>
  <si>
    <t>Nan Ken</t>
  </si>
  <si>
    <t>Bo Hei Xinzhai</t>
  </si>
  <si>
    <t>Man San</t>
  </si>
  <si>
    <t>Nan Duo Man</t>
  </si>
  <si>
    <t>Bo Hei Laozhai</t>
  </si>
  <si>
    <t>KOK</t>
  </si>
  <si>
    <t>Mone Gon</t>
  </si>
  <si>
    <t>Pa Lin</t>
  </si>
  <si>
    <t>Nao Ou</t>
  </si>
  <si>
    <t>Shui Wa</t>
  </si>
  <si>
    <t>Yao Sa Na</t>
  </si>
  <si>
    <t>Nan Bi</t>
  </si>
  <si>
    <t>Mong Hong</t>
  </si>
  <si>
    <t>Ho Pin Kyaing</t>
  </si>
  <si>
    <t>Ban Mon</t>
  </si>
  <si>
    <t>Nan Mong</t>
  </si>
  <si>
    <t>Kaung San</t>
  </si>
  <si>
    <t>Nan Ma Kaw</t>
  </si>
  <si>
    <t>Ban Lot</t>
  </si>
  <si>
    <t>Xi Cun Ba</t>
  </si>
  <si>
    <t>Shi Ma Shan</t>
  </si>
  <si>
    <t>Qiu Shui</t>
  </si>
  <si>
    <t>Shou Gong</t>
  </si>
  <si>
    <t>Shui Jin Tu</t>
  </si>
  <si>
    <t>Dong Ma Ga</t>
  </si>
  <si>
    <t>Shuang Pa</t>
  </si>
  <si>
    <t>Pa Ha (Lisu)</t>
  </si>
  <si>
    <t>Pa Jiu</t>
  </si>
  <si>
    <t>Nan Ba Qi</t>
  </si>
  <si>
    <t>Ban Mo</t>
  </si>
  <si>
    <t>Da Jiu Zhai</t>
  </si>
  <si>
    <t>Da Mian Si</t>
  </si>
  <si>
    <t>Ma Mu Shu</t>
  </si>
  <si>
    <t>Huang Tian</t>
  </si>
  <si>
    <t>Niu Chang</t>
  </si>
  <si>
    <t>Yang Kuang</t>
  </si>
  <si>
    <t>Xia Man Le</t>
  </si>
  <si>
    <t>Chang Liu Shui</t>
  </si>
  <si>
    <t>Xiao Ming Shan</t>
  </si>
  <si>
    <t>Q4_2019</t>
  </si>
  <si>
    <t>Ci He village</t>
  </si>
  <si>
    <t>Lian Bang village</t>
  </si>
  <si>
    <t>Lian He village</t>
  </si>
  <si>
    <t>New Man Jiu village</t>
  </si>
  <si>
    <t>Set Oe</t>
  </si>
  <si>
    <t>Maw Thi Nyar</t>
  </si>
  <si>
    <t>Tin Bi</t>
  </si>
  <si>
    <t>Na Kan (weat)</t>
  </si>
  <si>
    <t xml:space="preserve">Pya Hla </t>
  </si>
  <si>
    <t>Koe Na Win</t>
  </si>
  <si>
    <t>Pya Hla</t>
  </si>
  <si>
    <t>Na Kan</t>
  </si>
  <si>
    <t>Pu Zun Hpe</t>
  </si>
  <si>
    <t>Ku Lar Chaung</t>
  </si>
  <si>
    <t>Lahkum</t>
  </si>
  <si>
    <t>N-gum La</t>
  </si>
  <si>
    <t>Dam ( Zup Ngai Yang)</t>
  </si>
  <si>
    <t>Um Uma</t>
  </si>
  <si>
    <t>Bum Run</t>
  </si>
  <si>
    <t>N-bau Tu</t>
  </si>
  <si>
    <t>Monastery</t>
  </si>
  <si>
    <t>Shan (North) Total</t>
  </si>
  <si>
    <t>Kar Pi Chaung</t>
  </si>
  <si>
    <t>U Gar Dein</t>
  </si>
  <si>
    <t># of sanitation facilities (latrines) built/repaired/rehabilitated following risk-sensitive programming and consultation with communities and/or GBV risk-sensitive programming</t>
  </si>
  <si>
    <t>HRP4: Number of vulnerable people that are consulted, and their concerns are addressed, through dignified and inclusive WASH services.</t>
  </si>
  <si>
    <t># of sanitation facilities (HH sanitation devices) distributed following risk-sensitive programming and consultation with communities and/or GBV risk-sensitive programming</t>
  </si>
  <si>
    <t># of sanitation facilities (bathing spaces) built following risk-sensitive programming and consultation with communities</t>
  </si>
  <si>
    <t>GENERAL</t>
  </si>
  <si>
    <t>WASHinProtection</t>
  </si>
  <si>
    <t>Number of women, men, boys and girls benefitting from safe/ improved drinking water, meeting demand for domestic purposes, at minimum/agreed standards.</t>
  </si>
  <si>
    <t>Number of women, men, boys and girls benefitting from functional excre-ta disposal system, reducing safety/public health/environmental risks.</t>
  </si>
  <si>
    <t>Number of women, men, boys and girls benefitting from timely/ade-quate/tailored personal hygiene items and receiving appropriate/ community tailored messages that enable health seeking behaviour.</t>
  </si>
  <si>
    <t>HRP 4</t>
  </si>
  <si>
    <t>Number of vulnerable people that are consulted, and their concerns are addressed, through dignified and inclusive WASH services.</t>
  </si>
  <si>
    <t>HRP 5</t>
  </si>
  <si>
    <t>Number of women, men, girls and boys accessing WASH services in temporary health facilities and learn-ing spaces which received support from the WASH Cluster.</t>
  </si>
  <si>
    <t xml:space="preserve"># of sanitation facilities (latrines) built/repaired/rehabilitated following risk-sensitive programming and consultation with communities and/or GBV risk-sensitive programming
# of sanitation facilities (HH sanitation devices) distributed following risk-sensitive programming and consultation with communities and/or GBV risk-sensitive programming
</t>
  </si>
  <si>
    <t>HRP1: Number of women, men, boys and girls benefitting from safe/ improved drinking water, meeting demand for domestic purposes, at minimum/agreed standards.</t>
  </si>
  <si>
    <t xml:space="preserve">HRP2: Number of women, men, boys and girls benefitting from functional excre-ta disposal system, reducing safety/public health/environmental risks.
</t>
  </si>
  <si>
    <t>HRP3:Number of women, men, boys and girls benefitting from timely/ade-quate/tailored personal hygiene items and receiving appropriate/ community tailored messages that enable health seeking behaviour.</t>
  </si>
  <si>
    <t xml:space="preserve"># of Men who received appropirate/community tailored hygiene messages
# of Women who received appropirate/community tailored hygiene messages
# of Boys who received appropirate/community tailored hygiene messages
# of Girls who received appropirate/community tailored hygiene messages
# of students (boys) who received appropirate hygiene messages
# of students (girls) who received appropirate hygiene messages
# of affected households receiving a sufficient quantity of soap during the reporting period
# of affected women and girls receiving a sufficient quantity of sanitary pads during the reporting period
</t>
  </si>
  <si>
    <t>V30, 31, 32, 33, 34, 35, 38, 39</t>
  </si>
  <si>
    <t>V43, 44, 45</t>
  </si>
  <si>
    <t>#_of_sanitation_facilities_(latrines)_built/repaired/rehabilitated_following_risk-sensitive_programming_and_consultation_with_communities_and/or_GBV_risk-sensitive_programming</t>
  </si>
  <si>
    <t>#_of_sanitation_facilities_(HH_sanitation_devices)_distributed_following_risk-sensitive_programming_and_consultation_with_communities_and/or_GBV_risk-sensitive_programming</t>
  </si>
  <si>
    <t>#_of_sanitation_facilities_(bathing_spaces)_built_following_risk-sensitive_programming_and_consultation_with_communities</t>
  </si>
  <si>
    <t>2020_Q1</t>
  </si>
  <si>
    <t>ECHO, OFDA, CDC</t>
  </si>
  <si>
    <t>MA-UK</t>
  </si>
  <si>
    <t>HQ</t>
  </si>
  <si>
    <t>Chaing Pyin</t>
  </si>
  <si>
    <t>Hpaung Khar</t>
  </si>
  <si>
    <t xml:space="preserve"> 02/28/2021</t>
  </si>
  <si>
    <t>Byar Lar</t>
  </si>
  <si>
    <t>Thar Dar Seik</t>
  </si>
  <si>
    <t>Nyaung Pin Chaing</t>
  </si>
  <si>
    <t>Pyin Boke</t>
  </si>
  <si>
    <t xml:space="preserve">data  about PSN should be provide by CMA </t>
  </si>
  <si>
    <t>HP session od SI targeted the all population od ANYv 2050</t>
  </si>
  <si>
    <t>Q1_2020</t>
  </si>
  <si>
    <t>Kyan Khin</t>
  </si>
  <si>
    <t>Thea Khon</t>
  </si>
  <si>
    <t>Ba Ra War</t>
  </si>
  <si>
    <t>Day Wun</t>
  </si>
  <si>
    <t>Saung Du</t>
  </si>
  <si>
    <t>Mee Yat Pyin</t>
  </si>
  <si>
    <t>Pan Hpe Chaung</t>
  </si>
  <si>
    <t>Ywet Nyoe Taung</t>
  </si>
  <si>
    <t>Sin Oe Chaing Ywar Thit</t>
  </si>
  <si>
    <t>Shin Oe Chaing- Old</t>
  </si>
  <si>
    <t xml:space="preserve"># of sanitary fly-proof HH latrines
# of persons with disabilities with adapted sanitation option at HH level 
</t>
  </si>
  <si>
    <t>V22, 26</t>
  </si>
  <si>
    <t>WV' Korea</t>
  </si>
  <si>
    <t>Nam Khaung</t>
  </si>
  <si>
    <t>Nyaung Pin Tar</t>
  </si>
  <si>
    <t>Sut Yang</t>
  </si>
  <si>
    <t>Nawng Mun</t>
  </si>
  <si>
    <t>Htwei San Yang</t>
  </si>
  <si>
    <t>Inn Shan Hku</t>
  </si>
  <si>
    <t>Htat Queen Baw Sar Dee</t>
  </si>
  <si>
    <t>Jat Mai Yang</t>
  </si>
  <si>
    <t>Mang Shang</t>
  </si>
  <si>
    <t>Wu Ra Yang</t>
  </si>
  <si>
    <t>Bum Taung</t>
  </si>
  <si>
    <t>Mar Kyar</t>
  </si>
  <si>
    <t>Lu Myang Ward (3)</t>
  </si>
  <si>
    <t>La Kyaung</t>
  </si>
  <si>
    <t>Hkang Bu</t>
  </si>
  <si>
    <t>N Pawn/ Hang Gaw</t>
  </si>
  <si>
    <t>Ni Ku De</t>
  </si>
  <si>
    <t>Zi Kaw</t>
  </si>
  <si>
    <t>Din Gum Yang</t>
  </si>
  <si>
    <t>Shang Len Yang</t>
  </si>
  <si>
    <t>Q1-2020</t>
  </si>
  <si>
    <t>Kachin Total</t>
  </si>
  <si>
    <t>2020_Q2</t>
  </si>
  <si>
    <t>2020_Q3</t>
  </si>
  <si>
    <t>2020_Q4</t>
  </si>
  <si>
    <t>CDN, MA-UK, OXSI(Oxfam), OXSI(SI)</t>
  </si>
  <si>
    <t>Sum of #_of_PWD_at_village</t>
  </si>
  <si>
    <t>Sum of #_of_PWD_with_adapted_sanitation_option_at_HH_level_</t>
  </si>
  <si>
    <t># of PWD at village</t>
  </si>
  <si>
    <t xml:space="preserve"> # of PWD with adapted sanitation option at HH level</t>
  </si>
  <si>
    <t>Sum of HRP2</t>
  </si>
  <si>
    <t>Access</t>
  </si>
  <si>
    <t>No Access</t>
  </si>
  <si>
    <t xml:space="preserve">Accessed </t>
  </si>
  <si>
    <t xml:space="preserve">No access </t>
  </si>
  <si>
    <t># Water points in School</t>
  </si>
  <si>
    <t>Sum of # People with access to soap</t>
  </si>
  <si>
    <t>Sum of # People with access to Sanity Pads</t>
  </si>
  <si>
    <t xml:space="preserve"> # People with access to soap</t>
  </si>
  <si>
    <t xml:space="preserve"> # People with access to Sanity Pads</t>
  </si>
  <si>
    <t>Accessed</t>
  </si>
  <si>
    <t xml:space="preserve"> % People benefitting from safe/improved drinking water, meeting demand for domestic purposes, at minimum/agreed standards</t>
  </si>
  <si>
    <t xml:space="preserve"> % People benefitting from a functional excreta disposal system, reducing safety/public health/environmental risks</t>
  </si>
  <si>
    <t xml:space="preserve"> %People benefitting from personal hygiene items and receiving appropriate hygiene message</t>
  </si>
  <si>
    <t xml:space="preserve"> % People benefitting from safe/improved drinking water, meeting demand for domestic purposes</t>
  </si>
  <si>
    <t>Sum of #People access to unimproved water sources</t>
  </si>
  <si>
    <t xml:space="preserve"> Total PoP </t>
  </si>
  <si>
    <t>Sum of # people with equitable and continuous access to sufficient quantity of safe drinking water</t>
  </si>
  <si>
    <t># people access to sufficient quantity of safe drinking water</t>
  </si>
  <si>
    <t>No access</t>
  </si>
  <si>
    <t># People accessed to unimproved water sources</t>
  </si>
  <si>
    <t xml:space="preserve"> # Functioning protected hand dug well/open well</t>
  </si>
  <si>
    <t xml:space="preserve"> # Functioning Tube wells/boreholes/hand_pumps</t>
  </si>
  <si>
    <t xml:space="preserve">  # Existing protected/fenced_ponds</t>
  </si>
  <si>
    <t>Sum of #_of_people_accessing_to_other_types_of_un-improved_water_sources_(river,_spring)</t>
  </si>
  <si>
    <t>WCM</t>
  </si>
  <si>
    <t>Htara Zup</t>
  </si>
  <si>
    <t>Ka Kyee Htu</t>
  </si>
  <si>
    <t>In Yaw Kawng</t>
  </si>
  <si>
    <t xml:space="preserve">Jar Htu Yang </t>
  </si>
  <si>
    <t>Daw Lang Kawng</t>
  </si>
  <si>
    <t>Bum Yar</t>
  </si>
  <si>
    <t>N Byine Gar</t>
  </si>
  <si>
    <t>Bum Rong</t>
  </si>
  <si>
    <t>La Zee</t>
  </si>
  <si>
    <t>La Yang</t>
  </si>
  <si>
    <t>Sut Ja</t>
  </si>
  <si>
    <t>In Pauk Chet</t>
  </si>
  <si>
    <t>Au Ra Ka Htaung</t>
  </si>
  <si>
    <t>In Bang Bum</t>
  </si>
  <si>
    <t xml:space="preserve">In Lat Jar </t>
  </si>
  <si>
    <t xml:space="preserve">Kawng San </t>
  </si>
  <si>
    <t>Bum Noi</t>
  </si>
  <si>
    <t>Hkin Du Yang</t>
  </si>
  <si>
    <t>Long Wan</t>
  </si>
  <si>
    <t>Aum Hta San Htu</t>
  </si>
  <si>
    <t>In Ding Ding Sa</t>
  </si>
  <si>
    <t>Hting Bu Kawng</t>
  </si>
  <si>
    <t>In Hkai</t>
  </si>
  <si>
    <t>Hkin Dawng</t>
  </si>
  <si>
    <t>Wa Wan Gar</t>
  </si>
  <si>
    <t>Mali Kawng Ja</t>
  </si>
  <si>
    <t>Dam Gar</t>
  </si>
  <si>
    <t>Ma Li Sut</t>
  </si>
  <si>
    <t>World Concern</t>
  </si>
  <si>
    <t>Pang Hlut Lawng</t>
  </si>
  <si>
    <t>Kawng Kaw</t>
  </si>
  <si>
    <t>Ho Lawng</t>
  </si>
  <si>
    <t>Man Myaing</t>
  </si>
  <si>
    <t>Pei Huong</t>
  </si>
  <si>
    <t xml:space="preserve">Chauk Maing </t>
  </si>
  <si>
    <t>Hkain Chin</t>
  </si>
  <si>
    <t>Nam Maw Sin</t>
  </si>
  <si>
    <t>Kone Hsar</t>
  </si>
  <si>
    <t>(All)</t>
  </si>
  <si>
    <t>5-1-2019</t>
  </si>
  <si>
    <t>12-31-2020</t>
  </si>
  <si>
    <t>Kayin</t>
  </si>
  <si>
    <t>Hlaing Bwe</t>
  </si>
  <si>
    <t>Yar Sa</t>
  </si>
  <si>
    <t>Yar Ki</t>
  </si>
  <si>
    <t>Naung Kha Lone</t>
  </si>
  <si>
    <t>Yar The Yar</t>
  </si>
  <si>
    <t>Yar Htut Khel</t>
  </si>
  <si>
    <t>Yaw Hta</t>
  </si>
  <si>
    <t>Tar Ka Lel Ni</t>
  </si>
  <si>
    <t>War Kyal</t>
  </si>
  <si>
    <t>Naung Taing Khee</t>
  </si>
  <si>
    <t>Htee Poe War Mae</t>
  </si>
  <si>
    <t>Naung Taing</t>
  </si>
  <si>
    <t>Ahr Ku Ka Yaung</t>
  </si>
  <si>
    <t>Kyaung Taw</t>
  </si>
  <si>
    <t>Ka Nel Haw War</t>
  </si>
  <si>
    <t>Htaing Boke</t>
  </si>
  <si>
    <t>Kwee Hpar Taw</t>
  </si>
  <si>
    <t>Kayin Total</t>
  </si>
  <si>
    <t>Q2_2020</t>
  </si>
  <si>
    <t>DRA</t>
  </si>
  <si>
    <t>USAID/OFDA</t>
  </si>
  <si>
    <t>HP session of SI targeted the all population od ANYv 2228 / 5 Hand Washing station have been installed in the pubblic space in ANYvillage</t>
  </si>
  <si>
    <t>HARP-F</t>
  </si>
  <si>
    <t>Koe Soung 1</t>
  </si>
  <si>
    <t>Koe Soung 2</t>
  </si>
  <si>
    <t>Maw La Wee Kyan</t>
  </si>
  <si>
    <t>Pyar Lay Chaung</t>
  </si>
  <si>
    <t>Than Daw Li</t>
  </si>
  <si>
    <t>Gant Gaw Kyun</t>
  </si>
  <si>
    <t>Koe Saung</t>
  </si>
  <si>
    <t>Ohn Yae Paw</t>
  </si>
  <si>
    <t>Thar Yar Kone Ka Man</t>
  </si>
  <si>
    <t>Taung Ka Lay</t>
  </si>
  <si>
    <t>Htauk Ka Yar</t>
  </si>
  <si>
    <t>Shauk Kone</t>
  </si>
  <si>
    <t>Shan Gone</t>
  </si>
  <si>
    <t xml:space="preserve">  # People received regular supply of hygiene items</t>
  </si>
  <si>
    <t>RAKHINE STATE - non-IDP Sites  (2020 - Qtr 2 - 4W Analysis, as of 30 June 2020)</t>
  </si>
  <si>
    <t>2020-2nd Qtr 4W by site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</si>
</sst>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_(* #,##0_);_(* \(#,##0\);_(* &quot;-&quot;??_);_(@_)"/>
    <numFmt numFmtId="165" formatCode="[$-409]d\-mmm\-yy;@"/>
    <numFmt numFmtId="166" formatCode="[$-409]d/mmm/yy;@"/>
    <numFmt numFmtId="167" formatCode="yyyy/mm/dd"/>
    <numFmt numFmtId="168" formatCode="[$-409]d\-mmm\-yyyy;@"/>
  </numFmts>
  <fonts count="148">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font>
    <font>
      <sz val="12"/>
      <color theme="1"/>
      <name val="Times New Roman"/>
      <family val="2"/>
    </font>
    <font>
      <sz val="11"/>
      <color theme="1"/>
      <name val="Calibri"/>
      <family val="2"/>
      <scheme val="minor"/>
    </font>
    <font>
      <b/>
      <sz val="9"/>
      <color indexed="81"/>
      <name val="Tahoma"/>
      <family val="2"/>
    </font>
    <font>
      <sz val="9"/>
      <color indexed="81"/>
      <name val="Tahoma"/>
      <family val="2"/>
    </font>
    <font>
      <b/>
      <sz val="10"/>
      <color rgb="FFFFFFFF"/>
      <name val="Corbel"/>
      <family val="2"/>
    </font>
    <font>
      <sz val="10"/>
      <color rgb="FF2C2C2C"/>
      <name val="Corbel"/>
      <family val="2"/>
    </font>
    <font>
      <b/>
      <sz val="12"/>
      <color theme="1"/>
      <name val="Gill Sans MT"/>
      <family val="2"/>
    </font>
    <font>
      <sz val="12"/>
      <color theme="1"/>
      <name val="Gill Sans MT"/>
      <family val="2"/>
    </font>
    <font>
      <b/>
      <sz val="10"/>
      <color rgb="FF2C2C2C"/>
      <name val="Corbel"/>
      <family val="2"/>
    </font>
    <font>
      <sz val="12"/>
      <color rgb="FF2C2C2C"/>
      <name val="Gill Sans MT"/>
      <family val="2"/>
    </font>
    <font>
      <b/>
      <sz val="11"/>
      <color theme="1"/>
      <name val="Calibri"/>
      <family val="2"/>
      <scheme val="minor"/>
    </font>
    <font>
      <sz val="10"/>
      <color theme="1"/>
      <name val="Corbel"/>
      <family val="2"/>
    </font>
    <font>
      <sz val="10"/>
      <name val="Corbel"/>
      <family val="2"/>
    </font>
    <font>
      <sz val="10"/>
      <color theme="1"/>
      <name val="Calibri"/>
      <family val="2"/>
      <scheme val="minor"/>
    </font>
    <font>
      <b/>
      <sz val="10"/>
      <name val="Corbel"/>
      <family val="2"/>
    </font>
    <font>
      <b/>
      <sz val="14"/>
      <color theme="0"/>
      <name val="Corbel"/>
      <family val="2"/>
    </font>
    <font>
      <sz val="12"/>
      <color theme="1"/>
      <name val="Corbel"/>
      <family val="2"/>
    </font>
    <font>
      <b/>
      <sz val="18"/>
      <color theme="0"/>
      <name val="Calibri"/>
      <family val="2"/>
      <scheme val="minor"/>
    </font>
    <font>
      <sz val="18"/>
      <color theme="0"/>
      <name val="Calibri"/>
      <family val="2"/>
    </font>
    <font>
      <b/>
      <sz val="18"/>
      <color theme="0"/>
      <name val="Calibri"/>
      <family val="2"/>
    </font>
    <font>
      <b/>
      <sz val="12"/>
      <color theme="0"/>
      <name val="Corbel"/>
      <family val="2"/>
    </font>
    <font>
      <sz val="12"/>
      <color theme="0"/>
      <name val="Corbel"/>
      <family val="2"/>
    </font>
    <font>
      <b/>
      <sz val="10"/>
      <color rgb="FFFF0000"/>
      <name val="Corbel"/>
      <family val="2"/>
    </font>
    <font>
      <b/>
      <sz val="11"/>
      <color theme="0"/>
      <name val="Corbel"/>
      <family val="2"/>
    </font>
    <font>
      <b/>
      <sz val="11"/>
      <color rgb="FFFF0000"/>
      <name val="Corbel"/>
      <family val="2"/>
    </font>
    <font>
      <b/>
      <sz val="12"/>
      <color theme="1"/>
      <name val="Times New Roman"/>
      <family val="1"/>
    </font>
    <font>
      <b/>
      <sz val="11"/>
      <color theme="9" tint="-0.499984740745262"/>
      <name val="Corbel"/>
      <family val="2"/>
    </font>
    <font>
      <sz val="10"/>
      <color indexed="8"/>
      <name val="Arial"/>
      <family val="2"/>
    </font>
    <font>
      <sz val="10"/>
      <color rgb="FF2C2C2C"/>
      <name val="Calibri"/>
      <family val="2"/>
      <scheme val="minor"/>
    </font>
    <font>
      <sz val="10"/>
      <color indexed="8"/>
      <name val="Calibri"/>
      <family val="2"/>
      <scheme val="minor"/>
    </font>
    <font>
      <b/>
      <sz val="10"/>
      <color theme="0" tint="-0.249977111117893"/>
      <name val="Corbel"/>
      <family val="2"/>
    </font>
    <font>
      <sz val="10"/>
      <color theme="0" tint="-0.249977111117893"/>
      <name val="Corbel"/>
      <family val="2"/>
    </font>
    <font>
      <sz val="11"/>
      <color rgb="FF006100"/>
      <name val="Calibri"/>
      <family val="2"/>
    </font>
    <font>
      <sz val="11"/>
      <color rgb="FF9C0006"/>
      <name val="Calibri"/>
      <family val="2"/>
    </font>
    <font>
      <b/>
      <sz val="11"/>
      <color rgb="FF006100"/>
      <name val="Calibri"/>
      <family val="2"/>
      <scheme val="minor"/>
    </font>
    <font>
      <b/>
      <sz val="11"/>
      <color rgb="FF9C0006"/>
      <name val="Calibri"/>
      <family val="2"/>
      <scheme val="minor"/>
    </font>
    <font>
      <b/>
      <sz val="15"/>
      <color theme="0"/>
      <name val="Corbel"/>
      <family val="2"/>
    </font>
    <font>
      <sz val="10"/>
      <color theme="4" tint="0.59999389629810485"/>
      <name val="Corbel"/>
      <family val="2"/>
    </font>
    <font>
      <sz val="10"/>
      <color theme="5" tint="0.79998168889431442"/>
      <name val="Corbel"/>
      <family val="2"/>
    </font>
    <font>
      <sz val="10"/>
      <color rgb="FF92D050"/>
      <name val="Corbel"/>
      <family val="2"/>
    </font>
    <font>
      <sz val="11"/>
      <color theme="4" tint="0.79998168889431442"/>
      <name val="Calibri"/>
      <family val="2"/>
      <scheme val="minor"/>
    </font>
    <font>
      <sz val="11"/>
      <color theme="5" tint="0.79998168889431442"/>
      <name val="Calibri"/>
      <family val="2"/>
      <scheme val="minor"/>
    </font>
    <font>
      <sz val="11"/>
      <color theme="9" tint="0.79998168889431442"/>
      <name val="Calibri"/>
      <family val="2"/>
      <scheme val="minor"/>
    </font>
    <font>
      <sz val="9"/>
      <color theme="1"/>
      <name val="Corbel"/>
      <family val="2"/>
    </font>
    <font>
      <sz val="9"/>
      <color rgb="FF2C2C2C"/>
      <name val="Corbel"/>
      <family val="2"/>
    </font>
    <font>
      <sz val="9"/>
      <name val="Corbel"/>
      <family val="2"/>
    </font>
    <font>
      <sz val="12"/>
      <color theme="1"/>
      <name val="Calibri"/>
      <family val="2"/>
      <scheme val="minor"/>
    </font>
    <font>
      <b/>
      <sz val="12"/>
      <color theme="1"/>
      <name val="Calibri"/>
      <family val="2"/>
      <scheme val="minor"/>
    </font>
    <font>
      <b/>
      <sz val="15"/>
      <color theme="3"/>
      <name val="Calibri"/>
      <family val="2"/>
      <scheme val="minor"/>
    </font>
    <font>
      <sz val="14"/>
      <color theme="1"/>
      <name val="Calibri"/>
      <family val="2"/>
      <scheme val="minor"/>
    </font>
    <font>
      <b/>
      <sz val="20"/>
      <color theme="0"/>
      <name val="Corbel"/>
      <family val="2"/>
    </font>
    <font>
      <sz val="10"/>
      <name val="Calibri"/>
      <family val="2"/>
      <scheme val="minor"/>
    </font>
    <font>
      <sz val="12"/>
      <color theme="0"/>
      <name val="Calibri"/>
      <family val="2"/>
      <scheme val="minor"/>
    </font>
    <font>
      <b/>
      <sz val="12"/>
      <color rgb="FF000000"/>
      <name val="Calibri"/>
      <family val="2"/>
      <scheme val="minor"/>
    </font>
    <font>
      <b/>
      <sz val="12"/>
      <color rgb="FFFF0000"/>
      <name val="Calibri"/>
      <family val="2"/>
      <scheme val="minor"/>
    </font>
    <font>
      <b/>
      <sz val="14"/>
      <color theme="1"/>
      <name val="Calibri"/>
      <family val="2"/>
      <scheme val="minor"/>
    </font>
    <font>
      <b/>
      <sz val="20"/>
      <color theme="0"/>
      <name val="Calibri"/>
      <family val="2"/>
      <scheme val="minor"/>
    </font>
    <font>
      <b/>
      <sz val="14"/>
      <color theme="0"/>
      <name val="Calibri"/>
      <family val="2"/>
      <scheme val="minor"/>
    </font>
    <font>
      <b/>
      <sz val="11"/>
      <color theme="0"/>
      <name val="Calibri"/>
      <family val="2"/>
      <scheme val="minor"/>
    </font>
    <font>
      <sz val="11"/>
      <color theme="1"/>
      <name val="Times New Roman"/>
      <family val="2"/>
    </font>
    <font>
      <sz val="11"/>
      <color theme="4" tint="-0.249977111117893"/>
      <name val="Calibri"/>
      <family val="2"/>
      <scheme val="minor"/>
    </font>
    <font>
      <sz val="11"/>
      <color theme="5" tint="-0.249977111117893"/>
      <name val="Calibri"/>
      <family val="2"/>
      <scheme val="minor"/>
    </font>
    <font>
      <sz val="11"/>
      <color theme="0"/>
      <name val="Calibri"/>
      <family val="2"/>
      <scheme val="minor"/>
    </font>
    <font>
      <b/>
      <i/>
      <sz val="11"/>
      <color theme="1"/>
      <name val="Calibri"/>
      <family val="2"/>
      <scheme val="minor"/>
    </font>
    <font>
      <b/>
      <sz val="12"/>
      <color theme="0"/>
      <name val="Calibri"/>
      <family val="2"/>
      <scheme val="minor"/>
    </font>
    <font>
      <sz val="10"/>
      <color theme="1"/>
      <name val="Calibri"/>
      <family val="2"/>
      <scheme val="minor"/>
    </font>
    <font>
      <sz val="11"/>
      <color indexed="8"/>
      <name val="Calibri"/>
      <family val="2"/>
      <scheme val="minor"/>
    </font>
    <font>
      <b/>
      <sz val="12"/>
      <color rgb="FFFF0000"/>
      <name val="Corbel"/>
      <family val="2"/>
    </font>
    <font>
      <b/>
      <sz val="11"/>
      <color theme="5"/>
      <name val="Corbel"/>
      <family val="2"/>
    </font>
    <font>
      <b/>
      <sz val="12"/>
      <color theme="1"/>
      <name val="Times New Roman"/>
      <family val="2"/>
    </font>
    <font>
      <b/>
      <sz val="16"/>
      <color theme="0"/>
      <name val="Calibri"/>
      <family val="2"/>
      <scheme val="minor"/>
    </font>
    <font>
      <sz val="11"/>
      <name val="Calibri"/>
      <family val="2"/>
      <scheme val="minor"/>
    </font>
    <font>
      <sz val="10"/>
      <color theme="1"/>
      <name val="Calibri"/>
      <family val="2"/>
      <scheme val="minor"/>
    </font>
    <font>
      <sz val="10"/>
      <color theme="1"/>
      <name val="Calibri"/>
      <family val="2"/>
      <scheme val="minor"/>
    </font>
    <font>
      <b/>
      <sz val="12"/>
      <color rgb="FF2C2C2C"/>
      <name val="Gill Sans MT"/>
      <family val="2"/>
    </font>
    <font>
      <sz val="9"/>
      <name val="zawgyi1"/>
      <family val="2"/>
    </font>
    <font>
      <sz val="9"/>
      <color theme="0"/>
      <name val="Corbel"/>
      <family val="2"/>
    </font>
    <font>
      <b/>
      <sz val="12"/>
      <color rgb="FFFFFFFF"/>
      <name val="Corbel"/>
      <family val="2"/>
    </font>
    <font>
      <sz val="10"/>
      <name val="zawgyi1"/>
      <family val="2"/>
    </font>
    <font>
      <sz val="10"/>
      <name val="Zawgyi-One"/>
      <family val="2"/>
    </font>
    <font>
      <sz val="9"/>
      <name val="Zawgyi-One"/>
      <family val="2"/>
    </font>
    <font>
      <b/>
      <sz val="10"/>
      <name val="Zawgyi-One"/>
      <family val="2"/>
    </font>
    <font>
      <sz val="8"/>
      <color theme="1"/>
      <name val="zawgyi1"/>
      <family val="2"/>
    </font>
    <font>
      <b/>
      <sz val="8"/>
      <color theme="0"/>
      <name val="zawgyi1"/>
      <family val="2"/>
    </font>
    <font>
      <b/>
      <sz val="8"/>
      <name val="zawgyi1"/>
      <family val="2"/>
    </font>
    <font>
      <b/>
      <sz val="10"/>
      <name val="Crobel"/>
    </font>
    <font>
      <b/>
      <sz val="10"/>
      <color theme="0"/>
      <name val="Crobel"/>
    </font>
    <font>
      <b/>
      <sz val="10"/>
      <color rgb="FFFF0000"/>
      <name val="Crobel"/>
    </font>
    <font>
      <b/>
      <sz val="10"/>
      <color theme="5" tint="-0.249977111117893"/>
      <name val="Crobel"/>
    </font>
    <font>
      <b/>
      <sz val="10"/>
      <color rgb="FF00B050"/>
      <name val="Crobel"/>
    </font>
    <font>
      <b/>
      <sz val="10"/>
      <color rgb="FFFFC000"/>
      <name val="Crobel"/>
    </font>
    <font>
      <b/>
      <sz val="10"/>
      <color theme="9" tint="-0.499984740745262"/>
      <name val="Crobel"/>
    </font>
    <font>
      <sz val="10"/>
      <color theme="1"/>
      <name val="Crobel"/>
    </font>
    <font>
      <sz val="18"/>
      <name val="Corbel"/>
      <family val="2"/>
    </font>
    <font>
      <sz val="11"/>
      <name val="Calibri"/>
      <family val="2"/>
    </font>
    <font>
      <sz val="18"/>
      <name val="zawgyi1"/>
      <family val="2"/>
    </font>
    <font>
      <sz val="11"/>
      <name val="zawgyi1"/>
      <family val="2"/>
    </font>
    <font>
      <sz val="8"/>
      <color rgb="FF2C2C2C"/>
      <name val="Zawgyi-One"/>
      <family val="2"/>
    </font>
    <font>
      <sz val="8"/>
      <name val="Zawgyi-One"/>
      <family val="2"/>
    </font>
    <font>
      <sz val="8"/>
      <color theme="1"/>
      <name val="Zawgyi-One"/>
      <family val="2"/>
    </font>
    <font>
      <b/>
      <sz val="10"/>
      <color theme="0"/>
      <name val="Corbel"/>
      <family val="2"/>
    </font>
    <font>
      <b/>
      <sz val="10"/>
      <color rgb="FF0070C0"/>
      <name val="Crobel"/>
    </font>
    <font>
      <b/>
      <sz val="14"/>
      <color theme="0"/>
      <name val="zawgyi1"/>
      <family val="2"/>
    </font>
    <font>
      <b/>
      <sz val="14"/>
      <color rgb="FFFFC000"/>
      <name val="zawgyi1"/>
      <family val="2"/>
    </font>
    <font>
      <sz val="12"/>
      <name val="Calibri"/>
      <family val="2"/>
      <scheme val="minor"/>
    </font>
    <font>
      <b/>
      <sz val="11"/>
      <color theme="0"/>
      <name val="Calibri"/>
      <family val="2"/>
      <scheme val="minor"/>
    </font>
    <font>
      <b/>
      <sz val="10"/>
      <color theme="5"/>
      <name val="Crobel"/>
    </font>
    <font>
      <sz val="10"/>
      <color theme="1"/>
      <name val="Calibri"/>
      <family val="2"/>
      <scheme val="minor"/>
    </font>
    <font>
      <sz val="11"/>
      <color theme="1"/>
      <name val="Calibri"/>
      <family val="2"/>
      <scheme val="minor"/>
    </font>
    <font>
      <sz val="10"/>
      <color theme="1"/>
      <name val="Calibri"/>
      <family val="2"/>
      <scheme val="minor"/>
    </font>
    <font>
      <b/>
      <u/>
      <sz val="10"/>
      <name val="Corbel"/>
      <family val="2"/>
    </font>
    <font>
      <sz val="10"/>
      <color theme="0"/>
      <name val="Corbel"/>
      <family val="2"/>
    </font>
    <font>
      <sz val="11"/>
      <color theme="9" tint="-0.249977111117893"/>
      <name val="Calibri"/>
      <family val="2"/>
      <scheme val="minor"/>
    </font>
    <font>
      <sz val="10"/>
      <color rgb="FF2C2C2C"/>
      <name val="Corbel"/>
      <family val="2"/>
    </font>
    <font>
      <sz val="10"/>
      <color theme="1"/>
      <name val="Calibri"/>
      <family val="2"/>
      <scheme val="minor"/>
    </font>
    <font>
      <sz val="10"/>
      <color theme="1"/>
      <name val="Calibri"/>
      <family val="2"/>
      <scheme val="minor"/>
    </font>
    <font>
      <sz val="12"/>
      <color theme="1"/>
      <name val="Calibri"/>
      <family val="2"/>
      <scheme val="minor"/>
    </font>
    <font>
      <sz val="11"/>
      <color theme="1"/>
      <name val="Calibri"/>
      <family val="2"/>
      <scheme val="minor"/>
    </font>
    <font>
      <sz val="8"/>
      <name val="Times New Roman"/>
      <family val="2"/>
    </font>
    <font>
      <sz val="10"/>
      <color rgb="FF2C2C2C"/>
      <name val="Corbel"/>
      <family val="2"/>
    </font>
    <font>
      <sz val="10"/>
      <color theme="1"/>
      <name val="Calibri"/>
      <family val="2"/>
      <scheme val="minor"/>
    </font>
    <font>
      <sz val="10"/>
      <color rgb="FF2C2C2C"/>
      <name val="Corbel"/>
      <family val="2"/>
    </font>
    <font>
      <sz val="11"/>
      <color theme="1"/>
      <name val="Calibri"/>
      <family val="2"/>
      <scheme val="minor"/>
    </font>
    <font>
      <sz val="11"/>
      <color theme="5" tint="-0.249977111117893"/>
      <name val="Calibri"/>
      <family val="2"/>
      <scheme val="minor"/>
    </font>
    <font>
      <sz val="11"/>
      <color theme="9" tint="-0.249977111117893"/>
      <name val="Calibri"/>
      <family val="2"/>
      <scheme val="minor"/>
    </font>
    <font>
      <sz val="10"/>
      <color theme="1"/>
      <name val="Calibri"/>
      <family val="2"/>
      <scheme val="minor"/>
    </font>
    <font>
      <sz val="10"/>
      <color indexed="8"/>
      <name val="Corbel"/>
      <family val="2"/>
    </font>
    <font>
      <sz val="12"/>
      <color theme="1"/>
      <name val="Calibri"/>
      <scheme val="minor"/>
    </font>
    <font>
      <sz val="10"/>
      <color theme="1"/>
      <name val="Calibri"/>
      <scheme val="minor"/>
    </font>
    <font>
      <sz val="11"/>
      <color theme="1"/>
      <name val="Calibri"/>
      <scheme val="minor"/>
    </font>
    <font>
      <b/>
      <sz val="11"/>
      <color theme="0"/>
      <name val="Calibri"/>
      <scheme val="minor"/>
    </font>
    <font>
      <sz val="12"/>
      <color theme="0"/>
      <name val="Calibri"/>
      <scheme val="minor"/>
    </font>
    <font>
      <b/>
      <sz val="12"/>
      <color theme="0"/>
      <name val="Calibri"/>
      <scheme val="minor"/>
    </font>
  </fonts>
  <fills count="49">
    <fill>
      <patternFill patternType="none"/>
    </fill>
    <fill>
      <patternFill patternType="gray125"/>
    </fill>
    <fill>
      <patternFill patternType="solid">
        <fgColor rgb="FFFFC000"/>
        <bgColor indexed="64"/>
      </patternFill>
    </fill>
    <fill>
      <patternFill patternType="solid">
        <fgColor rgb="FFFFE8CB"/>
        <bgColor indexed="64"/>
      </patternFill>
    </fill>
    <fill>
      <patternFill patternType="solid">
        <fgColor rgb="FFFFF4E7"/>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6"/>
        <bgColor indexed="64"/>
      </patternFill>
    </fill>
    <fill>
      <patternFill patternType="solid">
        <fgColor theme="2"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rgb="FFD4E8C6"/>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85C2FF"/>
        <bgColor indexed="64"/>
      </patternFill>
    </fill>
    <fill>
      <patternFill patternType="solid">
        <fgColor theme="7" tint="0.39997558519241921"/>
        <bgColor indexed="64"/>
      </patternFill>
    </fill>
    <fill>
      <patternFill patternType="solid">
        <fgColor theme="4"/>
        <bgColor theme="4"/>
      </patternFill>
    </fill>
    <fill>
      <patternFill patternType="solid">
        <fgColor theme="9" tint="-0.499984740745262"/>
        <bgColor indexed="64"/>
      </patternFill>
    </fill>
    <fill>
      <patternFill patternType="solid">
        <fgColor theme="0" tint="-0.34998626667073579"/>
        <bgColor indexed="64"/>
      </patternFill>
    </fill>
    <fill>
      <patternFill patternType="solid">
        <fgColor rgb="FFFF898C"/>
        <bgColor indexed="64"/>
      </patternFill>
    </fill>
    <fill>
      <patternFill patternType="solid">
        <fgColor theme="5" tint="-0.249977111117893"/>
        <bgColor theme="5" tint="-0.249977111117893"/>
      </patternFill>
    </fill>
    <fill>
      <patternFill patternType="solid">
        <fgColor rgb="FF002060"/>
        <bgColor indexed="64"/>
      </patternFill>
    </fill>
    <fill>
      <patternFill patternType="solid">
        <fgColor rgb="FF098A9B"/>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2" tint="-0.89999084444715716"/>
        <bgColor indexed="64"/>
      </patternFill>
    </fill>
    <fill>
      <patternFill patternType="solid">
        <fgColor theme="0" tint="-0.499984740745262"/>
        <bgColor indexed="64"/>
      </patternFill>
    </fill>
    <fill>
      <patternFill patternType="solid">
        <fgColor theme="9" tint="-0.249977111117893"/>
        <bgColor theme="9" tint="-0.249977111117893"/>
      </patternFill>
    </fill>
    <fill>
      <patternFill patternType="solid">
        <fgColor rgb="FFFFFF00"/>
        <bgColor indexed="64"/>
      </patternFill>
    </fill>
    <fill>
      <patternFill patternType="solid">
        <fgColor theme="7" tint="0.59999389629810485"/>
        <bgColor indexed="64"/>
      </patternFill>
    </fill>
  </fills>
  <borders count="114">
    <border>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theme="0"/>
      </left>
      <right style="medium">
        <color theme="0"/>
      </right>
      <top style="medium">
        <color theme="0"/>
      </top>
      <bottom style="medium">
        <color theme="0"/>
      </bottom>
      <diagonal/>
    </border>
    <border>
      <left style="medium">
        <color rgb="FFFFFFFF"/>
      </left>
      <right/>
      <top style="medium">
        <color rgb="FFFFFFFF"/>
      </top>
      <bottom style="medium">
        <color rgb="FFFFFFFF"/>
      </bottom>
      <diagonal/>
    </border>
    <border>
      <left style="medium">
        <color rgb="FFFFFFFF"/>
      </left>
      <right style="medium">
        <color rgb="FFFFFFFF"/>
      </right>
      <top style="thick">
        <color rgb="FFFFFFFF"/>
      </top>
      <bottom/>
      <diagonal/>
    </border>
    <border>
      <left style="thin">
        <color indexed="22"/>
      </left>
      <right style="thin">
        <color indexed="22"/>
      </right>
      <top style="thin">
        <color indexed="22"/>
      </top>
      <bottom style="thin">
        <color indexed="22"/>
      </bottom>
      <diagonal/>
    </border>
    <border>
      <left style="medium">
        <color rgb="FFFFFFFF"/>
      </left>
      <right style="medium">
        <color rgb="FFFFFFFF"/>
      </right>
      <top/>
      <bottom/>
      <diagonal/>
    </border>
    <border>
      <left/>
      <right/>
      <top style="thick">
        <color rgb="FFFFFFFF"/>
      </top>
      <bottom/>
      <diagonal/>
    </border>
    <border>
      <left/>
      <right style="medium">
        <color rgb="FFFFFFFF"/>
      </right>
      <top style="thick">
        <color rgb="FFFFFFFF"/>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theme="4" tint="0.39997558519241921"/>
      </bottom>
      <diagonal/>
    </border>
    <border>
      <left/>
      <right/>
      <top/>
      <bottom style="thick">
        <color theme="4"/>
      </bottom>
      <diagonal/>
    </border>
    <border>
      <left style="thin">
        <color theme="8"/>
      </left>
      <right style="thin">
        <color theme="8"/>
      </right>
      <top style="thin">
        <color theme="8"/>
      </top>
      <bottom style="thin">
        <color theme="8"/>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theme="4"/>
      </left>
      <right style="thin">
        <color theme="4"/>
      </right>
      <top style="medium">
        <color theme="4"/>
      </top>
      <bottom style="medium">
        <color theme="4"/>
      </bottom>
      <diagonal/>
    </border>
    <border>
      <left style="thin">
        <color theme="4"/>
      </left>
      <right style="thin">
        <color theme="4"/>
      </right>
      <top/>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theme="4" tint="0.59999389629810485"/>
      </left>
      <right style="thin">
        <color theme="4"/>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39994506668294322"/>
      </left>
      <right style="thin">
        <color theme="4" tint="0.39994506668294322"/>
      </right>
      <top/>
      <bottom/>
      <diagonal/>
    </border>
    <border>
      <left style="thin">
        <color theme="4" tint="0.39994506668294322"/>
      </left>
      <right style="thin">
        <color theme="4"/>
      </right>
      <top/>
      <bottom/>
      <diagonal/>
    </border>
    <border>
      <left style="thin">
        <color theme="5" tint="0.59996337778862885"/>
      </left>
      <right/>
      <top style="thin">
        <color theme="5" tint="0.59996337778862885"/>
      </top>
      <bottom style="thin">
        <color theme="5" tint="0.59996337778862885"/>
      </bottom>
      <diagonal/>
    </border>
    <border>
      <left style="thin">
        <color theme="5" tint="0.59996337778862885"/>
      </left>
      <right style="medium">
        <color theme="5" tint="0.59996337778862885"/>
      </right>
      <top style="medium">
        <color theme="5" tint="0.59996337778862885"/>
      </top>
      <bottom style="thin">
        <color theme="5" tint="0.59996337778862885"/>
      </bottom>
      <diagonal/>
    </border>
    <border>
      <left style="medium">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theme="5" tint="0.59996337778862885"/>
      </right>
      <top style="thin">
        <color theme="5" tint="0.59996337778862885"/>
      </top>
      <bottom style="thin">
        <color theme="5" tint="0.59996337778862885"/>
      </bottom>
      <diagonal/>
    </border>
    <border>
      <left style="medium">
        <color theme="5" tint="0.59996337778862885"/>
      </left>
      <right style="thin">
        <color theme="5" tint="0.59996337778862885"/>
      </right>
      <top style="thin">
        <color theme="5" tint="0.59996337778862885"/>
      </top>
      <bottom style="medium">
        <color theme="5" tint="0.59996337778862885"/>
      </bottom>
      <diagonal/>
    </border>
    <border>
      <left style="thin">
        <color theme="5" tint="0.59996337778862885"/>
      </left>
      <right style="medium">
        <color theme="5" tint="0.59996337778862885"/>
      </right>
      <top style="thin">
        <color theme="5" tint="0.59996337778862885"/>
      </top>
      <bottom style="medium">
        <color theme="5" tint="0.59996337778862885"/>
      </bottom>
      <diagonal/>
    </border>
    <border>
      <left/>
      <right style="thin">
        <color theme="4" tint="0.39997558519241921"/>
      </right>
      <top/>
      <bottom/>
      <diagonal/>
    </border>
    <border>
      <left style="thin">
        <color theme="4"/>
      </left>
      <right style="thin">
        <color theme="4"/>
      </right>
      <top/>
      <bottom style="thin">
        <color theme="4"/>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style="double">
        <color theme="8"/>
      </top>
      <bottom/>
      <diagonal/>
    </border>
    <border>
      <left style="thin">
        <color theme="8"/>
      </left>
      <right style="thin">
        <color theme="8"/>
      </right>
      <top style="double">
        <color theme="8"/>
      </top>
      <bottom/>
      <diagonal/>
    </border>
    <border>
      <left style="thin">
        <color theme="8"/>
      </left>
      <right/>
      <top style="double">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bottom style="thin">
        <color theme="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14996795556505021"/>
      </left>
      <right/>
      <top style="thin">
        <color theme="0" tint="-0.14996795556505021"/>
      </top>
      <bottom style="thin">
        <color theme="0" tint="-0.14996795556505021"/>
      </bottom>
      <diagonal/>
    </border>
    <border>
      <left style="medium">
        <color theme="0"/>
      </left>
      <right/>
      <top/>
      <bottom/>
      <diagonal/>
    </border>
    <border>
      <left style="medium">
        <color theme="0"/>
      </left>
      <right/>
      <top/>
      <bottom style="medium">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rgb="FFFF0000"/>
      </left>
      <right style="thin">
        <color theme="0"/>
      </right>
      <top style="thin">
        <color theme="0"/>
      </top>
      <bottom style="thin">
        <color theme="0"/>
      </bottom>
      <diagonal/>
    </border>
    <border>
      <left style="thin">
        <color theme="0"/>
      </left>
      <right style="medium">
        <color rgb="FFFF0000"/>
      </right>
      <top style="thin">
        <color theme="0"/>
      </top>
      <bottom style="thin">
        <color theme="0"/>
      </bottom>
      <diagonal/>
    </border>
    <border>
      <left style="medium">
        <color rgb="FFFF0000"/>
      </left>
      <right style="thin">
        <color theme="0"/>
      </right>
      <top style="thin">
        <color theme="0"/>
      </top>
      <bottom style="medium">
        <color rgb="FFFF0000"/>
      </bottom>
      <diagonal/>
    </border>
    <border>
      <left style="thin">
        <color theme="0"/>
      </left>
      <right style="medium">
        <color rgb="FFFF0000"/>
      </right>
      <top style="thin">
        <color theme="0"/>
      </top>
      <bottom style="medium">
        <color rgb="FFFF000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medium">
        <color rgb="FFFF0000"/>
      </left>
      <right style="thin">
        <color theme="0"/>
      </right>
      <top style="thin">
        <color theme="0"/>
      </top>
      <bottom/>
      <diagonal/>
    </border>
    <border>
      <left style="medium">
        <color rgb="FFFF0000"/>
      </left>
      <right/>
      <top style="thin">
        <color theme="0"/>
      </top>
      <bottom/>
      <diagonal/>
    </border>
    <border>
      <left/>
      <right style="medium">
        <color rgb="FFFF0000"/>
      </right>
      <top style="thin">
        <color theme="0"/>
      </top>
      <bottom/>
      <diagonal/>
    </border>
    <border>
      <left style="medium">
        <color rgb="FFFF0000"/>
      </left>
      <right/>
      <top/>
      <bottom style="thin">
        <color theme="0"/>
      </bottom>
      <diagonal/>
    </border>
    <border>
      <left/>
      <right style="medium">
        <color rgb="FFFF0000"/>
      </right>
      <top/>
      <bottom style="thin">
        <color theme="0"/>
      </bottom>
      <diagonal/>
    </border>
    <border>
      <left style="thin">
        <color theme="0"/>
      </left>
      <right style="medium">
        <color rgb="FFFF0000"/>
      </right>
      <top style="thin">
        <color theme="0"/>
      </top>
      <bottom/>
      <diagonal/>
    </border>
    <border>
      <left style="thin">
        <color theme="0"/>
      </left>
      <right style="medium">
        <color rgb="FFFF0000"/>
      </right>
      <top/>
      <bottom style="thin">
        <color theme="0"/>
      </bottom>
      <diagonal/>
    </border>
    <border>
      <left/>
      <right/>
      <top style="thin">
        <color theme="0"/>
      </top>
      <bottom/>
      <diagonal/>
    </border>
    <border>
      <left/>
      <right/>
      <top/>
      <bottom style="thin">
        <color theme="0"/>
      </bottom>
      <diagonal/>
    </border>
    <border>
      <left style="medium">
        <color rgb="FFFF0000"/>
      </left>
      <right style="medium">
        <color rgb="FFFF0000"/>
      </right>
      <top style="thin">
        <color theme="0"/>
      </top>
      <bottom style="thin">
        <color theme="0"/>
      </bottom>
      <diagonal/>
    </border>
    <border>
      <left style="medium">
        <color rgb="FFFF0000"/>
      </left>
      <right style="medium">
        <color rgb="FFFF0000"/>
      </right>
      <top style="thin">
        <color theme="0"/>
      </top>
      <bottom style="medium">
        <color rgb="FFFF0000"/>
      </bottom>
      <diagonal/>
    </border>
    <border>
      <left/>
      <right style="medium">
        <color rgb="FF0070C0"/>
      </right>
      <top/>
      <bottom/>
      <diagonal/>
    </border>
    <border>
      <left style="thin">
        <color theme="0" tint="-0.249977111117893"/>
      </left>
      <right style="thin">
        <color theme="0" tint="-0.249977111117893"/>
      </right>
      <top/>
      <bottom/>
      <diagonal/>
    </border>
    <border>
      <left style="medium">
        <color rgb="FF0070C0"/>
      </left>
      <right style="thin">
        <color rgb="FF0070C0"/>
      </right>
      <top style="thin">
        <color rgb="FF0070C0"/>
      </top>
      <bottom/>
      <diagonal/>
    </border>
    <border>
      <left style="medium">
        <color rgb="FF0070C0"/>
      </left>
      <right style="thin">
        <color rgb="FF0070C0"/>
      </right>
      <top/>
      <bottom style="thin">
        <color rgb="FF0070C0"/>
      </bottom>
      <diagonal/>
    </border>
    <border>
      <left style="medium">
        <color rgb="FF0070C0"/>
      </left>
      <right style="thin">
        <color rgb="FF0070C0"/>
      </right>
      <top/>
      <bottom/>
      <diagonal/>
    </border>
    <border>
      <left style="medium">
        <color rgb="FF0070C0"/>
      </left>
      <right/>
      <top/>
      <bottom/>
      <diagonal/>
    </border>
    <border>
      <left style="thin">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
      <left style="medium">
        <color rgb="FF0070C0"/>
      </left>
      <right/>
      <top style="thin">
        <color rgb="FF0070C0"/>
      </top>
      <bottom/>
      <diagonal/>
    </border>
    <border>
      <left style="medium">
        <color rgb="FF0070C0"/>
      </left>
      <right/>
      <top/>
      <bottom style="thin">
        <color rgb="FF0070C0"/>
      </bottom>
      <diagonal/>
    </border>
    <border>
      <left style="thin">
        <color theme="5"/>
      </left>
      <right style="thin">
        <color theme="5"/>
      </right>
      <top/>
      <bottom/>
      <diagonal/>
    </border>
    <border>
      <left style="thin">
        <color theme="5"/>
      </left>
      <right style="thin">
        <color theme="5"/>
      </right>
      <top/>
      <bottom style="thin">
        <color theme="5"/>
      </bottom>
      <diagonal/>
    </border>
    <border>
      <left/>
      <right style="thin">
        <color theme="9"/>
      </right>
      <top style="thin">
        <color theme="9" tint="0.59996337778862885"/>
      </top>
      <bottom/>
      <diagonal/>
    </border>
    <border>
      <left/>
      <right style="thin">
        <color theme="9"/>
      </right>
      <top style="thin">
        <color theme="9" tint="0.59996337778862885"/>
      </top>
      <bottom style="thin">
        <color theme="9" tint="0.59996337778862885"/>
      </bottom>
      <diagonal/>
    </border>
    <border>
      <left style="thin">
        <color theme="9" tint="0.59996337778862885"/>
      </left>
      <right/>
      <top style="thin">
        <color theme="9" tint="0.59996337778862885"/>
      </top>
      <bottom/>
      <diagonal/>
    </border>
    <border>
      <left style="thin">
        <color theme="9" tint="0.59996337778862885"/>
      </left>
      <right/>
      <top style="thin">
        <color theme="9" tint="0.59996337778862885"/>
      </top>
      <bottom style="thin">
        <color theme="9" tint="0.59996337778862885"/>
      </bottom>
      <diagonal/>
    </border>
    <border>
      <left style="thin">
        <color rgb="FF0070C0"/>
      </left>
      <right/>
      <top style="thin">
        <color rgb="FF0070C0"/>
      </top>
      <bottom style="thin">
        <color rgb="FF0070C0"/>
      </bottom>
      <diagonal/>
    </border>
    <border>
      <left style="thin">
        <color theme="4" tint="0.39994506668294322"/>
      </left>
      <right style="thin">
        <color theme="4"/>
      </right>
      <top style="thin">
        <color theme="4"/>
      </top>
      <bottom style="thin">
        <color theme="4"/>
      </bottom>
      <diagonal/>
    </border>
  </borders>
  <cellStyleXfs count="70">
    <xf numFmtId="0" fontId="0" fillId="0" borderId="0"/>
    <xf numFmtId="9" fontId="15" fillId="0" borderId="0" applyFont="0" applyFill="0" applyBorder="0" applyAlignment="0" applyProtection="0"/>
    <xf numFmtId="0" fontId="16" fillId="0" borderId="0"/>
    <xf numFmtId="9"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166" fontId="16" fillId="0" borderId="0"/>
    <xf numFmtId="0" fontId="42" fillId="0" borderId="0"/>
    <xf numFmtId="0" fontId="42" fillId="0" borderId="0"/>
    <xf numFmtId="0" fontId="14" fillId="0" borderId="0"/>
    <xf numFmtId="9" fontId="14" fillId="0" borderId="0" applyFont="0" applyFill="0" applyBorder="0" applyAlignment="0" applyProtection="0"/>
    <xf numFmtId="0" fontId="63" fillId="0" borderId="29" applyNumberFormat="0" applyFill="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166" fontId="12" fillId="0" borderId="0"/>
    <xf numFmtId="0" fontId="13" fillId="0" borderId="0"/>
    <xf numFmtId="9" fontId="13" fillId="0" borderId="0" applyFont="0" applyFill="0" applyBorder="0" applyAlignment="0" applyProtection="0"/>
    <xf numFmtId="0" fontId="42" fillId="0" borderId="0"/>
    <xf numFmtId="0" fontId="15" fillId="0" borderId="0"/>
    <xf numFmtId="0" fontId="47" fillId="24" borderId="0" applyNumberFormat="0" applyBorder="0" applyAlignment="0" applyProtection="0"/>
    <xf numFmtId="0" fontId="48" fillId="25" borderId="0" applyNumberFormat="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166"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166" fontId="11"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6"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6" fontId="7"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6"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6"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6"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6"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6" fontId="1" fillId="0" borderId="0"/>
  </cellStyleXfs>
  <cellXfs count="913">
    <xf numFmtId="0" fontId="0" fillId="0" borderId="0" xfId="0"/>
    <xf numFmtId="0" fontId="19" fillId="2" borderId="1" xfId="0" applyFont="1" applyFill="1" applyBorder="1" applyAlignment="1">
      <alignment horizontal="left" vertical="center" readingOrder="1"/>
    </xf>
    <xf numFmtId="0" fontId="19" fillId="5" borderId="2" xfId="0" applyFont="1" applyFill="1" applyBorder="1" applyAlignment="1">
      <alignment horizontal="left" vertical="center" readingOrder="1"/>
    </xf>
    <xf numFmtId="0" fontId="19" fillId="8" borderId="2" xfId="0" applyFont="1" applyFill="1" applyBorder="1" applyAlignment="1">
      <alignment horizontal="left" vertical="center" readingOrder="1"/>
    </xf>
    <xf numFmtId="0" fontId="19" fillId="8" borderId="3" xfId="0" applyFont="1" applyFill="1" applyBorder="1" applyAlignment="1">
      <alignment horizontal="left" vertical="center" readingOrder="1"/>
    </xf>
    <xf numFmtId="0" fontId="19" fillId="9" borderId="2" xfId="0" applyFont="1" applyFill="1" applyBorder="1" applyAlignment="1">
      <alignment horizontal="left" vertical="center" readingOrder="1"/>
    </xf>
    <xf numFmtId="0" fontId="20" fillId="3" borderId="1" xfId="0" applyFont="1" applyFill="1" applyBorder="1" applyAlignment="1">
      <alignment horizontal="left" vertical="center" readingOrder="1"/>
    </xf>
    <xf numFmtId="0" fontId="20" fillId="4" borderId="2" xfId="0" applyFont="1" applyFill="1" applyBorder="1" applyAlignment="1">
      <alignment horizontal="left" vertical="center" readingOrder="1"/>
    </xf>
    <xf numFmtId="0" fontId="20" fillId="3" borderId="2" xfId="0" applyFont="1" applyFill="1" applyBorder="1" applyAlignment="1">
      <alignment horizontal="left" vertical="center" readingOrder="1"/>
    </xf>
    <xf numFmtId="0" fontId="20" fillId="3" borderId="3" xfId="0" applyFont="1" applyFill="1" applyBorder="1" applyAlignment="1">
      <alignment horizontal="left" vertical="center" readingOrder="1"/>
    </xf>
    <xf numFmtId="14" fontId="20" fillId="3" borderId="2" xfId="0" applyNumberFormat="1" applyFont="1" applyFill="1" applyBorder="1" applyAlignment="1">
      <alignment horizontal="left" vertical="center" readingOrder="1"/>
    </xf>
    <xf numFmtId="14" fontId="20" fillId="6" borderId="2" xfId="0" applyNumberFormat="1" applyFont="1" applyFill="1" applyBorder="1" applyAlignment="1">
      <alignment horizontal="left" vertical="center" readingOrder="1"/>
    </xf>
    <xf numFmtId="0" fontId="20" fillId="7" borderId="2" xfId="0" applyFont="1" applyFill="1" applyBorder="1" applyAlignment="1">
      <alignment horizontal="left" vertical="center" readingOrder="1"/>
    </xf>
    <xf numFmtId="0" fontId="23" fillId="7" borderId="2" xfId="0" applyFont="1" applyFill="1" applyBorder="1" applyAlignment="1">
      <alignment horizontal="left" vertical="top" wrapText="1" readingOrder="1"/>
    </xf>
    <xf numFmtId="14" fontId="23" fillId="6" borderId="1" xfId="0" applyNumberFormat="1" applyFont="1" applyFill="1" applyBorder="1" applyAlignment="1">
      <alignment horizontal="left" vertical="top" wrapText="1" readingOrder="1"/>
    </xf>
    <xf numFmtId="9" fontId="20" fillId="3" borderId="2" xfId="1" applyFont="1" applyFill="1" applyBorder="1" applyAlignment="1">
      <alignment horizontal="left" vertical="center" readingOrder="1"/>
    </xf>
    <xf numFmtId="9" fontId="20" fillId="6" borderId="1" xfId="1" applyFont="1" applyFill="1" applyBorder="1" applyAlignment="1">
      <alignment horizontal="left" vertical="top" wrapText="1" readingOrder="1"/>
    </xf>
    <xf numFmtId="0" fontId="28" fillId="0" borderId="0" xfId="0" applyFont="1"/>
    <xf numFmtId="0" fontId="26" fillId="0" borderId="0" xfId="0" applyFont="1"/>
    <xf numFmtId="0" fontId="31" fillId="0" borderId="0" xfId="0" applyFont="1" applyAlignment="1"/>
    <xf numFmtId="0" fontId="31" fillId="0" borderId="0" xfId="0" applyFont="1" applyFill="1" applyAlignment="1"/>
    <xf numFmtId="166" fontId="16" fillId="13" borderId="0" xfId="8" applyFill="1"/>
    <xf numFmtId="166" fontId="16" fillId="13" borderId="0" xfId="8" applyFill="1" applyAlignment="1">
      <alignment horizontal="center" vertical="center"/>
    </xf>
    <xf numFmtId="166" fontId="16" fillId="20" borderId="8" xfId="8" applyFill="1" applyBorder="1"/>
    <xf numFmtId="166" fontId="16" fillId="20" borderId="0" xfId="8" applyFill="1" applyBorder="1"/>
    <xf numFmtId="166" fontId="16" fillId="20" borderId="9" xfId="8" applyFill="1" applyBorder="1"/>
    <xf numFmtId="166" fontId="25" fillId="20" borderId="0" xfId="8" applyFont="1" applyFill="1" applyBorder="1"/>
    <xf numFmtId="166" fontId="16" fillId="20" borderId="10" xfId="8" applyFill="1" applyBorder="1"/>
    <xf numFmtId="166" fontId="16" fillId="20" borderId="11" xfId="8" applyFill="1" applyBorder="1"/>
    <xf numFmtId="166" fontId="16" fillId="20" borderId="12" xfId="8" applyFill="1" applyBorder="1"/>
    <xf numFmtId="0" fontId="20" fillId="0" borderId="0" xfId="0" applyFont="1" applyFill="1" applyBorder="1" applyAlignment="1">
      <alignment horizontal="left" vertical="center" readingOrder="1"/>
    </xf>
    <xf numFmtId="9" fontId="31" fillId="0" borderId="0" xfId="0" applyNumberFormat="1" applyFont="1" applyFill="1" applyAlignment="1"/>
    <xf numFmtId="9" fontId="31" fillId="0" borderId="0" xfId="1" applyFont="1" applyFill="1" applyAlignment="1"/>
    <xf numFmtId="1" fontId="31" fillId="0" borderId="0" xfId="0" applyNumberFormat="1" applyFont="1" applyFill="1" applyAlignment="1"/>
    <xf numFmtId="14" fontId="31" fillId="0" borderId="0" xfId="0" applyNumberFormat="1" applyFont="1" applyFill="1" applyAlignment="1"/>
    <xf numFmtId="1" fontId="31" fillId="0" borderId="0" xfId="1" applyNumberFormat="1" applyFont="1" applyFill="1" applyAlignment="1"/>
    <xf numFmtId="0" fontId="31" fillId="0" borderId="0" xfId="1" applyNumberFormat="1" applyFont="1" applyFill="1" applyAlignment="1"/>
    <xf numFmtId="0" fontId="31" fillId="0" borderId="0" xfId="0" applyNumberFormat="1" applyFont="1" applyFill="1" applyAlignment="1"/>
    <xf numFmtId="1" fontId="31" fillId="0" borderId="0" xfId="0" applyNumberFormat="1" applyFont="1" applyFill="1" applyAlignment="1">
      <alignment horizontal="left"/>
    </xf>
    <xf numFmtId="0" fontId="20" fillId="3" borderId="0" xfId="0" applyFont="1" applyFill="1" applyBorder="1" applyAlignment="1">
      <alignment horizontal="left" vertical="center" readingOrder="1"/>
    </xf>
    <xf numFmtId="0" fontId="20" fillId="0" borderId="1" xfId="0" applyFont="1" applyFill="1" applyBorder="1" applyAlignment="1">
      <alignment horizontal="left" vertical="center" readingOrder="1"/>
    </xf>
    <xf numFmtId="14" fontId="20" fillId="3" borderId="17" xfId="0" applyNumberFormat="1" applyFont="1" applyFill="1" applyBorder="1" applyAlignment="1">
      <alignment horizontal="left" vertical="center" readingOrder="1"/>
    </xf>
    <xf numFmtId="0" fontId="28" fillId="0" borderId="0" xfId="0" applyNumberFormat="1" applyFont="1"/>
    <xf numFmtId="1" fontId="28" fillId="0" borderId="0" xfId="0" applyNumberFormat="1" applyFont="1"/>
    <xf numFmtId="0" fontId="28" fillId="0" borderId="0" xfId="0" applyFont="1" applyAlignment="1">
      <alignment wrapText="1" readingOrder="1"/>
    </xf>
    <xf numFmtId="0" fontId="20" fillId="7" borderId="0" xfId="0" applyFont="1" applyFill="1" applyBorder="1" applyAlignment="1">
      <alignment horizontal="left" vertical="center" readingOrder="1"/>
    </xf>
    <xf numFmtId="0" fontId="19" fillId="9" borderId="14" xfId="0" applyFont="1" applyFill="1" applyBorder="1" applyAlignment="1">
      <alignment horizontal="left" vertical="center" readingOrder="1"/>
    </xf>
    <xf numFmtId="0" fontId="20" fillId="7" borderId="14" xfId="0" applyFont="1" applyFill="1" applyBorder="1" applyAlignment="1">
      <alignment horizontal="left" vertical="center" readingOrder="1"/>
    </xf>
    <xf numFmtId="0" fontId="45" fillId="2" borderId="1" xfId="0" applyFont="1" applyFill="1" applyBorder="1" applyAlignment="1">
      <alignment horizontal="left" vertical="center" readingOrder="1"/>
    </xf>
    <xf numFmtId="14" fontId="46" fillId="6" borderId="2" xfId="0" applyNumberFormat="1" applyFont="1" applyFill="1" applyBorder="1" applyAlignment="1">
      <alignment horizontal="left" vertical="center" readingOrder="1"/>
    </xf>
    <xf numFmtId="14" fontId="45" fillId="6" borderId="1" xfId="0" applyNumberFormat="1" applyFont="1" applyFill="1" applyBorder="1" applyAlignment="1">
      <alignment horizontal="left" vertical="top" wrapText="1" readingOrder="1"/>
    </xf>
    <xf numFmtId="0" fontId="46" fillId="3" borderId="2" xfId="0" applyFont="1" applyFill="1" applyBorder="1" applyAlignment="1">
      <alignment horizontal="left" vertical="center" readingOrder="1"/>
    </xf>
    <xf numFmtId="0" fontId="46" fillId="7" borderId="2" xfId="0" applyFont="1" applyFill="1" applyBorder="1" applyAlignment="1">
      <alignment horizontal="left" vertical="center" readingOrder="1"/>
    </xf>
    <xf numFmtId="0" fontId="46" fillId="7" borderId="2" xfId="0" applyFont="1" applyFill="1" applyBorder="1" applyAlignment="1">
      <alignment horizontal="left" vertical="top" wrapText="1" readingOrder="1"/>
    </xf>
    <xf numFmtId="0" fontId="20" fillId="3" borderId="15" xfId="0" applyFont="1" applyFill="1" applyBorder="1" applyAlignment="1">
      <alignment horizontal="left" vertical="center" readingOrder="1"/>
    </xf>
    <xf numFmtId="165" fontId="20" fillId="0" borderId="0" xfId="0" applyNumberFormat="1" applyFont="1" applyFill="1" applyAlignment="1">
      <alignment horizontal="left" vertical="center" readingOrder="1"/>
    </xf>
    <xf numFmtId="0" fontId="23" fillId="7" borderId="14" xfId="0" applyFont="1" applyFill="1" applyBorder="1" applyAlignment="1">
      <alignment horizontal="left" vertical="top" wrapText="1" readingOrder="1"/>
    </xf>
    <xf numFmtId="0" fontId="20" fillId="3" borderId="14" xfId="0" applyFont="1" applyFill="1" applyBorder="1" applyAlignment="1">
      <alignment horizontal="left" vertical="center" readingOrder="1"/>
    </xf>
    <xf numFmtId="0" fontId="61" fillId="0" borderId="0" xfId="0" applyFont="1"/>
    <xf numFmtId="0" fontId="61" fillId="0" borderId="0" xfId="0" applyFont="1" applyAlignment="1">
      <alignment wrapText="1"/>
    </xf>
    <xf numFmtId="164" fontId="61" fillId="0" borderId="0" xfId="0" applyNumberFormat="1" applyFont="1"/>
    <xf numFmtId="0" fontId="26" fillId="0" borderId="20" xfId="0" applyFont="1" applyFill="1" applyBorder="1"/>
    <xf numFmtId="0" fontId="26" fillId="0" borderId="28" xfId="0" applyFont="1" applyFill="1" applyBorder="1"/>
    <xf numFmtId="0" fontId="26" fillId="0" borderId="26" xfId="0" applyFont="1" applyFill="1" applyBorder="1"/>
    <xf numFmtId="0" fontId="26" fillId="0" borderId="0" xfId="0" applyFont="1" applyBorder="1"/>
    <xf numFmtId="0" fontId="46" fillId="0" borderId="0" xfId="0" applyFont="1"/>
    <xf numFmtId="0" fontId="46" fillId="0" borderId="0" xfId="0" applyFont="1" applyAlignment="1"/>
    <xf numFmtId="0" fontId="28" fillId="0" borderId="0" xfId="0" applyNumberFormat="1" applyFont="1" applyAlignment="1">
      <alignment wrapText="1"/>
    </xf>
    <xf numFmtId="0" fontId="28" fillId="0" borderId="0" xfId="0" applyFont="1" applyFill="1"/>
    <xf numFmtId="14" fontId="35" fillId="16" borderId="0" xfId="0" applyNumberFormat="1" applyFont="1" applyFill="1" applyBorder="1" applyAlignment="1">
      <alignment horizontal="left"/>
    </xf>
    <xf numFmtId="9" fontId="65" fillId="23" borderId="0" xfId="0" applyNumberFormat="1" applyFont="1" applyFill="1" applyBorder="1" applyAlignment="1">
      <alignment vertical="center"/>
    </xf>
    <xf numFmtId="0" fontId="28" fillId="0" borderId="0" xfId="0" applyFont="1" applyFill="1" applyBorder="1"/>
    <xf numFmtId="1" fontId="65" fillId="23" borderId="0" xfId="0" applyNumberFormat="1" applyFont="1" applyFill="1" applyBorder="1" applyAlignment="1">
      <alignment vertical="center"/>
    </xf>
    <xf numFmtId="0" fontId="61" fillId="18" borderId="23" xfId="0" applyFont="1" applyFill="1" applyBorder="1" applyAlignment="1">
      <alignment horizontal="center"/>
    </xf>
    <xf numFmtId="0" fontId="61" fillId="18" borderId="24" xfId="0" applyFont="1" applyFill="1" applyBorder="1" applyAlignment="1">
      <alignment horizontal="center"/>
    </xf>
    <xf numFmtId="0" fontId="61" fillId="18" borderId="25" xfId="0" applyFont="1" applyFill="1" applyBorder="1" applyAlignment="1">
      <alignment horizontal="center"/>
    </xf>
    <xf numFmtId="0" fontId="68" fillId="33" borderId="35" xfId="0" applyFont="1" applyFill="1" applyBorder="1" applyAlignment="1">
      <alignment horizontal="center" vertical="center" wrapText="1"/>
    </xf>
    <xf numFmtId="0" fontId="68" fillId="33" borderId="31" xfId="0" applyFont="1" applyFill="1" applyBorder="1" applyAlignment="1">
      <alignment horizontal="center" vertical="center" wrapText="1"/>
    </xf>
    <xf numFmtId="0" fontId="68" fillId="33" borderId="36" xfId="0" applyFont="1" applyFill="1" applyBorder="1" applyAlignment="1">
      <alignment horizontal="center" vertical="center" wrapText="1"/>
    </xf>
    <xf numFmtId="0" fontId="62" fillId="0" borderId="32" xfId="0" applyFont="1" applyBorder="1" applyAlignment="1">
      <alignment horizontal="center" vertical="center"/>
    </xf>
    <xf numFmtId="0" fontId="68" fillId="0" borderId="33" xfId="0" applyFont="1" applyBorder="1" applyAlignment="1">
      <alignment horizontal="center" vertical="center" wrapText="1"/>
    </xf>
    <xf numFmtId="0" fontId="68" fillId="13" borderId="33" xfId="0" applyFont="1" applyFill="1" applyBorder="1" applyAlignment="1">
      <alignment horizontal="center" vertical="center" wrapText="1"/>
    </xf>
    <xf numFmtId="0" fontId="69" fillId="13" borderId="34" xfId="0" applyFont="1" applyFill="1" applyBorder="1" applyAlignment="1">
      <alignment horizontal="center" vertical="center" wrapText="1"/>
    </xf>
    <xf numFmtId="0" fontId="67" fillId="8" borderId="22" xfId="0" applyFont="1" applyFill="1" applyBorder="1" applyAlignment="1">
      <alignment horizontal="center" vertical="center" wrapText="1"/>
    </xf>
    <xf numFmtId="0" fontId="67" fillId="36" borderId="22" xfId="0" applyFont="1" applyFill="1" applyBorder="1" applyAlignment="1">
      <alignment horizontal="center" vertical="center" wrapText="1"/>
    </xf>
    <xf numFmtId="0" fontId="0" fillId="0" borderId="22" xfId="0" applyBorder="1"/>
    <xf numFmtId="0" fontId="61" fillId="0" borderId="22" xfId="0" applyFont="1" applyBorder="1"/>
    <xf numFmtId="0" fontId="67" fillId="14" borderId="22" xfId="0" applyFont="1" applyFill="1" applyBorder="1" applyAlignment="1">
      <alignment horizontal="center" vertical="center" wrapText="1"/>
    </xf>
    <xf numFmtId="0" fontId="0" fillId="37" borderId="22" xfId="0" applyFill="1" applyBorder="1"/>
    <xf numFmtId="164" fontId="67" fillId="14" borderId="22" xfId="4" applyNumberFormat="1" applyFont="1" applyFill="1" applyBorder="1" applyAlignment="1">
      <alignment horizontal="right" vertical="center"/>
    </xf>
    <xf numFmtId="164" fontId="67" fillId="8" borderId="22" xfId="4" applyNumberFormat="1" applyFont="1" applyFill="1" applyBorder="1" applyAlignment="1">
      <alignment horizontal="right" vertical="center"/>
    </xf>
    <xf numFmtId="164" fontId="67" fillId="36" borderId="22" xfId="4" applyNumberFormat="1" applyFont="1" applyFill="1" applyBorder="1" applyAlignment="1">
      <alignment horizontal="right" vertical="center"/>
    </xf>
    <xf numFmtId="0" fontId="28" fillId="27" borderId="0" xfId="0" applyFont="1" applyFill="1"/>
    <xf numFmtId="166" fontId="12" fillId="20" borderId="0" xfId="8" applyFont="1" applyFill="1" applyBorder="1"/>
    <xf numFmtId="0" fontId="61" fillId="0" borderId="0" xfId="0" applyFont="1" applyAlignment="1">
      <alignment horizontal="center" vertical="center" wrapText="1"/>
    </xf>
    <xf numFmtId="0" fontId="28" fillId="0" borderId="0" xfId="0" applyNumberFormat="1" applyFont="1" applyFill="1"/>
    <xf numFmtId="1" fontId="28" fillId="0" borderId="0" xfId="0" applyNumberFormat="1" applyFont="1" applyFill="1"/>
    <xf numFmtId="0" fontId="28" fillId="0" borderId="0" xfId="0" applyFont="1" applyFill="1" applyAlignment="1">
      <alignment wrapText="1" readingOrder="1"/>
    </xf>
    <xf numFmtId="0" fontId="0" fillId="0" borderId="0" xfId="0" applyFill="1"/>
    <xf numFmtId="14" fontId="28" fillId="0" borderId="0" xfId="0" applyNumberFormat="1" applyFont="1"/>
    <xf numFmtId="165" fontId="28" fillId="0" borderId="0" xfId="0" applyNumberFormat="1" applyFont="1"/>
    <xf numFmtId="165" fontId="28" fillId="0" borderId="0" xfId="0" applyNumberFormat="1" applyFont="1" applyFill="1"/>
    <xf numFmtId="0" fontId="72" fillId="8" borderId="0" xfId="0" applyFont="1" applyFill="1"/>
    <xf numFmtId="0" fontId="72" fillId="38" borderId="0" xfId="0" applyFont="1" applyFill="1"/>
    <xf numFmtId="0" fontId="12" fillId="0" borderId="0" xfId="0" applyFont="1"/>
    <xf numFmtId="0" fontId="25" fillId="0" borderId="0" xfId="0" applyFont="1"/>
    <xf numFmtId="0" fontId="12" fillId="0" borderId="0" xfId="0" applyFont="1" applyAlignment="1">
      <alignment horizontal="left"/>
    </xf>
    <xf numFmtId="9" fontId="12" fillId="0" borderId="0" xfId="0" applyNumberFormat="1" applyFont="1"/>
    <xf numFmtId="0" fontId="12" fillId="0" borderId="0" xfId="0" applyNumberFormat="1" applyFont="1"/>
    <xf numFmtId="0" fontId="12" fillId="0" borderId="0" xfId="0" applyFont="1" applyAlignment="1">
      <alignment wrapText="1"/>
    </xf>
    <xf numFmtId="164" fontId="12" fillId="0" borderId="0" xfId="0" applyNumberFormat="1" applyFont="1"/>
    <xf numFmtId="0" fontId="74" fillId="0" borderId="0" xfId="0" applyFont="1"/>
    <xf numFmtId="0" fontId="73" fillId="14" borderId="0" xfId="0" applyFont="1" applyFill="1"/>
    <xf numFmtId="1" fontId="12" fillId="0" borderId="0" xfId="0" applyNumberFormat="1" applyFont="1"/>
    <xf numFmtId="0" fontId="12" fillId="0" borderId="0" xfId="0" applyFont="1" applyFill="1"/>
    <xf numFmtId="0" fontId="12" fillId="0" borderId="0" xfId="0" applyFont="1" applyFill="1" applyBorder="1" applyAlignment="1">
      <alignment horizontal="left"/>
    </xf>
    <xf numFmtId="0" fontId="12" fillId="0" borderId="0" xfId="0" applyNumberFormat="1" applyFont="1" applyFill="1" applyBorder="1"/>
    <xf numFmtId="9" fontId="12" fillId="0" borderId="0" xfId="0" applyNumberFormat="1" applyFont="1" applyFill="1"/>
    <xf numFmtId="0" fontId="12" fillId="0" borderId="0" xfId="0" applyNumberFormat="1" applyFont="1" applyFill="1"/>
    <xf numFmtId="0" fontId="12" fillId="34" borderId="0" xfId="0" applyFont="1" applyFill="1"/>
    <xf numFmtId="0" fontId="25" fillId="10" borderId="0" xfId="0" applyFont="1" applyFill="1"/>
    <xf numFmtId="0" fontId="75" fillId="0" borderId="41" xfId="0" applyFont="1" applyBorder="1" applyAlignment="1">
      <alignment horizontal="left"/>
    </xf>
    <xf numFmtId="0" fontId="75" fillId="0" borderId="38" xfId="0" applyFont="1" applyBorder="1" applyAlignment="1">
      <alignment horizontal="left"/>
    </xf>
    <xf numFmtId="0" fontId="72" fillId="8" borderId="0" xfId="0" applyFont="1" applyFill="1" applyAlignment="1">
      <alignment horizontal="left"/>
    </xf>
    <xf numFmtId="9" fontId="72" fillId="8" borderId="0" xfId="0" applyNumberFormat="1" applyFont="1" applyFill="1"/>
    <xf numFmtId="0" fontId="72" fillId="8" borderId="0" xfId="0" applyNumberFormat="1" applyFont="1" applyFill="1"/>
    <xf numFmtId="0" fontId="70" fillId="0" borderId="0" xfId="0" applyFont="1"/>
    <xf numFmtId="0" fontId="64" fillId="0" borderId="0" xfId="0" applyFont="1"/>
    <xf numFmtId="0" fontId="73" fillId="29" borderId="45" xfId="0" applyFont="1" applyFill="1" applyBorder="1"/>
    <xf numFmtId="164" fontId="25" fillId="0" borderId="46" xfId="4" applyNumberFormat="1" applyFont="1" applyBorder="1"/>
    <xf numFmtId="164" fontId="76" fillId="0" borderId="47" xfId="4" applyNumberFormat="1" applyFont="1" applyBorder="1" applyAlignment="1">
      <alignment horizontal="left" wrapText="1"/>
    </xf>
    <xf numFmtId="164" fontId="76" fillId="0" borderId="48" xfId="4" applyNumberFormat="1" applyFont="1" applyBorder="1" applyAlignment="1">
      <alignment horizontal="left" wrapText="1"/>
    </xf>
    <xf numFmtId="0" fontId="76" fillId="0" borderId="49" xfId="0" applyFont="1" applyBorder="1" applyAlignment="1">
      <alignment horizontal="left"/>
    </xf>
    <xf numFmtId="0" fontId="76" fillId="0" borderId="0" xfId="0" applyFont="1" applyBorder="1" applyAlignment="1">
      <alignment horizontal="left"/>
    </xf>
    <xf numFmtId="0" fontId="76" fillId="0" borderId="0" xfId="0" applyNumberFormat="1" applyFont="1" applyBorder="1"/>
    <xf numFmtId="0" fontId="77" fillId="9" borderId="0" xfId="0" applyFont="1" applyFill="1"/>
    <xf numFmtId="0" fontId="73" fillId="32" borderId="0" xfId="0" applyFont="1" applyFill="1"/>
    <xf numFmtId="0" fontId="72" fillId="14" borderId="0" xfId="0" applyFont="1" applyFill="1"/>
    <xf numFmtId="0" fontId="72" fillId="9" borderId="0" xfId="0" applyFont="1" applyFill="1"/>
    <xf numFmtId="0" fontId="70" fillId="34" borderId="0" xfId="0" applyFont="1" applyFill="1"/>
    <xf numFmtId="0" fontId="72" fillId="32" borderId="0" xfId="0" applyFont="1" applyFill="1"/>
    <xf numFmtId="0" fontId="70" fillId="10" borderId="0" xfId="0" applyFont="1" applyFill="1"/>
    <xf numFmtId="0" fontId="78" fillId="0" borderId="0" xfId="0" applyFont="1"/>
    <xf numFmtId="0" fontId="35" fillId="21" borderId="0" xfId="0" applyNumberFormat="1" applyFont="1" applyFill="1" applyBorder="1" applyAlignment="1">
      <alignment horizontal="center"/>
    </xf>
    <xf numFmtId="0" fontId="68" fillId="0" borderId="32" xfId="0" applyFont="1" applyBorder="1" applyAlignment="1">
      <alignment vertical="center" wrapText="1"/>
    </xf>
    <xf numFmtId="0" fontId="68" fillId="0" borderId="33" xfId="0" applyFont="1" applyBorder="1" applyAlignment="1">
      <alignment vertical="center" wrapText="1"/>
    </xf>
    <xf numFmtId="0" fontId="61" fillId="0" borderId="0" xfId="0" applyFont="1" applyFill="1"/>
    <xf numFmtId="0" fontId="79" fillId="26" borderId="52" xfId="0" applyFont="1" applyFill="1" applyBorder="1"/>
    <xf numFmtId="0" fontId="72" fillId="41" borderId="0" xfId="0" applyFont="1" applyFill="1" applyAlignment="1">
      <alignment vertical="center"/>
    </xf>
    <xf numFmtId="1" fontId="80" fillId="0" borderId="0" xfId="0" applyNumberFormat="1" applyFont="1" applyFill="1"/>
    <xf numFmtId="0" fontId="80" fillId="0" borderId="0" xfId="0" applyFont="1" applyFill="1"/>
    <xf numFmtId="0" fontId="80" fillId="0" borderId="0" xfId="0" applyNumberFormat="1" applyFont="1" applyFill="1" applyAlignment="1">
      <alignment wrapText="1" readingOrder="1"/>
    </xf>
    <xf numFmtId="165" fontId="80" fillId="0" borderId="0" xfId="0" applyNumberFormat="1" applyFont="1" applyFill="1"/>
    <xf numFmtId="0" fontId="80" fillId="0" borderId="0" xfId="0" applyFont="1" applyFill="1" applyAlignment="1">
      <alignment wrapText="1" readingOrder="1"/>
    </xf>
    <xf numFmtId="0" fontId="80" fillId="0" borderId="0" xfId="0" applyNumberFormat="1" applyFont="1" applyFill="1" applyBorder="1"/>
    <xf numFmtId="0" fontId="80" fillId="0" borderId="26" xfId="0" applyNumberFormat="1" applyFont="1" applyFill="1" applyBorder="1"/>
    <xf numFmtId="1" fontId="80" fillId="0" borderId="27" xfId="0" applyNumberFormat="1" applyFont="1" applyFill="1" applyBorder="1"/>
    <xf numFmtId="164" fontId="61" fillId="0" borderId="0" xfId="4" applyNumberFormat="1" applyFont="1"/>
    <xf numFmtId="0" fontId="84" fillId="0" borderId="0" xfId="0" applyFont="1"/>
    <xf numFmtId="164" fontId="75" fillId="0" borderId="42" xfId="4" applyNumberFormat="1" applyFont="1" applyBorder="1"/>
    <xf numFmtId="164" fontId="75" fillId="0" borderId="43" xfId="4" applyNumberFormat="1" applyFont="1" applyBorder="1"/>
    <xf numFmtId="164" fontId="75" fillId="0" borderId="44" xfId="4" applyNumberFormat="1" applyFont="1" applyBorder="1"/>
    <xf numFmtId="1" fontId="87" fillId="0" borderId="0" xfId="0" applyNumberFormat="1" applyFont="1" applyFill="1"/>
    <xf numFmtId="0" fontId="87" fillId="0" borderId="0" xfId="0" applyFont="1" applyFill="1"/>
    <xf numFmtId="0" fontId="87" fillId="0" borderId="0" xfId="0" applyNumberFormat="1" applyFont="1" applyFill="1" applyAlignment="1">
      <alignment wrapText="1" readingOrder="1"/>
    </xf>
    <xf numFmtId="165" fontId="87" fillId="0" borderId="0" xfId="0" applyNumberFormat="1" applyFont="1" applyFill="1"/>
    <xf numFmtId="0" fontId="87" fillId="0" borderId="0" xfId="0" applyFont="1" applyFill="1" applyAlignment="1">
      <alignment wrapText="1" readingOrder="1"/>
    </xf>
    <xf numFmtId="0" fontId="87" fillId="0" borderId="0" xfId="0" applyNumberFormat="1" applyFont="1" applyFill="1" applyBorder="1"/>
    <xf numFmtId="1" fontId="87" fillId="0" borderId="0" xfId="0" applyNumberFormat="1" applyFont="1" applyFill="1" applyBorder="1"/>
    <xf numFmtId="49" fontId="86" fillId="0" borderId="0" xfId="21" applyNumberFormat="1" applyFont="1" applyFill="1" applyBorder="1" applyAlignment="1">
      <alignment horizontal="left" vertical="center" wrapText="1"/>
    </xf>
    <xf numFmtId="1" fontId="88" fillId="0" borderId="0" xfId="0" applyNumberFormat="1" applyFont="1" applyFill="1"/>
    <xf numFmtId="0" fontId="88" fillId="0" borderId="0" xfId="0" applyFont="1" applyFill="1"/>
    <xf numFmtId="0" fontId="88" fillId="0" borderId="0" xfId="0" applyNumberFormat="1" applyFont="1" applyFill="1" applyAlignment="1">
      <alignment wrapText="1" readingOrder="1"/>
    </xf>
    <xf numFmtId="165" fontId="88" fillId="0" borderId="0" xfId="0" applyNumberFormat="1" applyFont="1" applyFill="1"/>
    <xf numFmtId="0" fontId="88" fillId="0" borderId="0" xfId="0" applyFont="1" applyFill="1" applyAlignment="1">
      <alignment wrapText="1" readingOrder="1"/>
    </xf>
    <xf numFmtId="0" fontId="88" fillId="0" borderId="0" xfId="0" applyNumberFormat="1" applyFont="1" applyFill="1" applyBorder="1"/>
    <xf numFmtId="1" fontId="88" fillId="0" borderId="0" xfId="0" applyNumberFormat="1" applyFont="1" applyFill="1" applyBorder="1"/>
    <xf numFmtId="0" fontId="84" fillId="31" borderId="28" xfId="0" applyFont="1" applyFill="1" applyBorder="1"/>
    <xf numFmtId="0" fontId="25" fillId="0" borderId="55" xfId="0" applyFont="1" applyFill="1" applyBorder="1" applyAlignment="1">
      <alignment horizontal="left" vertical="center"/>
    </xf>
    <xf numFmtId="9" fontId="25" fillId="0" borderId="56" xfId="0" applyNumberFormat="1" applyFont="1" applyFill="1" applyBorder="1" applyAlignment="1">
      <alignment horizontal="center" vertical="center"/>
    </xf>
    <xf numFmtId="9" fontId="25" fillId="0" borderId="57" xfId="0" applyNumberFormat="1" applyFont="1" applyFill="1" applyBorder="1" applyAlignment="1">
      <alignment horizontal="center" vertical="center"/>
    </xf>
    <xf numFmtId="0" fontId="13" fillId="0" borderId="0" xfId="19" applyFont="1" applyAlignment="1">
      <alignment horizontal="left" vertical="center"/>
    </xf>
    <xf numFmtId="0" fontId="26" fillId="0" borderId="0" xfId="22" applyFont="1" applyAlignment="1">
      <alignment horizontal="left" vertical="center"/>
    </xf>
    <xf numFmtId="0" fontId="13" fillId="0" borderId="0" xfId="19" applyAlignment="1">
      <alignment horizontal="left" vertical="center"/>
    </xf>
    <xf numFmtId="0" fontId="49" fillId="24" borderId="61" xfId="23" applyFont="1" applyBorder="1" applyAlignment="1">
      <alignment horizontal="center" vertical="center" wrapText="1"/>
    </xf>
    <xf numFmtId="0" fontId="50" fillId="25" borderId="61" xfId="24" applyFont="1" applyBorder="1" applyAlignment="1">
      <alignment horizontal="center" vertical="center" wrapText="1"/>
    </xf>
    <xf numFmtId="0" fontId="51" fillId="26" borderId="61" xfId="22" applyFont="1" applyFill="1" applyBorder="1" applyAlignment="1">
      <alignment horizontal="center" vertical="center"/>
    </xf>
    <xf numFmtId="0" fontId="47" fillId="24" borderId="61" xfId="23" applyBorder="1" applyAlignment="1">
      <alignment horizontal="left" vertical="center"/>
    </xf>
    <xf numFmtId="0" fontId="48" fillId="25" borderId="61" xfId="24" applyBorder="1" applyAlignment="1">
      <alignment horizontal="left" vertical="center"/>
    </xf>
    <xf numFmtId="0" fontId="26" fillId="43" borderId="61" xfId="22" applyFont="1" applyFill="1" applyBorder="1" applyAlignment="1">
      <alignment horizontal="left" vertical="center"/>
    </xf>
    <xf numFmtId="0" fontId="27" fillId="18" borderId="61" xfId="19" applyFont="1" applyFill="1" applyBorder="1" applyAlignment="1">
      <alignment horizontal="left" vertical="center" wrapText="1" readingOrder="1"/>
    </xf>
    <xf numFmtId="0" fontId="55" fillId="5" borderId="61" xfId="23" applyFont="1" applyFill="1" applyBorder="1" applyAlignment="1">
      <alignment horizontal="left" vertical="center"/>
    </xf>
    <xf numFmtId="0" fontId="55" fillId="5" borderId="61" xfId="24" applyFont="1" applyFill="1" applyBorder="1" applyAlignment="1">
      <alignment horizontal="left" vertical="center"/>
    </xf>
    <xf numFmtId="0" fontId="52" fillId="26" borderId="61" xfId="22" applyFont="1" applyFill="1" applyBorder="1" applyAlignment="1">
      <alignment horizontal="left" vertical="center" wrapText="1"/>
    </xf>
    <xf numFmtId="1" fontId="27" fillId="18" borderId="61" xfId="19" applyNumberFormat="1" applyFont="1" applyFill="1" applyBorder="1" applyAlignment="1">
      <alignment horizontal="left" vertical="center" wrapText="1" readingOrder="1"/>
    </xf>
    <xf numFmtId="0" fontId="47" fillId="24" borderId="64" xfId="23" applyBorder="1" applyAlignment="1">
      <alignment horizontal="left" vertical="center"/>
    </xf>
    <xf numFmtId="0" fontId="48" fillId="25" borderId="64" xfId="24" applyBorder="1" applyAlignment="1">
      <alignment horizontal="left" vertical="center"/>
    </xf>
    <xf numFmtId="9" fontId="27" fillId="18" borderId="61" xfId="19" applyNumberFormat="1" applyFont="1" applyFill="1" applyBorder="1" applyAlignment="1">
      <alignment horizontal="left" vertical="center" wrapText="1" readingOrder="1"/>
    </xf>
    <xf numFmtId="9" fontId="27" fillId="18" borderId="61" xfId="20" applyNumberFormat="1" applyFont="1" applyFill="1" applyBorder="1" applyAlignment="1">
      <alignment horizontal="left" vertical="center" wrapText="1" readingOrder="1"/>
    </xf>
    <xf numFmtId="0" fontId="56" fillId="8" borderId="61" xfId="23" applyFont="1" applyFill="1" applyBorder="1" applyAlignment="1">
      <alignment horizontal="left" vertical="center"/>
    </xf>
    <xf numFmtId="0" fontId="56" fillId="8" borderId="61" xfId="24" applyFont="1" applyFill="1" applyBorder="1" applyAlignment="1">
      <alignment horizontal="left" vertical="center"/>
    </xf>
    <xf numFmtId="0" fontId="53" fillId="26" borderId="61" xfId="22" applyFont="1" applyFill="1" applyBorder="1" applyAlignment="1">
      <alignment horizontal="left" vertical="center" wrapText="1"/>
    </xf>
    <xf numFmtId="1" fontId="27" fillId="7" borderId="61" xfId="19" applyNumberFormat="1" applyFont="1" applyFill="1" applyBorder="1" applyAlignment="1">
      <alignment horizontal="left" vertical="center" wrapText="1" readingOrder="1"/>
    </xf>
    <xf numFmtId="0" fontId="57" fillId="36" borderId="61" xfId="23" applyFont="1" applyFill="1" applyBorder="1" applyAlignment="1">
      <alignment horizontal="left" vertical="center"/>
    </xf>
    <xf numFmtId="0" fontId="57" fillId="36" borderId="61" xfId="24" applyFont="1" applyFill="1" applyBorder="1" applyAlignment="1">
      <alignment horizontal="left" vertical="center"/>
    </xf>
    <xf numFmtId="0" fontId="54" fillId="26" borderId="61" xfId="22" applyFont="1" applyFill="1" applyBorder="1" applyAlignment="1">
      <alignment horizontal="left" vertical="center" wrapText="1"/>
    </xf>
    <xf numFmtId="0" fontId="77" fillId="36" borderId="61" xfId="23" applyFont="1" applyFill="1" applyBorder="1" applyAlignment="1">
      <alignment horizontal="left" vertical="center" wrapText="1"/>
    </xf>
    <xf numFmtId="0" fontId="26" fillId="43" borderId="64" xfId="22" applyFont="1" applyFill="1" applyBorder="1" applyAlignment="1">
      <alignment horizontal="left" vertical="center"/>
    </xf>
    <xf numFmtId="0" fontId="15" fillId="0" borderId="0" xfId="22" applyAlignment="1">
      <alignment vertical="top" wrapText="1"/>
    </xf>
    <xf numFmtId="0" fontId="40" fillId="0" borderId="0" xfId="22" applyFont="1" applyAlignment="1">
      <alignment vertical="top" wrapText="1"/>
    </xf>
    <xf numFmtId="0" fontId="15" fillId="0" borderId="0" xfId="22" applyAlignment="1">
      <alignment wrapText="1"/>
    </xf>
    <xf numFmtId="0" fontId="21" fillId="12" borderId="4" xfId="22" applyFont="1" applyFill="1" applyBorder="1" applyAlignment="1">
      <alignment vertical="top" wrapText="1"/>
    </xf>
    <xf numFmtId="0" fontId="24" fillId="10" borderId="4" xfId="22" applyFont="1" applyFill="1" applyBorder="1" applyAlignment="1">
      <alignment horizontal="left" vertical="top" wrapText="1"/>
    </xf>
    <xf numFmtId="0" fontId="24" fillId="10" borderId="4" xfId="22" applyFont="1" applyFill="1" applyBorder="1" applyAlignment="1">
      <alignment horizontal="left" vertical="center" wrapText="1"/>
    </xf>
    <xf numFmtId="0" fontId="22" fillId="7" borderId="4" xfId="22" applyFont="1" applyFill="1" applyBorder="1" applyAlignment="1">
      <alignment vertical="top" wrapText="1"/>
    </xf>
    <xf numFmtId="0" fontId="22" fillId="11" borderId="4" xfId="22" applyFont="1" applyFill="1" applyBorder="1" applyAlignment="1">
      <alignment vertical="top" wrapText="1"/>
    </xf>
    <xf numFmtId="9" fontId="15" fillId="0" borderId="0" xfId="22" applyNumberFormat="1" applyAlignment="1">
      <alignment vertical="top" wrapText="1"/>
    </xf>
    <xf numFmtId="0" fontId="19" fillId="44" borderId="61" xfId="22" applyNumberFormat="1" applyFont="1" applyFill="1" applyBorder="1" applyAlignment="1">
      <alignment horizontal="center" vertical="center"/>
    </xf>
    <xf numFmtId="0" fontId="19" fillId="2" borderId="61" xfId="22" applyNumberFormat="1" applyFont="1" applyFill="1" applyBorder="1" applyAlignment="1">
      <alignment horizontal="center" vertical="center"/>
    </xf>
    <xf numFmtId="0" fontId="19" fillId="37" borderId="61" xfId="22" applyNumberFormat="1" applyFont="1" applyFill="1" applyBorder="1" applyAlignment="1">
      <alignment horizontal="center" vertical="center"/>
    </xf>
    <xf numFmtId="0" fontId="60" fillId="27" borderId="61" xfId="22" applyNumberFormat="1" applyFont="1" applyFill="1" applyBorder="1" applyAlignment="1">
      <alignment horizontal="center" vertical="center" wrapText="1"/>
    </xf>
    <xf numFmtId="14" fontId="59" fillId="12" borderId="61" xfId="19" applyNumberFormat="1" applyFont="1" applyFill="1" applyBorder="1" applyAlignment="1">
      <alignment horizontal="center" vertical="center" wrapText="1"/>
    </xf>
    <xf numFmtId="14" fontId="59" fillId="22" borderId="61" xfId="19" applyNumberFormat="1" applyFont="1" applyFill="1" applyBorder="1" applyAlignment="1">
      <alignment horizontal="center" vertical="center" wrapText="1"/>
    </xf>
    <xf numFmtId="14" fontId="20" fillId="17" borderId="61" xfId="19" applyNumberFormat="1" applyFont="1" applyFill="1" applyBorder="1" applyAlignment="1">
      <alignment horizontal="center" vertical="center" wrapText="1" readingOrder="1"/>
    </xf>
    <xf numFmtId="0" fontId="35" fillId="14" borderId="0" xfId="0" applyFont="1" applyFill="1" applyBorder="1" applyAlignment="1"/>
    <xf numFmtId="1" fontId="35" fillId="8" borderId="0" xfId="0" applyNumberFormat="1" applyFont="1" applyFill="1" applyBorder="1" applyAlignment="1"/>
    <xf numFmtId="0" fontId="19" fillId="9" borderId="65" xfId="22" applyNumberFormat="1" applyFont="1" applyFill="1" applyBorder="1" applyAlignment="1">
      <alignment horizontal="center" vertical="center"/>
    </xf>
    <xf numFmtId="0" fontId="92" fillId="37" borderId="61" xfId="22" applyNumberFormat="1" applyFont="1" applyFill="1" applyBorder="1" applyAlignment="1">
      <alignment horizontal="left" vertical="center"/>
    </xf>
    <xf numFmtId="0" fontId="19" fillId="6" borderId="61" xfId="22" applyNumberFormat="1" applyFont="1" applyFill="1" applyBorder="1" applyAlignment="1">
      <alignment horizontal="center" vertical="center"/>
    </xf>
    <xf numFmtId="0" fontId="92" fillId="6" borderId="61" xfId="22" applyNumberFormat="1" applyFont="1" applyFill="1" applyBorder="1" applyAlignment="1">
      <alignment horizontal="left" vertical="center"/>
    </xf>
    <xf numFmtId="14" fontId="59" fillId="17" borderId="13" xfId="0" applyNumberFormat="1" applyFont="1" applyFill="1" applyBorder="1" applyAlignment="1">
      <alignment horizontal="left" vertical="top" wrapText="1" readingOrder="1"/>
    </xf>
    <xf numFmtId="0" fontId="60" fillId="22" borderId="18" xfId="0" applyNumberFormat="1" applyFont="1" applyFill="1" applyBorder="1" applyAlignment="1">
      <alignment horizontal="left" vertical="top" wrapText="1" readingOrder="1"/>
    </xf>
    <xf numFmtId="0" fontId="60" fillId="22" borderId="19" xfId="0" applyNumberFormat="1" applyFont="1" applyFill="1" applyBorder="1" applyAlignment="1">
      <alignment horizontal="left" vertical="top" wrapText="1" readingOrder="1"/>
    </xf>
    <xf numFmtId="0" fontId="60" fillId="22" borderId="2" xfId="0" applyNumberFormat="1" applyFont="1" applyFill="1" applyBorder="1" applyAlignment="1">
      <alignment horizontal="left" vertical="center" wrapText="1" readingOrder="1"/>
    </xf>
    <xf numFmtId="0" fontId="58" fillId="0" borderId="0" xfId="0" applyFont="1" applyAlignment="1">
      <alignment vertical="top" wrapText="1"/>
    </xf>
    <xf numFmtId="0" fontId="93" fillId="18" borderId="61" xfId="19" applyFont="1" applyFill="1" applyBorder="1" applyAlignment="1">
      <alignment horizontal="left" vertical="center" wrapText="1" readingOrder="1"/>
    </xf>
    <xf numFmtId="1" fontId="93" fillId="18" borderId="61" xfId="19" applyNumberFormat="1" applyFont="1" applyFill="1" applyBorder="1" applyAlignment="1">
      <alignment horizontal="left" vertical="center" wrapText="1" readingOrder="1"/>
    </xf>
    <xf numFmtId="0" fontId="94" fillId="18" borderId="61" xfId="19" applyFont="1" applyFill="1" applyBorder="1" applyAlignment="1">
      <alignment horizontal="left" vertical="center" wrapText="1" readingOrder="1"/>
    </xf>
    <xf numFmtId="0" fontId="93" fillId="18" borderId="61" xfId="19" applyFont="1" applyFill="1" applyBorder="1" applyAlignment="1">
      <alignment horizontal="left" vertical="center" wrapText="1"/>
    </xf>
    <xf numFmtId="1" fontId="94" fillId="18" borderId="61" xfId="19" applyNumberFormat="1" applyFont="1" applyFill="1" applyBorder="1" applyAlignment="1">
      <alignment horizontal="left" vertical="center" wrapText="1" readingOrder="1"/>
    </xf>
    <xf numFmtId="1" fontId="94" fillId="7" borderId="61" xfId="19" applyNumberFormat="1" applyFont="1" applyFill="1" applyBorder="1" applyAlignment="1">
      <alignment horizontal="left" vertical="center" wrapText="1" readingOrder="1"/>
    </xf>
    <xf numFmtId="0" fontId="93" fillId="28" borderId="61" xfId="19" applyFont="1" applyFill="1" applyBorder="1" applyAlignment="1">
      <alignment horizontal="left" vertical="center" wrapText="1"/>
    </xf>
    <xf numFmtId="14" fontId="94" fillId="7" borderId="61" xfId="19" applyNumberFormat="1" applyFont="1" applyFill="1" applyBorder="1" applyAlignment="1">
      <alignment horizontal="left" vertical="center" wrapText="1" readingOrder="1"/>
    </xf>
    <xf numFmtId="0" fontId="94" fillId="11" borderId="61" xfId="20" applyNumberFormat="1" applyFont="1" applyFill="1" applyBorder="1" applyAlignment="1">
      <alignment horizontal="left" vertical="center" wrapText="1" readingOrder="1"/>
    </xf>
    <xf numFmtId="1" fontId="94" fillId="11" borderId="61" xfId="19" applyNumberFormat="1" applyFont="1" applyFill="1" applyBorder="1" applyAlignment="1">
      <alignment horizontal="left" vertical="center" wrapText="1" readingOrder="1"/>
    </xf>
    <xf numFmtId="0" fontId="93" fillId="0" borderId="61" xfId="19" applyFont="1" applyFill="1" applyBorder="1" applyAlignment="1">
      <alignment horizontal="left" vertical="center" wrapText="1"/>
    </xf>
    <xf numFmtId="0" fontId="93" fillId="30" borderId="61" xfId="20" applyNumberFormat="1" applyFont="1" applyFill="1" applyBorder="1" applyAlignment="1">
      <alignment horizontal="left" vertical="center" wrapText="1" readingOrder="1"/>
    </xf>
    <xf numFmtId="14" fontId="94" fillId="17" borderId="61" xfId="19" applyNumberFormat="1" applyFont="1" applyFill="1" applyBorder="1" applyAlignment="1">
      <alignment horizontal="left" vertical="center" wrapText="1" readingOrder="1"/>
    </xf>
    <xf numFmtId="0" fontId="96" fillId="16" borderId="61" xfId="19" applyFont="1" applyFill="1" applyBorder="1" applyAlignment="1">
      <alignment horizontal="center" vertical="center" wrapText="1"/>
    </xf>
    <xf numFmtId="0" fontId="99" fillId="22" borderId="2" xfId="0" applyNumberFormat="1" applyFont="1" applyFill="1" applyBorder="1" applyAlignment="1">
      <alignment horizontal="left" vertical="center" wrapText="1" readingOrder="1"/>
    </xf>
    <xf numFmtId="0" fontId="97" fillId="0" borderId="0" xfId="0" applyFont="1" applyAlignment="1"/>
    <xf numFmtId="0" fontId="48" fillId="25" borderId="62" xfId="24" applyBorder="1" applyAlignment="1">
      <alignment horizontal="left" vertical="center"/>
    </xf>
    <xf numFmtId="0" fontId="26" fillId="43" borderId="62" xfId="22" applyFont="1" applyFill="1" applyBorder="1" applyAlignment="1">
      <alignment horizontal="left" vertical="center"/>
    </xf>
    <xf numFmtId="0" fontId="55" fillId="5" borderId="0" xfId="23" applyFont="1" applyFill="1" applyBorder="1" applyAlignment="1">
      <alignment horizontal="left" vertical="center"/>
    </xf>
    <xf numFmtId="0" fontId="55" fillId="5" borderId="0" xfId="24" applyFont="1" applyFill="1" applyBorder="1" applyAlignment="1">
      <alignment horizontal="left" vertical="center"/>
    </xf>
    <xf numFmtId="0" fontId="52" fillId="26" borderId="0" xfId="22" applyFont="1" applyFill="1" applyBorder="1" applyAlignment="1">
      <alignment horizontal="left" vertical="center" wrapText="1"/>
    </xf>
    <xf numFmtId="14" fontId="27" fillId="18" borderId="61" xfId="19" applyNumberFormat="1" applyFont="1" applyFill="1" applyBorder="1" applyAlignment="1">
      <alignment horizontal="left" vertical="center" wrapText="1" readingOrder="1"/>
    </xf>
    <xf numFmtId="0" fontId="27" fillId="10" borderId="61" xfId="19" applyFont="1" applyFill="1" applyBorder="1" applyAlignment="1">
      <alignment horizontal="left" vertical="center" wrapText="1"/>
    </xf>
    <xf numFmtId="14" fontId="93" fillId="18" borderId="61" xfId="19" applyNumberFormat="1" applyFont="1" applyFill="1" applyBorder="1" applyAlignment="1">
      <alignment horizontal="left" vertical="center" wrapText="1" readingOrder="1"/>
    </xf>
    <xf numFmtId="9" fontId="27" fillId="11" borderId="61" xfId="19" applyNumberFormat="1" applyFont="1" applyFill="1" applyBorder="1" applyAlignment="1">
      <alignment horizontal="left" vertical="center" wrapText="1" readingOrder="1"/>
    </xf>
    <xf numFmtId="0" fontId="47" fillId="24" borderId="63" xfId="23" applyBorder="1" applyAlignment="1">
      <alignment horizontal="left" vertical="center"/>
    </xf>
    <xf numFmtId="0" fontId="47" fillId="24" borderId="68" xfId="23" applyBorder="1" applyAlignment="1">
      <alignment horizontal="left" vertical="center"/>
    </xf>
    <xf numFmtId="1" fontId="27" fillId="18" borderId="61" xfId="20" applyNumberFormat="1" applyFont="1" applyFill="1" applyBorder="1" applyAlignment="1">
      <alignment horizontal="left" vertical="center" wrapText="1" readingOrder="1"/>
    </xf>
    <xf numFmtId="0" fontId="100" fillId="22" borderId="2" xfId="0" applyNumberFormat="1" applyFont="1" applyFill="1" applyBorder="1" applyAlignment="1">
      <alignment horizontal="left" vertical="center" wrapText="1" readingOrder="1"/>
    </xf>
    <xf numFmtId="0" fontId="107" fillId="0" borderId="0" xfId="0" applyFont="1" applyAlignment="1"/>
    <xf numFmtId="0" fontId="19" fillId="2" borderId="61" xfId="22" applyNumberFormat="1" applyFont="1" applyFill="1" applyBorder="1" applyAlignment="1">
      <alignment horizontal="center" vertical="center" wrapText="1"/>
    </xf>
    <xf numFmtId="0" fontId="19" fillId="6" borderId="61" xfId="22" applyNumberFormat="1" applyFont="1" applyFill="1" applyBorder="1" applyAlignment="1">
      <alignment horizontal="center" vertical="center" wrapText="1"/>
    </xf>
    <xf numFmtId="0" fontId="19" fillId="37" borderId="61" xfId="22" applyNumberFormat="1" applyFont="1" applyFill="1" applyBorder="1" applyAlignment="1">
      <alignment horizontal="center" vertical="center" wrapText="1"/>
    </xf>
    <xf numFmtId="0" fontId="19" fillId="44" borderId="61" xfId="22" applyNumberFormat="1" applyFont="1" applyFill="1" applyBorder="1" applyAlignment="1">
      <alignment horizontal="center" vertical="center" wrapText="1"/>
    </xf>
    <xf numFmtId="0" fontId="29" fillId="22" borderId="2" xfId="0" applyNumberFormat="1" applyFont="1" applyFill="1" applyBorder="1" applyAlignment="1">
      <alignment horizontal="left" vertical="center" wrapText="1" readingOrder="1"/>
    </xf>
    <xf numFmtId="0" fontId="31" fillId="0" borderId="0" xfId="0" applyFont="1" applyAlignment="1">
      <alignment wrapText="1"/>
    </xf>
    <xf numFmtId="0" fontId="109" fillId="0" borderId="0" xfId="19" applyFont="1" applyAlignment="1">
      <alignment horizontal="left" vertical="center"/>
    </xf>
    <xf numFmtId="0" fontId="27" fillId="0" borderId="0" xfId="22" applyFont="1" applyAlignment="1">
      <alignment horizontal="left" vertical="center"/>
    </xf>
    <xf numFmtId="0" fontId="29" fillId="16" borderId="61" xfId="22" applyFont="1" applyFill="1" applyBorder="1" applyAlignment="1">
      <alignment horizontal="center" vertical="center" wrapText="1"/>
    </xf>
    <xf numFmtId="0" fontId="29" fillId="16" borderId="61" xfId="19" applyFont="1" applyFill="1" applyBorder="1" applyAlignment="1">
      <alignment horizontal="center" vertical="center" wrapText="1"/>
    </xf>
    <xf numFmtId="0" fontId="109" fillId="0" borderId="0" xfId="19" applyFont="1" applyAlignment="1">
      <alignment horizontal="center" vertical="center"/>
    </xf>
    <xf numFmtId="0" fontId="29" fillId="2" borderId="61" xfId="22" applyNumberFormat="1" applyFont="1" applyFill="1" applyBorder="1" applyAlignment="1">
      <alignment horizontal="left" vertical="center" indent="1" readingOrder="1"/>
    </xf>
    <xf numFmtId="14" fontId="27" fillId="17" borderId="61" xfId="19" applyNumberFormat="1" applyFont="1" applyFill="1" applyBorder="1" applyAlignment="1">
      <alignment horizontal="left" vertical="center" wrapText="1" readingOrder="1"/>
    </xf>
    <xf numFmtId="0" fontId="27" fillId="0" borderId="61" xfId="19" applyFont="1" applyFill="1" applyBorder="1" applyAlignment="1">
      <alignment horizontal="left" vertical="center" wrapText="1"/>
    </xf>
    <xf numFmtId="0" fontId="29" fillId="14" borderId="61" xfId="22" applyNumberFormat="1" applyFont="1" applyFill="1" applyBorder="1" applyAlignment="1">
      <alignment horizontal="left" vertical="center" indent="1" readingOrder="1"/>
    </xf>
    <xf numFmtId="1" fontId="27" fillId="18" borderId="64" xfId="20" applyNumberFormat="1" applyFont="1" applyFill="1" applyBorder="1" applyAlignment="1">
      <alignment horizontal="left" vertical="center" wrapText="1" readingOrder="1"/>
    </xf>
    <xf numFmtId="0" fontId="27" fillId="18" borderId="64" xfId="19" applyFont="1" applyFill="1" applyBorder="1" applyAlignment="1">
      <alignment horizontal="left" vertical="center" wrapText="1" readingOrder="1"/>
    </xf>
    <xf numFmtId="1" fontId="27" fillId="18" borderId="64" xfId="19" applyNumberFormat="1" applyFont="1" applyFill="1" applyBorder="1" applyAlignment="1">
      <alignment horizontal="left" vertical="center" wrapText="1" readingOrder="1"/>
    </xf>
    <xf numFmtId="0" fontId="29" fillId="38" borderId="61" xfId="22" applyNumberFormat="1" applyFont="1" applyFill="1" applyBorder="1" applyAlignment="1">
      <alignment horizontal="left" vertical="center" indent="1" readingOrder="1"/>
    </xf>
    <xf numFmtId="0" fontId="27" fillId="28" borderId="61" xfId="19" applyFont="1" applyFill="1" applyBorder="1" applyAlignment="1">
      <alignment horizontal="left" vertical="center" wrapText="1"/>
    </xf>
    <xf numFmtId="1" fontId="27" fillId="7" borderId="61" xfId="20" applyNumberFormat="1" applyFont="1" applyFill="1" applyBorder="1" applyAlignment="1">
      <alignment horizontal="left" vertical="center" wrapText="1" readingOrder="1"/>
    </xf>
    <xf numFmtId="14" fontId="27" fillId="7" borderId="61" xfId="19" applyNumberFormat="1" applyFont="1" applyFill="1" applyBorder="1" applyAlignment="1">
      <alignment horizontal="left" vertical="center" wrapText="1" readingOrder="1"/>
    </xf>
    <xf numFmtId="0" fontId="27" fillId="7" borderId="61" xfId="19" applyFont="1" applyFill="1" applyBorder="1" applyAlignment="1">
      <alignment horizontal="left" vertical="center" wrapText="1" readingOrder="1"/>
    </xf>
    <xf numFmtId="0" fontId="29" fillId="9" borderId="61" xfId="22" applyNumberFormat="1" applyFont="1" applyFill="1" applyBorder="1" applyAlignment="1">
      <alignment horizontal="left" vertical="center" indent="1" readingOrder="1"/>
    </xf>
    <xf numFmtId="0" fontId="27" fillId="11" borderId="61" xfId="20" applyNumberFormat="1" applyFont="1" applyFill="1" applyBorder="1" applyAlignment="1">
      <alignment horizontal="left" vertical="center" wrapText="1" readingOrder="1"/>
    </xf>
    <xf numFmtId="1" fontId="27" fillId="11" borderId="61" xfId="19" applyNumberFormat="1" applyFont="1" applyFill="1" applyBorder="1" applyAlignment="1">
      <alignment horizontal="left" vertical="center" wrapText="1" readingOrder="1"/>
    </xf>
    <xf numFmtId="0" fontId="27" fillId="30" borderId="61" xfId="19" applyFont="1" applyFill="1" applyBorder="1" applyAlignment="1">
      <alignment horizontal="left" vertical="center" wrapText="1"/>
    </xf>
    <xf numFmtId="9" fontId="27" fillId="11" borderId="64" xfId="19" applyNumberFormat="1" applyFont="1" applyFill="1" applyBorder="1" applyAlignment="1">
      <alignment horizontal="left" vertical="center" wrapText="1" readingOrder="1"/>
    </xf>
    <xf numFmtId="0" fontId="27" fillId="30" borderId="64" xfId="19" applyFont="1" applyFill="1" applyBorder="1" applyAlignment="1">
      <alignment horizontal="left" vertical="center" wrapText="1"/>
    </xf>
    <xf numFmtId="0" fontId="27" fillId="0" borderId="0" xfId="19" applyFont="1" applyAlignment="1">
      <alignment horizontal="left" vertical="center"/>
    </xf>
    <xf numFmtId="0" fontId="111" fillId="0" borderId="0" xfId="19" applyFont="1" applyAlignment="1">
      <alignment horizontal="left" vertical="center"/>
    </xf>
    <xf numFmtId="0" fontId="111" fillId="0" borderId="0" xfId="19" applyFont="1" applyAlignment="1">
      <alignment horizontal="center" vertical="center"/>
    </xf>
    <xf numFmtId="0" fontId="29" fillId="14" borderId="63" xfId="22" applyNumberFormat="1" applyFont="1" applyFill="1" applyBorder="1" applyAlignment="1">
      <alignment horizontal="left" vertical="center" indent="1" readingOrder="1"/>
    </xf>
    <xf numFmtId="0" fontId="111" fillId="0" borderId="0" xfId="19" applyFont="1" applyBorder="1" applyAlignment="1">
      <alignment horizontal="left" vertical="center"/>
    </xf>
    <xf numFmtId="0" fontId="95" fillId="0" borderId="0" xfId="19" applyFont="1" applyAlignment="1">
      <alignment horizontal="left" vertical="center"/>
    </xf>
    <xf numFmtId="0" fontId="93" fillId="0" borderId="0" xfId="19" applyFont="1" applyAlignment="1">
      <alignment horizontal="left" vertical="center"/>
    </xf>
    <xf numFmtId="0" fontId="94" fillId="0" borderId="0" xfId="19" applyFont="1" applyAlignment="1">
      <alignment horizontal="left" vertical="center"/>
    </xf>
    <xf numFmtId="14" fontId="20" fillId="17" borderId="61" xfId="19" applyNumberFormat="1" applyFont="1" applyFill="1" applyBorder="1" applyAlignment="1">
      <alignment horizontal="center" vertical="center" wrapText="1"/>
    </xf>
    <xf numFmtId="14" fontId="20" fillId="7" borderId="61" xfId="19" applyNumberFormat="1" applyFont="1" applyFill="1" applyBorder="1" applyAlignment="1">
      <alignment horizontal="center" vertical="center" wrapText="1"/>
    </xf>
    <xf numFmtId="14" fontId="20" fillId="27" borderId="61" xfId="19" applyNumberFormat="1" applyFont="1" applyFill="1" applyBorder="1" applyAlignment="1">
      <alignment horizontal="center" vertical="center" wrapText="1"/>
    </xf>
    <xf numFmtId="14" fontId="20" fillId="22" borderId="61" xfId="19" applyNumberFormat="1" applyFont="1" applyFill="1" applyBorder="1" applyAlignment="1">
      <alignment horizontal="center" vertical="center" wrapText="1"/>
    </xf>
    <xf numFmtId="0" fontId="27" fillId="18" borderId="69" xfId="19" applyFont="1" applyFill="1" applyBorder="1" applyAlignment="1">
      <alignment horizontal="center" vertical="center" wrapText="1"/>
    </xf>
    <xf numFmtId="14" fontId="112" fillId="17" borderId="61" xfId="19" applyNumberFormat="1" applyFont="1" applyFill="1" applyBorder="1" applyAlignment="1">
      <alignment horizontal="center" vertical="center" wrapText="1"/>
    </xf>
    <xf numFmtId="14" fontId="112" fillId="7" borderId="61" xfId="19" applyNumberFormat="1" applyFont="1" applyFill="1" applyBorder="1" applyAlignment="1">
      <alignment horizontal="center" vertical="center" wrapText="1"/>
    </xf>
    <xf numFmtId="14" fontId="112" fillId="27" borderId="61" xfId="19" applyNumberFormat="1" applyFont="1" applyFill="1" applyBorder="1" applyAlignment="1">
      <alignment horizontal="center" vertical="center" wrapText="1"/>
    </xf>
    <xf numFmtId="14" fontId="112" fillId="22" borderId="61" xfId="19" applyNumberFormat="1" applyFont="1" applyFill="1" applyBorder="1" applyAlignment="1">
      <alignment horizontal="center" vertical="center" wrapText="1"/>
    </xf>
    <xf numFmtId="0" fontId="113" fillId="18" borderId="66" xfId="19" applyFont="1" applyFill="1" applyBorder="1" applyAlignment="1">
      <alignment horizontal="center" vertical="center" wrapText="1"/>
    </xf>
    <xf numFmtId="1" fontId="114" fillId="7" borderId="61" xfId="19" applyNumberFormat="1" applyFont="1" applyFill="1" applyBorder="1" applyAlignment="1">
      <alignment horizontal="center" vertical="center" wrapText="1"/>
    </xf>
    <xf numFmtId="1" fontId="114" fillId="7" borderId="61" xfId="20" applyNumberFormat="1" applyFont="1" applyFill="1" applyBorder="1" applyAlignment="1">
      <alignment horizontal="center" vertical="center" wrapText="1"/>
    </xf>
    <xf numFmtId="1" fontId="113" fillId="7" borderId="61" xfId="19" applyNumberFormat="1" applyFont="1" applyFill="1" applyBorder="1" applyAlignment="1">
      <alignment horizontal="center" vertical="center" wrapText="1"/>
    </xf>
    <xf numFmtId="0" fontId="112" fillId="7" borderId="61" xfId="19" applyFont="1" applyFill="1" applyBorder="1" applyAlignment="1">
      <alignment horizontal="center" vertical="center" wrapText="1"/>
    </xf>
    <xf numFmtId="0" fontId="114" fillId="7" borderId="61" xfId="19" applyFont="1" applyFill="1" applyBorder="1" applyAlignment="1">
      <alignment horizontal="center" vertical="center" wrapText="1"/>
    </xf>
    <xf numFmtId="1" fontId="114" fillId="11" borderId="61" xfId="19" applyNumberFormat="1" applyFont="1" applyFill="1" applyBorder="1" applyAlignment="1">
      <alignment horizontal="center" vertical="center" wrapText="1"/>
    </xf>
    <xf numFmtId="1" fontId="112" fillId="11" borderId="61" xfId="19" applyNumberFormat="1" applyFont="1" applyFill="1" applyBorder="1" applyAlignment="1">
      <alignment horizontal="center" vertical="center" wrapText="1"/>
    </xf>
    <xf numFmtId="9" fontId="114" fillId="11" borderId="61" xfId="19" applyNumberFormat="1" applyFont="1" applyFill="1" applyBorder="1" applyAlignment="1">
      <alignment horizontal="center" vertical="center" wrapText="1"/>
    </xf>
    <xf numFmtId="1" fontId="101" fillId="18" borderId="72" xfId="0" applyNumberFormat="1" applyFont="1" applyFill="1" applyBorder="1" applyAlignment="1">
      <alignment vertical="top" wrapText="1"/>
    </xf>
    <xf numFmtId="0" fontId="101" fillId="18" borderId="72" xfId="0" applyFont="1" applyFill="1" applyBorder="1" applyAlignment="1">
      <alignment vertical="top" wrapText="1"/>
    </xf>
    <xf numFmtId="0" fontId="115" fillId="5" borderId="72" xfId="0" applyFont="1" applyFill="1" applyBorder="1" applyAlignment="1">
      <alignment horizontal="center" vertical="center" wrapText="1"/>
    </xf>
    <xf numFmtId="0" fontId="101" fillId="18" borderId="74" xfId="0" applyFont="1" applyFill="1" applyBorder="1" applyAlignment="1">
      <alignment vertical="top" wrapText="1"/>
    </xf>
    <xf numFmtId="0" fontId="91" fillId="18" borderId="76" xfId="0" applyFont="1" applyFill="1" applyBorder="1" applyAlignment="1">
      <alignment vertical="top" wrapText="1"/>
    </xf>
    <xf numFmtId="1" fontId="91" fillId="18" borderId="77" xfId="0" applyNumberFormat="1" applyFont="1" applyFill="1" applyBorder="1" applyAlignment="1">
      <alignment vertical="top" wrapText="1"/>
    </xf>
    <xf numFmtId="0" fontId="115" fillId="5" borderId="78" xfId="0" applyFont="1" applyFill="1" applyBorder="1" applyAlignment="1">
      <alignment horizontal="center" vertical="center" wrapText="1"/>
    </xf>
    <xf numFmtId="0" fontId="91" fillId="18" borderId="70" xfId="0" applyFont="1" applyFill="1" applyBorder="1" applyAlignment="1">
      <alignment vertical="top" wrapText="1"/>
    </xf>
    <xf numFmtId="1" fontId="101" fillId="18" borderId="78" xfId="0" applyNumberFormat="1" applyFont="1" applyFill="1" applyBorder="1" applyAlignment="1">
      <alignment vertical="top" wrapText="1"/>
    </xf>
    <xf numFmtId="1" fontId="116" fillId="18" borderId="72" xfId="0" applyNumberFormat="1" applyFont="1" applyFill="1" applyBorder="1" applyAlignment="1">
      <alignment vertical="top" wrapText="1"/>
    </xf>
    <xf numFmtId="1" fontId="116" fillId="18" borderId="78" xfId="0" applyNumberFormat="1" applyFont="1" applyFill="1" applyBorder="1" applyAlignment="1">
      <alignment vertical="top" wrapText="1"/>
    </xf>
    <xf numFmtId="1" fontId="91" fillId="5" borderId="71" xfId="0" applyNumberFormat="1" applyFont="1" applyFill="1" applyBorder="1" applyAlignment="1">
      <alignment vertical="top" wrapText="1"/>
    </xf>
    <xf numFmtId="0" fontId="30" fillId="5" borderId="72" xfId="0" applyFont="1" applyFill="1" applyBorder="1" applyAlignment="1">
      <alignment vertical="center" wrapText="1"/>
    </xf>
    <xf numFmtId="0" fontId="91" fillId="18" borderId="72" xfId="0" applyFont="1" applyFill="1" applyBorder="1" applyAlignment="1">
      <alignment vertical="top" wrapText="1"/>
    </xf>
    <xf numFmtId="9" fontId="91" fillId="18" borderId="72" xfId="0" applyNumberFormat="1" applyFont="1" applyFill="1" applyBorder="1" applyAlignment="1">
      <alignment vertical="top" wrapText="1"/>
    </xf>
    <xf numFmtId="0" fontId="30" fillId="5" borderId="78" xfId="0" applyFont="1" applyFill="1" applyBorder="1" applyAlignment="1">
      <alignment vertical="center" wrapText="1"/>
    </xf>
    <xf numFmtId="1" fontId="91" fillId="18" borderId="78" xfId="0" applyNumberFormat="1" applyFont="1" applyFill="1" applyBorder="1" applyAlignment="1">
      <alignment vertical="top" wrapText="1"/>
    </xf>
    <xf numFmtId="1" fontId="101" fillId="18" borderId="74" xfId="0" applyNumberFormat="1" applyFont="1" applyFill="1" applyBorder="1" applyAlignment="1">
      <alignment vertical="top" wrapText="1"/>
    </xf>
    <xf numFmtId="0" fontId="30" fillId="5" borderId="74" xfId="0" applyFont="1" applyFill="1" applyBorder="1" applyAlignment="1">
      <alignment vertical="center" wrapText="1"/>
    </xf>
    <xf numFmtId="1" fontId="91" fillId="18" borderId="83" xfId="0" applyNumberFormat="1" applyFont="1" applyFill="1" applyBorder="1" applyAlignment="1">
      <alignment vertical="top" wrapText="1"/>
    </xf>
    <xf numFmtId="0" fontId="101" fillId="18" borderId="75" xfId="0" applyFont="1" applyFill="1" applyBorder="1" applyAlignment="1">
      <alignment vertical="top" wrapText="1"/>
    </xf>
    <xf numFmtId="1" fontId="91" fillId="18" borderId="79" xfId="0" applyNumberFormat="1" applyFont="1" applyFill="1" applyBorder="1" applyAlignment="1">
      <alignment vertical="top" wrapText="1"/>
    </xf>
    <xf numFmtId="0" fontId="101" fillId="6" borderId="72" xfId="0" applyFont="1" applyFill="1" applyBorder="1" applyAlignment="1">
      <alignment vertical="top" wrapText="1"/>
    </xf>
    <xf numFmtId="1" fontId="101" fillId="6" borderId="72" xfId="0" applyNumberFormat="1" applyFont="1" applyFill="1" applyBorder="1" applyAlignment="1">
      <alignment vertical="top" wrapText="1"/>
    </xf>
    <xf numFmtId="1" fontId="103" fillId="6" borderId="72" xfId="0" applyNumberFormat="1" applyFont="1" applyFill="1" applyBorder="1" applyAlignment="1">
      <alignment vertical="top" wrapText="1"/>
    </xf>
    <xf numFmtId="0" fontId="30" fillId="8" borderId="72" xfId="0" applyFont="1" applyFill="1" applyBorder="1" applyAlignment="1">
      <alignment vertical="center" wrapText="1"/>
    </xf>
    <xf numFmtId="1" fontId="30" fillId="8" borderId="72" xfId="0" applyNumberFormat="1" applyFont="1" applyFill="1" applyBorder="1" applyAlignment="1">
      <alignment vertical="center" wrapText="1"/>
    </xf>
    <xf numFmtId="1" fontId="35" fillId="8" borderId="72" xfId="0" applyNumberFormat="1" applyFont="1" applyFill="1" applyBorder="1" applyAlignment="1">
      <alignment vertical="center" wrapText="1"/>
    </xf>
    <xf numFmtId="0" fontId="91" fillId="6" borderId="72" xfId="0" applyFont="1" applyFill="1" applyBorder="1" applyAlignment="1">
      <alignment vertical="top" wrapText="1"/>
    </xf>
    <xf numFmtId="1" fontId="101" fillId="6" borderId="78" xfId="0" applyNumberFormat="1" applyFont="1" applyFill="1" applyBorder="1" applyAlignment="1">
      <alignment vertical="top" wrapText="1"/>
    </xf>
    <xf numFmtId="0" fontId="30" fillId="8" borderId="78" xfId="0" applyFont="1" applyFill="1" applyBorder="1" applyAlignment="1">
      <alignment vertical="center" wrapText="1"/>
    </xf>
    <xf numFmtId="1" fontId="91" fillId="6" borderId="78" xfId="0" applyNumberFormat="1" applyFont="1" applyFill="1" applyBorder="1" applyAlignment="1">
      <alignment vertical="top" wrapText="1"/>
    </xf>
    <xf numFmtId="1" fontId="101" fillId="6" borderId="74" xfId="0" applyNumberFormat="1" applyFont="1" applyFill="1" applyBorder="1" applyAlignment="1">
      <alignment vertical="top" wrapText="1"/>
    </xf>
    <xf numFmtId="0" fontId="101" fillId="6" borderId="75" xfId="0" applyFont="1" applyFill="1" applyBorder="1" applyAlignment="1">
      <alignment vertical="top" wrapText="1"/>
    </xf>
    <xf numFmtId="0" fontId="30" fillId="8" borderId="74" xfId="0" applyFont="1" applyFill="1" applyBorder="1" applyAlignment="1">
      <alignment vertical="center" wrapText="1"/>
    </xf>
    <xf numFmtId="0" fontId="30" fillId="8" borderId="75" xfId="0" applyFont="1" applyFill="1" applyBorder="1" applyAlignment="1">
      <alignment vertical="center" wrapText="1"/>
    </xf>
    <xf numFmtId="1" fontId="91" fillId="6" borderId="76" xfId="0" applyNumberFormat="1" applyFont="1" applyFill="1" applyBorder="1" applyAlignment="1">
      <alignment vertical="top" wrapText="1"/>
    </xf>
    <xf numFmtId="0" fontId="91" fillId="6" borderId="77" xfId="0" applyFont="1" applyFill="1" applyBorder="1" applyAlignment="1">
      <alignment vertical="top" wrapText="1"/>
    </xf>
    <xf numFmtId="1" fontId="101" fillId="9" borderId="72" xfId="0" applyNumberFormat="1" applyFont="1" applyFill="1" applyBorder="1" applyAlignment="1">
      <alignment vertical="top" wrapText="1"/>
    </xf>
    <xf numFmtId="1" fontId="98" fillId="9" borderId="72" xfId="0" applyNumberFormat="1" applyFont="1" applyFill="1" applyBorder="1" applyAlignment="1">
      <alignment vertical="top" wrapText="1"/>
    </xf>
    <xf numFmtId="1" fontId="117" fillId="9" borderId="72" xfId="0" applyNumberFormat="1" applyFont="1" applyFill="1" applyBorder="1" applyAlignment="1">
      <alignment horizontal="center" vertical="center"/>
    </xf>
    <xf numFmtId="1" fontId="36" fillId="9" borderId="72" xfId="1" applyNumberFormat="1" applyFont="1" applyFill="1" applyBorder="1" applyAlignment="1">
      <alignment vertical="center" wrapText="1"/>
    </xf>
    <xf numFmtId="1" fontId="38" fillId="9" borderId="72" xfId="0" applyNumberFormat="1" applyFont="1" applyFill="1" applyBorder="1" applyAlignment="1">
      <alignment horizontal="center" vertical="center" wrapText="1"/>
    </xf>
    <xf numFmtId="1" fontId="91" fillId="9" borderId="72" xfId="0" applyNumberFormat="1" applyFont="1" applyFill="1" applyBorder="1" applyAlignment="1">
      <alignment vertical="top" wrapText="1"/>
    </xf>
    <xf numFmtId="1" fontId="105" fillId="9" borderId="72" xfId="0" applyNumberFormat="1" applyFont="1" applyFill="1" applyBorder="1" applyAlignment="1">
      <alignment vertical="top" wrapText="1"/>
    </xf>
    <xf numFmtId="1" fontId="118" fillId="9" borderId="72" xfId="0" applyNumberFormat="1" applyFont="1" applyFill="1" applyBorder="1" applyAlignment="1">
      <alignment horizontal="center" vertical="center"/>
    </xf>
    <xf numFmtId="9" fontId="101" fillId="9" borderId="78" xfId="1" applyNumberFormat="1" applyFont="1" applyFill="1" applyBorder="1" applyAlignment="1">
      <alignment vertical="top" wrapText="1"/>
    </xf>
    <xf numFmtId="9" fontId="98" fillId="9" borderId="78" xfId="1" applyNumberFormat="1" applyFont="1" applyFill="1" applyBorder="1" applyAlignment="1">
      <alignment vertical="top" wrapText="1"/>
    </xf>
    <xf numFmtId="1" fontId="38" fillId="9" borderId="78" xfId="0" applyNumberFormat="1" applyFont="1" applyFill="1" applyBorder="1" applyAlignment="1">
      <alignment horizontal="center" vertical="center" wrapText="1"/>
    </xf>
    <xf numFmtId="1" fontId="91" fillId="19" borderId="78" xfId="0" applyNumberFormat="1" applyFont="1" applyFill="1" applyBorder="1" applyAlignment="1">
      <alignment vertical="top" wrapText="1"/>
    </xf>
    <xf numFmtId="1" fontId="101" fillId="9" borderId="73" xfId="0" applyNumberFormat="1" applyFont="1" applyFill="1" applyBorder="1" applyAlignment="1">
      <alignment vertical="top" wrapText="1"/>
    </xf>
    <xf numFmtId="1" fontId="98" fillId="9" borderId="73" xfId="0" applyNumberFormat="1" applyFont="1" applyFill="1" applyBorder="1" applyAlignment="1">
      <alignment vertical="top" wrapText="1"/>
    </xf>
    <xf numFmtId="1" fontId="38" fillId="9" borderId="73" xfId="0" applyNumberFormat="1" applyFont="1" applyFill="1" applyBorder="1" applyAlignment="1">
      <alignment horizontal="center" vertical="center" wrapText="1"/>
    </xf>
    <xf numFmtId="1" fontId="91" fillId="19" borderId="73" xfId="0" applyNumberFormat="1" applyFont="1" applyFill="1" applyBorder="1" applyAlignment="1">
      <alignment vertical="top" wrapText="1"/>
    </xf>
    <xf numFmtId="9" fontId="98" fillId="9" borderId="92" xfId="1" applyNumberFormat="1" applyFont="1" applyFill="1" applyBorder="1" applyAlignment="1">
      <alignment vertical="top" wrapText="1"/>
    </xf>
    <xf numFmtId="9" fontId="101" fillId="9" borderId="92" xfId="1" applyNumberFormat="1" applyFont="1" applyFill="1" applyBorder="1" applyAlignment="1">
      <alignment vertical="top" wrapText="1"/>
    </xf>
    <xf numFmtId="1" fontId="38" fillId="9" borderId="92" xfId="0" applyNumberFormat="1" applyFont="1" applyFill="1" applyBorder="1" applyAlignment="1">
      <alignment horizontal="center" vertical="center" wrapText="1"/>
    </xf>
    <xf numFmtId="9" fontId="91" fillId="9" borderId="93" xfId="0" applyNumberFormat="1" applyFont="1" applyFill="1" applyBorder="1" applyAlignment="1">
      <alignment vertical="top" wrapText="1"/>
    </xf>
    <xf numFmtId="9" fontId="27" fillId="11" borderId="61" xfId="19" applyNumberFormat="1" applyFont="1" applyFill="1" applyBorder="1" applyAlignment="1">
      <alignment horizontal="center" vertical="center" wrapText="1"/>
    </xf>
    <xf numFmtId="1" fontId="91" fillId="5" borderId="72" xfId="0" applyNumberFormat="1" applyFont="1" applyFill="1" applyBorder="1" applyAlignment="1">
      <alignment horizontal="center" vertical="center" wrapText="1"/>
    </xf>
    <xf numFmtId="0" fontId="91" fillId="8" borderId="72" xfId="0" applyFont="1" applyFill="1" applyBorder="1" applyAlignment="1">
      <alignment horizontal="center" vertical="center" wrapText="1"/>
    </xf>
    <xf numFmtId="1" fontId="91" fillId="9" borderId="72" xfId="0" applyNumberFormat="1" applyFont="1" applyFill="1" applyBorder="1" applyAlignment="1">
      <alignment horizontal="center" vertical="center" wrapText="1"/>
    </xf>
    <xf numFmtId="0" fontId="61" fillId="0" borderId="0" xfId="0" applyFont="1" applyFill="1" applyBorder="1"/>
    <xf numFmtId="0" fontId="61" fillId="45" borderId="0" xfId="0" applyFont="1" applyFill="1"/>
    <xf numFmtId="0" fontId="0" fillId="45" borderId="0" xfId="0" applyFill="1"/>
    <xf numFmtId="0" fontId="32" fillId="45" borderId="0" xfId="0" applyFont="1" applyFill="1"/>
    <xf numFmtId="0" fontId="28" fillId="0" borderId="0" xfId="0" applyFont="1" applyFill="1"/>
    <xf numFmtId="1" fontId="28" fillId="0" borderId="0" xfId="0" applyNumberFormat="1" applyFont="1" applyFill="1"/>
    <xf numFmtId="0" fontId="28" fillId="0" borderId="0" xfId="0" applyFont="1" applyFill="1" applyAlignment="1">
      <alignment wrapText="1" readingOrder="1"/>
    </xf>
    <xf numFmtId="165" fontId="28" fillId="0" borderId="0" xfId="0" applyNumberFormat="1" applyFont="1" applyFill="1"/>
    <xf numFmtId="1" fontId="28" fillId="0" borderId="0" xfId="0" applyNumberFormat="1" applyFont="1" applyFill="1" applyBorder="1" applyAlignment="1">
      <alignment wrapText="1"/>
    </xf>
    <xf numFmtId="0" fontId="28" fillId="0" borderId="0" xfId="0" applyFont="1" applyFill="1" applyAlignment="1">
      <alignment wrapText="1"/>
    </xf>
    <xf numFmtId="0" fontId="28" fillId="0" borderId="0" xfId="0" applyNumberFormat="1" applyFont="1" applyFill="1" applyAlignment="1">
      <alignment wrapText="1"/>
    </xf>
    <xf numFmtId="0" fontId="0" fillId="0" borderId="0" xfId="0"/>
    <xf numFmtId="14" fontId="20" fillId="3" borderId="2" xfId="0" applyNumberFormat="1" applyFont="1" applyFill="1" applyBorder="1" applyAlignment="1">
      <alignment horizontal="left" vertical="center" readingOrder="1"/>
    </xf>
    <xf numFmtId="0" fontId="44" fillId="0" borderId="0" xfId="9" applyFont="1" applyFill="1" applyBorder="1" applyAlignment="1">
      <alignment horizontal="right"/>
    </xf>
    <xf numFmtId="0" fontId="28" fillId="0" borderId="0" xfId="0" applyFont="1" applyFill="1"/>
    <xf numFmtId="0" fontId="28" fillId="0" borderId="0" xfId="0" applyFont="1" applyFill="1" applyBorder="1"/>
    <xf numFmtId="0" fontId="66" fillId="0" borderId="0" xfId="0" applyNumberFormat="1" applyFont="1" applyFill="1"/>
    <xf numFmtId="0" fontId="28" fillId="0" borderId="0" xfId="0" applyNumberFormat="1" applyFont="1" applyFill="1"/>
    <xf numFmtId="1" fontId="28" fillId="0" borderId="0" xfId="0" applyNumberFormat="1" applyFont="1" applyFill="1"/>
    <xf numFmtId="0" fontId="28" fillId="0" borderId="0" xfId="0" applyFont="1" applyFill="1" applyAlignment="1">
      <alignment wrapText="1" readingOrder="1"/>
    </xf>
    <xf numFmtId="0" fontId="28" fillId="0" borderId="16" xfId="0" applyFont="1" applyFill="1" applyBorder="1"/>
    <xf numFmtId="0" fontId="28" fillId="0" borderId="0" xfId="0" applyNumberFormat="1" applyFont="1" applyFill="1" applyBorder="1"/>
    <xf numFmtId="1" fontId="28" fillId="0" borderId="0" xfId="0" applyNumberFormat="1" applyFont="1" applyFill="1" applyBorder="1"/>
    <xf numFmtId="0" fontId="28" fillId="0" borderId="0" xfId="0" applyNumberFormat="1" applyFont="1" applyFill="1" applyAlignment="1">
      <alignment wrapText="1" readingOrder="1"/>
    </xf>
    <xf numFmtId="0" fontId="44" fillId="0" borderId="0" xfId="9" applyFont="1" applyFill="1" applyAlignment="1"/>
    <xf numFmtId="0" fontId="44" fillId="0" borderId="0" xfId="0" applyNumberFormat="1" applyFont="1" applyFill="1" applyBorder="1" applyAlignment="1"/>
    <xf numFmtId="0" fontId="28" fillId="0" borderId="21" xfId="0" applyFont="1" applyFill="1" applyBorder="1"/>
    <xf numFmtId="0" fontId="28" fillId="0" borderId="20" xfId="0" applyFont="1" applyFill="1" applyBorder="1"/>
    <xf numFmtId="0" fontId="28" fillId="0" borderId="27" xfId="0" applyFont="1" applyFill="1" applyBorder="1"/>
    <xf numFmtId="0" fontId="28" fillId="0" borderId="26" xfId="0" applyFont="1" applyFill="1" applyBorder="1"/>
    <xf numFmtId="165" fontId="28" fillId="0" borderId="0" xfId="0" applyNumberFormat="1" applyFont="1" applyFill="1"/>
    <xf numFmtId="1" fontId="43" fillId="0" borderId="0" xfId="0" applyNumberFormat="1" applyFont="1" applyFill="1" applyBorder="1" applyAlignment="1">
      <alignment horizontal="left" vertical="center" readingOrder="1"/>
    </xf>
    <xf numFmtId="0" fontId="81" fillId="0" borderId="0" xfId="9" applyFont="1" applyFill="1" applyBorder="1" applyAlignment="1">
      <alignment horizontal="right"/>
    </xf>
    <xf numFmtId="0" fontId="20" fillId="0" borderId="0" xfId="0" applyFont="1" applyFill="1" applyAlignment="1">
      <alignment horizontal="left" vertical="center" readingOrder="1"/>
    </xf>
    <xf numFmtId="1" fontId="28" fillId="0" borderId="21" xfId="0" applyNumberFormat="1" applyFont="1" applyFill="1" applyBorder="1"/>
    <xf numFmtId="0" fontId="0" fillId="0" borderId="0" xfId="0" applyFill="1" applyBorder="1"/>
    <xf numFmtId="168" fontId="20" fillId="0" borderId="0" xfId="0" applyNumberFormat="1" applyFont="1" applyFill="1" applyAlignment="1">
      <alignment horizontal="left" vertical="center" readingOrder="1"/>
    </xf>
    <xf numFmtId="0" fontId="61" fillId="0" borderId="0" xfId="0" pivotButton="1" applyFont="1"/>
    <xf numFmtId="0" fontId="73" fillId="40" borderId="0" xfId="0" applyFont="1" applyFill="1" applyAlignment="1">
      <alignment wrapText="1"/>
    </xf>
    <xf numFmtId="164" fontId="61" fillId="0" borderId="0" xfId="0" applyNumberFormat="1" applyFont="1" applyFill="1"/>
    <xf numFmtId="1" fontId="91" fillId="19" borderId="0" xfId="0" applyNumberFormat="1" applyFont="1" applyFill="1" applyBorder="1" applyAlignment="1">
      <alignment vertical="top" wrapText="1"/>
    </xf>
    <xf numFmtId="0" fontId="12" fillId="0" borderId="0" xfId="0" pivotButton="1" applyFont="1"/>
    <xf numFmtId="0" fontId="12" fillId="0" borderId="0" xfId="0" pivotButton="1" applyFont="1" applyAlignment="1">
      <alignment wrapText="1"/>
    </xf>
    <xf numFmtId="0" fontId="120" fillId="40" borderId="0" xfId="0" applyFont="1" applyFill="1" applyAlignment="1"/>
    <xf numFmtId="0" fontId="77" fillId="0" borderId="0" xfId="0" applyFont="1"/>
    <xf numFmtId="0" fontId="30" fillId="8" borderId="72" xfId="0" applyFont="1" applyFill="1" applyBorder="1" applyAlignment="1">
      <alignment horizontal="center" vertical="center" wrapText="1"/>
    </xf>
    <xf numFmtId="164" fontId="76" fillId="0" borderId="50" xfId="4" applyNumberFormat="1" applyFont="1" applyBorder="1"/>
    <xf numFmtId="0" fontId="86" fillId="0" borderId="0" xfId="0" applyFont="1" applyFill="1" applyAlignment="1">
      <alignment vertical="center"/>
    </xf>
    <xf numFmtId="0" fontId="28" fillId="9" borderId="0" xfId="0" applyFont="1" applyFill="1"/>
    <xf numFmtId="0" fontId="66" fillId="0" borderId="0" xfId="0" applyFont="1" applyFill="1"/>
    <xf numFmtId="0" fontId="66" fillId="0" borderId="0" xfId="0" applyNumberFormat="1" applyFont="1" applyFill="1" applyBorder="1"/>
    <xf numFmtId="0" fontId="66" fillId="0" borderId="0" xfId="0" applyFont="1" applyFill="1" applyBorder="1"/>
    <xf numFmtId="0" fontId="73" fillId="40" borderId="0" xfId="0" applyFont="1" applyFill="1" applyAlignment="1"/>
    <xf numFmtId="1" fontId="80" fillId="0" borderId="0" xfId="0" applyNumberFormat="1" applyFont="1" applyFill="1" applyBorder="1"/>
    <xf numFmtId="0" fontId="80" fillId="0" borderId="0" xfId="0" applyNumberFormat="1" applyFont="1" applyFill="1" applyBorder="1" applyAlignment="1">
      <alignment wrapText="1" readingOrder="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74" fillId="0" borderId="0" xfId="0" applyFont="1" applyAlignment="1">
      <alignment wrapText="1"/>
    </xf>
    <xf numFmtId="0" fontId="12" fillId="0" borderId="0" xfId="0" applyFont="1" applyAlignment="1">
      <alignment horizontal="center" vertical="center" wrapText="1"/>
    </xf>
    <xf numFmtId="0" fontId="25" fillId="0" borderId="37" xfId="0" applyFont="1" applyBorder="1" applyAlignment="1">
      <alignment horizontal="center" vertical="center" wrapText="1"/>
    </xf>
    <xf numFmtId="0" fontId="74" fillId="0" borderId="0" xfId="0" applyFont="1" applyAlignment="1">
      <alignment horizontal="center" vertical="center" wrapText="1"/>
    </xf>
    <xf numFmtId="1" fontId="122" fillId="0" borderId="0" xfId="0" applyNumberFormat="1" applyFont="1" applyFill="1"/>
    <xf numFmtId="0" fontId="122" fillId="0" borderId="26" xfId="0" applyNumberFormat="1" applyFont="1" applyFill="1" applyBorder="1"/>
    <xf numFmtId="0" fontId="122" fillId="0" borderId="0" xfId="0" applyFont="1" applyFill="1"/>
    <xf numFmtId="0" fontId="122" fillId="0" borderId="0" xfId="0" applyNumberFormat="1" applyFont="1" applyFill="1" applyAlignment="1">
      <alignment wrapText="1" readingOrder="1"/>
    </xf>
    <xf numFmtId="165" fontId="122" fillId="0" borderId="0" xfId="0" applyNumberFormat="1" applyFont="1" applyFill="1"/>
    <xf numFmtId="165" fontId="122" fillId="0" borderId="0" xfId="0" applyNumberFormat="1" applyFont="1" applyFill="1" applyAlignment="1">
      <alignment wrapText="1" readingOrder="1"/>
    </xf>
    <xf numFmtId="0" fontId="122" fillId="0" borderId="0" xfId="0" applyFont="1" applyFill="1" applyAlignment="1">
      <alignment wrapText="1" readingOrder="1"/>
    </xf>
    <xf numFmtId="14" fontId="20" fillId="3" borderId="0" xfId="0" applyNumberFormat="1" applyFont="1" applyFill="1" applyBorder="1" applyAlignment="1">
      <alignment horizontal="left" vertical="center" readingOrder="1"/>
    </xf>
    <xf numFmtId="1" fontId="122" fillId="0" borderId="27" xfId="0" applyNumberFormat="1" applyFont="1" applyFill="1" applyBorder="1"/>
    <xf numFmtId="1" fontId="28" fillId="0" borderId="26" xfId="0" applyNumberFormat="1" applyFont="1" applyFill="1" applyBorder="1"/>
    <xf numFmtId="1" fontId="122" fillId="0" borderId="0" xfId="0" applyNumberFormat="1" applyFont="1" applyFill="1" applyBorder="1"/>
    <xf numFmtId="0" fontId="122" fillId="0" borderId="0" xfId="0" applyFont="1" applyFill="1" applyBorder="1"/>
    <xf numFmtId="0" fontId="122" fillId="0" borderId="0" xfId="0" applyNumberFormat="1" applyFont="1" applyFill="1" applyBorder="1" applyAlignment="1">
      <alignment wrapText="1" readingOrder="1"/>
    </xf>
    <xf numFmtId="1" fontId="38" fillId="9" borderId="0" xfId="0" applyNumberFormat="1" applyFont="1" applyFill="1" applyBorder="1" applyAlignment="1">
      <alignment horizontal="center" vertical="center" wrapText="1"/>
    </xf>
    <xf numFmtId="0" fontId="10" fillId="0" borderId="0" xfId="0" applyFont="1"/>
    <xf numFmtId="166" fontId="9" fillId="20" borderId="0" xfId="8" applyFont="1" applyFill="1" applyBorder="1"/>
    <xf numFmtId="0" fontId="72" fillId="0" borderId="0" xfId="0" applyFont="1" applyFill="1" applyAlignment="1">
      <alignment vertical="center"/>
    </xf>
    <xf numFmtId="0" fontId="123" fillId="0" borderId="0" xfId="0" applyFont="1" applyAlignment="1">
      <alignment horizontal="left"/>
    </xf>
    <xf numFmtId="9" fontId="123" fillId="0" borderId="0" xfId="0" applyNumberFormat="1" applyFont="1"/>
    <xf numFmtId="0" fontId="8" fillId="0" borderId="0" xfId="0" applyFont="1"/>
    <xf numFmtId="0" fontId="8" fillId="0" borderId="0" xfId="0" applyFont="1" applyAlignment="1">
      <alignment horizontal="left"/>
    </xf>
    <xf numFmtId="9" fontId="8" fillId="0" borderId="0" xfId="0" applyNumberFormat="1" applyFont="1"/>
    <xf numFmtId="0" fontId="7" fillId="14" borderId="0" xfId="0" applyFont="1" applyFill="1" applyAlignment="1">
      <alignment horizontal="left"/>
    </xf>
    <xf numFmtId="0" fontId="72" fillId="0" borderId="0" xfId="0" applyFont="1" applyFill="1"/>
    <xf numFmtId="0" fontId="73" fillId="0" borderId="0" xfId="0" applyFont="1" applyFill="1"/>
    <xf numFmtId="0" fontId="7" fillId="0" borderId="0" xfId="0" applyFont="1" applyFill="1" applyAlignment="1">
      <alignment horizontal="left"/>
    </xf>
    <xf numFmtId="0" fontId="0" fillId="0" borderId="0" xfId="0" applyNumberFormat="1"/>
    <xf numFmtId="0" fontId="0" fillId="0" borderId="0" xfId="0"/>
    <xf numFmtId="14" fontId="20" fillId="3" borderId="2" xfId="0" applyNumberFormat="1" applyFont="1" applyFill="1" applyBorder="1" applyAlignment="1">
      <alignment horizontal="left" vertical="center" readingOrder="1"/>
    </xf>
    <xf numFmtId="0" fontId="31" fillId="0" borderId="0" xfId="0" applyFont="1" applyFill="1" applyAlignment="1"/>
    <xf numFmtId="1" fontId="31" fillId="0" borderId="0" xfId="0" applyNumberFormat="1" applyFont="1" applyFill="1" applyAlignment="1"/>
    <xf numFmtId="0" fontId="31" fillId="0" borderId="0" xfId="1" applyNumberFormat="1" applyFont="1" applyFill="1" applyAlignment="1"/>
    <xf numFmtId="0" fontId="31" fillId="0" borderId="0" xfId="0" applyNumberFormat="1" applyFont="1" applyFill="1" applyAlignment="1"/>
    <xf numFmtId="9" fontId="20" fillId="0" borderId="0" xfId="0" applyNumberFormat="1" applyFont="1" applyFill="1" applyAlignment="1">
      <alignment horizontal="left" vertical="center" readingOrder="1"/>
    </xf>
    <xf numFmtId="9" fontId="20" fillId="0" borderId="0" xfId="1" applyFont="1" applyFill="1" applyAlignment="1">
      <alignment horizontal="left" vertical="center" readingOrder="1"/>
    </xf>
    <xf numFmtId="1" fontId="20" fillId="0" borderId="0" xfId="1" applyNumberFormat="1" applyFont="1" applyFill="1" applyAlignment="1">
      <alignment horizontal="left" vertical="center" readingOrder="1"/>
    </xf>
    <xf numFmtId="9" fontId="20" fillId="0" borderId="0" xfId="1" applyNumberFormat="1" applyFont="1" applyFill="1" applyAlignment="1">
      <alignment horizontal="left" vertical="center" readingOrder="1"/>
    </xf>
    <xf numFmtId="0" fontId="20" fillId="0" borderId="0" xfId="1" applyNumberFormat="1" applyFont="1" applyFill="1" applyAlignment="1">
      <alignment horizontal="left" vertical="center" readingOrder="1"/>
    </xf>
    <xf numFmtId="0" fontId="0" fillId="0" borderId="0" xfId="0" pivotButton="1"/>
    <xf numFmtId="0" fontId="28" fillId="0" borderId="0" xfId="0" applyFont="1" applyFill="1"/>
    <xf numFmtId="1" fontId="20" fillId="0" borderId="0" xfId="0" applyNumberFormat="1" applyFont="1" applyFill="1" applyAlignment="1">
      <alignment horizontal="left" vertical="center" readingOrder="1"/>
    </xf>
    <xf numFmtId="0" fontId="28" fillId="0" borderId="0" xfId="0" applyFont="1" applyFill="1" applyBorder="1"/>
    <xf numFmtId="0" fontId="66" fillId="0" borderId="0" xfId="0" applyNumberFormat="1" applyFont="1" applyFill="1"/>
    <xf numFmtId="0" fontId="28" fillId="0" borderId="0" xfId="0" applyNumberFormat="1" applyFont="1" applyFill="1"/>
    <xf numFmtId="1" fontId="28" fillId="0" borderId="0" xfId="0" applyNumberFormat="1" applyFont="1" applyFill="1"/>
    <xf numFmtId="0" fontId="28" fillId="0" borderId="0" xfId="0" applyFont="1" applyFill="1" applyAlignment="1">
      <alignment wrapText="1" readingOrder="1"/>
    </xf>
    <xf numFmtId="0" fontId="28" fillId="0" borderId="16" xfId="0" applyFont="1" applyFill="1" applyBorder="1"/>
    <xf numFmtId="0" fontId="28" fillId="0" borderId="0" xfId="0" applyNumberFormat="1" applyFont="1" applyFill="1" applyBorder="1"/>
    <xf numFmtId="1" fontId="28" fillId="0" borderId="0" xfId="0" applyNumberFormat="1" applyFont="1" applyFill="1" applyBorder="1"/>
    <xf numFmtId="0" fontId="28" fillId="0" borderId="0" xfId="0" applyFont="1" applyFill="1" applyBorder="1" applyAlignment="1">
      <alignment wrapText="1" readingOrder="1"/>
    </xf>
    <xf numFmtId="0" fontId="0" fillId="0" borderId="0" xfId="0" applyFill="1"/>
    <xf numFmtId="0" fontId="28" fillId="0" borderId="0" xfId="0" applyNumberFormat="1" applyFont="1" applyFill="1" applyAlignment="1">
      <alignment wrapText="1" readingOrder="1"/>
    </xf>
    <xf numFmtId="0" fontId="28" fillId="0" borderId="0" xfId="0" applyNumberFormat="1" applyFont="1" applyFill="1" applyBorder="1" applyAlignment="1">
      <alignment wrapText="1" readingOrder="1"/>
    </xf>
    <xf numFmtId="0" fontId="43" fillId="0" borderId="0" xfId="0" applyFont="1" applyFill="1" applyBorder="1" applyAlignment="1">
      <alignment horizontal="left" vertical="center" readingOrder="1"/>
    </xf>
    <xf numFmtId="0" fontId="43" fillId="0" borderId="0" xfId="0" applyNumberFormat="1" applyFont="1" applyFill="1" applyBorder="1" applyAlignment="1">
      <alignment horizontal="left" vertical="center" readingOrder="1"/>
    </xf>
    <xf numFmtId="0" fontId="44" fillId="0" borderId="0" xfId="9" applyFont="1" applyFill="1" applyAlignment="1"/>
    <xf numFmtId="0" fontId="28" fillId="0" borderId="21" xfId="0" applyFont="1" applyFill="1" applyBorder="1"/>
    <xf numFmtId="0" fontId="28" fillId="0" borderId="20" xfId="0" applyFont="1" applyFill="1" applyBorder="1"/>
    <xf numFmtId="0" fontId="28" fillId="0" borderId="20" xfId="0" applyNumberFormat="1" applyFont="1" applyFill="1" applyBorder="1"/>
    <xf numFmtId="1" fontId="28" fillId="0" borderId="20" xfId="0" applyNumberFormat="1" applyFont="1" applyFill="1" applyBorder="1"/>
    <xf numFmtId="0" fontId="28" fillId="0" borderId="27" xfId="0" applyFont="1" applyFill="1" applyBorder="1"/>
    <xf numFmtId="0" fontId="28" fillId="0" borderId="26" xfId="0" applyFont="1" applyFill="1" applyBorder="1"/>
    <xf numFmtId="0" fontId="20" fillId="0" borderId="0" xfId="0" applyNumberFormat="1" applyFont="1" applyFill="1" applyAlignment="1">
      <alignment horizontal="left" vertical="center" readingOrder="1"/>
    </xf>
    <xf numFmtId="165" fontId="28" fillId="0" borderId="0" xfId="0" applyNumberFormat="1" applyFont="1" applyFill="1"/>
    <xf numFmtId="165" fontId="28" fillId="0" borderId="0" xfId="0" applyNumberFormat="1" applyFont="1" applyFill="1" applyBorder="1"/>
    <xf numFmtId="165" fontId="43" fillId="0" borderId="0" xfId="0" applyNumberFormat="1" applyFont="1" applyFill="1" applyBorder="1" applyAlignment="1">
      <alignment horizontal="left" vertical="center" wrapText="1" readingOrder="1"/>
    </xf>
    <xf numFmtId="0" fontId="28" fillId="0" borderId="51" xfId="0" applyFont="1" applyFill="1" applyBorder="1"/>
    <xf numFmtId="0" fontId="81" fillId="0" borderId="0" xfId="9" applyFont="1" applyAlignment="1"/>
    <xf numFmtId="0" fontId="43" fillId="0" borderId="26" xfId="0" applyFont="1" applyFill="1" applyBorder="1" applyAlignment="1">
      <alignment horizontal="left" vertical="center" readingOrder="1"/>
    </xf>
    <xf numFmtId="0" fontId="81" fillId="0" borderId="0" xfId="9" applyFont="1" applyFill="1" applyBorder="1" applyAlignment="1"/>
    <xf numFmtId="0" fontId="28" fillId="0" borderId="0" xfId="0" applyFont="1" applyBorder="1"/>
    <xf numFmtId="0" fontId="28" fillId="0" borderId="26" xfId="0" applyNumberFormat="1" applyFont="1" applyFill="1" applyBorder="1"/>
    <xf numFmtId="1" fontId="28" fillId="0" borderId="27" xfId="0" applyNumberFormat="1" applyFont="1" applyFill="1" applyBorder="1"/>
    <xf numFmtId="49" fontId="86" fillId="0" borderId="0" xfId="0" applyNumberFormat="1" applyFont="1" applyFill="1" applyBorder="1" applyAlignment="1">
      <alignment horizontal="left" vertical="center"/>
    </xf>
    <xf numFmtId="0" fontId="86" fillId="0" borderId="0" xfId="0" applyFont="1" applyFill="1" applyBorder="1" applyAlignment="1">
      <alignment horizontal="left" vertical="center"/>
    </xf>
    <xf numFmtId="49" fontId="86" fillId="0" borderId="0" xfId="21" applyNumberFormat="1" applyFont="1" applyFill="1" applyBorder="1" applyAlignment="1">
      <alignment horizontal="left" vertical="center"/>
    </xf>
    <xf numFmtId="0" fontId="28" fillId="0" borderId="26" xfId="0" applyFont="1" applyFill="1" applyBorder="1" applyAlignment="1"/>
    <xf numFmtId="0" fontId="28" fillId="0" borderId="0" xfId="0" applyFont="1" applyFill="1" applyAlignment="1"/>
    <xf numFmtId="165" fontId="28" fillId="0" borderId="0" xfId="0" applyNumberFormat="1" applyFont="1" applyFill="1" applyAlignment="1"/>
    <xf numFmtId="0" fontId="28" fillId="0" borderId="0" xfId="0" applyFont="1" applyFill="1" applyAlignment="1">
      <alignment readingOrder="1"/>
    </xf>
    <xf numFmtId="0" fontId="81" fillId="0" borderId="0" xfId="9" applyFont="1" applyFill="1" applyBorder="1" applyAlignment="1">
      <alignment horizontal="right"/>
    </xf>
    <xf numFmtId="164" fontId="20" fillId="0" borderId="0" xfId="4" applyNumberFormat="1" applyFont="1" applyFill="1" applyAlignment="1">
      <alignment horizontal="left" vertical="center" readingOrder="1"/>
    </xf>
    <xf numFmtId="165" fontId="28" fillId="0" borderId="0" xfId="0" applyNumberFormat="1" applyFont="1" applyFill="1" applyAlignment="1">
      <alignment wrapText="1" readingOrder="1"/>
    </xf>
    <xf numFmtId="0" fontId="30" fillId="8" borderId="72" xfId="0" applyFont="1" applyFill="1" applyBorder="1" applyAlignment="1">
      <alignment horizontal="center" vertical="center" wrapText="1"/>
    </xf>
    <xf numFmtId="1" fontId="124" fillId="0" borderId="0" xfId="0" applyNumberFormat="1" applyFont="1" applyFill="1"/>
    <xf numFmtId="0" fontId="124" fillId="0" borderId="26" xfId="0" applyNumberFormat="1" applyFont="1" applyFill="1" applyBorder="1"/>
    <xf numFmtId="1" fontId="124" fillId="0" borderId="26" xfId="0" applyNumberFormat="1" applyFont="1" applyFill="1" applyBorder="1"/>
    <xf numFmtId="0" fontId="124" fillId="0" borderId="0" xfId="0" applyFont="1" applyFill="1"/>
    <xf numFmtId="0" fontId="124" fillId="0" borderId="0" xfId="0" applyNumberFormat="1" applyFont="1" applyFill="1" applyAlignment="1">
      <alignment wrapText="1" readingOrder="1"/>
    </xf>
    <xf numFmtId="165" fontId="124" fillId="0" borderId="0" xfId="0" applyNumberFormat="1" applyFont="1" applyFill="1"/>
    <xf numFmtId="0" fontId="27" fillId="18" borderId="61" xfId="19" applyFont="1" applyFill="1" applyBorder="1" applyAlignment="1">
      <alignment horizontal="left" vertical="center" wrapText="1"/>
    </xf>
    <xf numFmtId="0" fontId="27" fillId="11" borderId="61" xfId="19" applyFont="1" applyFill="1" applyBorder="1" applyAlignment="1">
      <alignment horizontal="left" vertical="center" wrapText="1"/>
    </xf>
    <xf numFmtId="9" fontId="27" fillId="34" borderId="64" xfId="19" applyNumberFormat="1" applyFont="1" applyFill="1" applyBorder="1" applyAlignment="1">
      <alignment horizontal="left" vertical="center" wrapText="1" readingOrder="1"/>
    </xf>
    <xf numFmtId="0" fontId="29" fillId="16" borderId="61" xfId="22" applyNumberFormat="1" applyFont="1" applyFill="1" applyBorder="1" applyAlignment="1">
      <alignment horizontal="left" vertical="center" indent="1" readingOrder="1"/>
    </xf>
    <xf numFmtId="0" fontId="126" fillId="0" borderId="0" xfId="22" applyFont="1" applyAlignment="1">
      <alignment horizontal="left" vertical="center"/>
    </xf>
    <xf numFmtId="0" fontId="126" fillId="43" borderId="61" xfId="22" applyFont="1" applyFill="1" applyBorder="1" applyAlignment="1">
      <alignment horizontal="left" vertical="center"/>
    </xf>
    <xf numFmtId="0" fontId="126" fillId="43" borderId="64" xfId="22" applyFont="1" applyFill="1" applyBorder="1" applyAlignment="1">
      <alignment horizontal="left" vertical="center"/>
    </xf>
    <xf numFmtId="0" fontId="115" fillId="38" borderId="61" xfId="22" applyNumberFormat="1" applyFont="1" applyFill="1" applyBorder="1" applyAlignment="1">
      <alignment horizontal="center" vertical="center" readingOrder="1"/>
    </xf>
    <xf numFmtId="0" fontId="115" fillId="9" borderId="61" xfId="22" applyNumberFormat="1" applyFont="1" applyFill="1" applyBorder="1" applyAlignment="1">
      <alignment horizontal="center" vertical="center" readingOrder="1"/>
    </xf>
    <xf numFmtId="0" fontId="115" fillId="16" borderId="61" xfId="22" applyNumberFormat="1" applyFont="1" applyFill="1" applyBorder="1" applyAlignment="1">
      <alignment horizontal="center" vertical="center" readingOrder="1"/>
    </xf>
    <xf numFmtId="0" fontId="115" fillId="14" borderId="61" xfId="22" applyNumberFormat="1" applyFont="1" applyFill="1" applyBorder="1" applyAlignment="1">
      <alignment horizontal="center" vertical="center" readingOrder="1"/>
    </xf>
    <xf numFmtId="1" fontId="36" fillId="9" borderId="72" xfId="1" applyNumberFormat="1" applyFont="1" applyFill="1" applyBorder="1" applyAlignment="1">
      <alignment horizontal="center" vertical="center"/>
    </xf>
    <xf numFmtId="1" fontId="30" fillId="9" borderId="72" xfId="0" applyNumberFormat="1" applyFont="1" applyFill="1" applyBorder="1" applyAlignment="1">
      <alignment horizontal="center" vertical="center" wrapText="1"/>
    </xf>
    <xf numFmtId="9" fontId="30" fillId="9" borderId="78" xfId="1" applyFont="1" applyFill="1" applyBorder="1" applyAlignment="1">
      <alignment horizontal="center" vertical="center" wrapText="1"/>
    </xf>
    <xf numFmtId="9" fontId="30" fillId="9" borderId="92" xfId="1" applyFont="1" applyFill="1" applyBorder="1" applyAlignment="1">
      <alignment horizontal="center" vertical="center" wrapText="1"/>
    </xf>
    <xf numFmtId="1" fontId="30" fillId="9" borderId="73" xfId="0" applyNumberFormat="1" applyFont="1" applyFill="1" applyBorder="1" applyAlignment="1">
      <alignment horizontal="center" vertical="center" wrapText="1"/>
    </xf>
    <xf numFmtId="0" fontId="29" fillId="22" borderId="2" xfId="0" applyNumberFormat="1" applyFont="1" applyFill="1" applyBorder="1" applyAlignment="1">
      <alignment horizontal="center" vertical="center" readingOrder="1"/>
    </xf>
    <xf numFmtId="0" fontId="31" fillId="0" borderId="0" xfId="0" applyFont="1" applyAlignment="1">
      <alignment horizontal="center"/>
    </xf>
    <xf numFmtId="49" fontId="20" fillId="0" borderId="0" xfId="4" applyNumberFormat="1" applyFont="1" applyFill="1" applyAlignment="1">
      <alignment horizontal="left" vertical="center" readingOrder="1"/>
    </xf>
    <xf numFmtId="0" fontId="19" fillId="14" borderId="95" xfId="22" applyNumberFormat="1" applyFont="1" applyFill="1" applyBorder="1" applyAlignment="1">
      <alignment horizontal="center" vertical="center" wrapText="1"/>
    </xf>
    <xf numFmtId="0" fontId="19" fillId="38" borderId="62" xfId="22" applyNumberFormat="1" applyFont="1" applyFill="1" applyBorder="1" applyAlignment="1">
      <alignment horizontal="center" vertical="center"/>
    </xf>
    <xf numFmtId="0" fontId="19" fillId="9" borderId="62" xfId="22" applyNumberFormat="1" applyFont="1" applyFill="1" applyBorder="1" applyAlignment="1">
      <alignment horizontal="center" vertical="center" wrapText="1"/>
    </xf>
    <xf numFmtId="9" fontId="126" fillId="16" borderId="95" xfId="19" applyNumberFormat="1" applyFont="1" applyFill="1" applyBorder="1" applyAlignment="1">
      <alignment horizontal="center" vertical="center" wrapText="1" readingOrder="1"/>
    </xf>
    <xf numFmtId="49" fontId="27" fillId="7" borderId="61" xfId="19" applyNumberFormat="1" applyFont="1" applyFill="1" applyBorder="1" applyAlignment="1">
      <alignment horizontal="left" vertical="center" wrapText="1" readingOrder="1"/>
    </xf>
    <xf numFmtId="164" fontId="79" fillId="14" borderId="72" xfId="4" applyNumberFormat="1" applyFont="1" applyFill="1" applyBorder="1" applyAlignment="1">
      <alignment vertical="center" wrapText="1"/>
    </xf>
    <xf numFmtId="164" fontId="79" fillId="14" borderId="72" xfId="4" applyNumberFormat="1" applyFont="1" applyFill="1" applyBorder="1" applyAlignment="1">
      <alignment vertical="center"/>
    </xf>
    <xf numFmtId="164" fontId="61" fillId="10" borderId="31" xfId="4" applyNumberFormat="1" applyFont="1" applyFill="1" applyBorder="1" applyAlignment="1">
      <alignment vertical="center" wrapText="1"/>
    </xf>
    <xf numFmtId="164" fontId="61" fillId="10" borderId="31" xfId="4" applyNumberFormat="1" applyFont="1" applyFill="1" applyBorder="1" applyAlignment="1">
      <alignment vertical="center"/>
    </xf>
    <xf numFmtId="164" fontId="61" fillId="10" borderId="36" xfId="4" applyNumberFormat="1" applyFont="1" applyFill="1" applyBorder="1" applyAlignment="1">
      <alignment vertical="center"/>
    </xf>
    <xf numFmtId="9" fontId="61" fillId="10" borderId="36" xfId="1" applyFont="1" applyFill="1" applyBorder="1" applyAlignment="1">
      <alignment vertical="center"/>
    </xf>
    <xf numFmtId="164" fontId="61" fillId="10" borderId="35" xfId="4" applyNumberFormat="1" applyFont="1" applyFill="1" applyBorder="1" applyAlignment="1">
      <alignment vertical="center"/>
    </xf>
    <xf numFmtId="164" fontId="61" fillId="10" borderId="100" xfId="4" applyNumberFormat="1" applyFont="1" applyFill="1" applyBorder="1" applyAlignment="1">
      <alignment vertical="center" wrapText="1"/>
    </xf>
    <xf numFmtId="164" fontId="61" fillId="10" borderId="100" xfId="4" applyNumberFormat="1" applyFont="1" applyFill="1" applyBorder="1" applyAlignment="1">
      <alignment vertical="center"/>
    </xf>
    <xf numFmtId="164" fontId="61" fillId="10" borderId="101" xfId="4" applyNumberFormat="1" applyFont="1" applyFill="1" applyBorder="1" applyAlignment="1">
      <alignment vertical="center"/>
    </xf>
    <xf numFmtId="9" fontId="61" fillId="10" borderId="101" xfId="1" applyFont="1" applyFill="1" applyBorder="1" applyAlignment="1">
      <alignment vertical="center"/>
    </xf>
    <xf numFmtId="164" fontId="61" fillId="10" borderId="96" xfId="4" applyNumberFormat="1" applyFont="1" applyFill="1" applyBorder="1" applyAlignment="1">
      <alignment vertical="center"/>
    </xf>
    <xf numFmtId="164" fontId="61" fillId="7" borderId="102" xfId="4" applyNumberFormat="1" applyFont="1" applyFill="1" applyBorder="1" applyAlignment="1">
      <alignment vertical="center" wrapText="1"/>
    </xf>
    <xf numFmtId="164" fontId="61" fillId="7" borderId="102" xfId="4" applyNumberFormat="1" applyFont="1" applyFill="1" applyBorder="1" applyAlignment="1">
      <alignment vertical="center"/>
    </xf>
    <xf numFmtId="164" fontId="119" fillId="7" borderId="103" xfId="4" applyNumberFormat="1" applyFont="1" applyFill="1" applyBorder="1" applyAlignment="1">
      <alignment vertical="center"/>
    </xf>
    <xf numFmtId="9" fontId="61" fillId="7" borderId="103" xfId="1" applyFont="1" applyFill="1" applyBorder="1" applyAlignment="1">
      <alignment vertical="center"/>
    </xf>
    <xf numFmtId="164" fontId="61" fillId="7" borderId="97" xfId="4" applyNumberFormat="1" applyFont="1" applyFill="1" applyBorder="1" applyAlignment="1">
      <alignment vertical="center"/>
    </xf>
    <xf numFmtId="164" fontId="61" fillId="7" borderId="103" xfId="4" applyNumberFormat="1" applyFont="1" applyFill="1" applyBorder="1" applyAlignment="1">
      <alignment vertical="center"/>
    </xf>
    <xf numFmtId="164" fontId="61" fillId="7" borderId="31" xfId="4" applyNumberFormat="1" applyFont="1" applyFill="1" applyBorder="1" applyAlignment="1">
      <alignment vertical="center" wrapText="1"/>
    </xf>
    <xf numFmtId="164" fontId="61" fillId="7" borderId="31" xfId="4" applyNumberFormat="1" applyFont="1" applyFill="1" applyBorder="1" applyAlignment="1">
      <alignment vertical="center"/>
    </xf>
    <xf numFmtId="164" fontId="119" fillId="7" borderId="36" xfId="4" applyNumberFormat="1" applyFont="1" applyFill="1" applyBorder="1" applyAlignment="1">
      <alignment vertical="center"/>
    </xf>
    <xf numFmtId="9" fontId="61" fillId="7" borderId="36" xfId="1" applyFont="1" applyFill="1" applyBorder="1" applyAlignment="1">
      <alignment vertical="center"/>
    </xf>
    <xf numFmtId="164" fontId="61" fillId="7" borderId="35" xfId="4" applyNumberFormat="1" applyFont="1" applyFill="1" applyBorder="1" applyAlignment="1">
      <alignment vertical="center"/>
    </xf>
    <xf numFmtId="164" fontId="61" fillId="7" borderId="36" xfId="4" applyNumberFormat="1" applyFont="1" applyFill="1" applyBorder="1" applyAlignment="1">
      <alignment vertical="center"/>
    </xf>
    <xf numFmtId="164" fontId="61" fillId="11" borderId="31" xfId="4" applyNumberFormat="1" applyFont="1" applyFill="1" applyBorder="1" applyAlignment="1">
      <alignment vertical="center" wrapText="1"/>
    </xf>
    <xf numFmtId="164" fontId="61" fillId="11" borderId="31" xfId="4" applyNumberFormat="1" applyFont="1" applyFill="1" applyBorder="1" applyAlignment="1">
      <alignment vertical="center"/>
    </xf>
    <xf numFmtId="164" fontId="119" fillId="11" borderId="36" xfId="4" applyNumberFormat="1" applyFont="1" applyFill="1" applyBorder="1" applyAlignment="1">
      <alignment vertical="center"/>
    </xf>
    <xf numFmtId="9" fontId="61" fillId="11" borderId="36" xfId="1" applyFont="1" applyFill="1" applyBorder="1" applyAlignment="1">
      <alignment vertical="center"/>
    </xf>
    <xf numFmtId="164" fontId="61" fillId="11" borderId="35" xfId="4" applyNumberFormat="1" applyFont="1" applyFill="1" applyBorder="1" applyAlignment="1">
      <alignment vertical="center"/>
    </xf>
    <xf numFmtId="164" fontId="61" fillId="11" borderId="36" xfId="4" applyNumberFormat="1" applyFont="1" applyFill="1" applyBorder="1" applyAlignment="1">
      <alignment vertical="center"/>
    </xf>
    <xf numFmtId="164" fontId="119" fillId="12" borderId="31" xfId="4" applyNumberFormat="1" applyFont="1" applyFill="1" applyBorder="1" applyAlignment="1">
      <alignment vertical="center" wrapText="1"/>
    </xf>
    <xf numFmtId="164" fontId="119" fillId="12" borderId="31" xfId="4" applyNumberFormat="1" applyFont="1" applyFill="1" applyBorder="1" applyAlignment="1">
      <alignment vertical="center"/>
    </xf>
    <xf numFmtId="164" fontId="119" fillId="12" borderId="36" xfId="4" applyNumberFormat="1" applyFont="1" applyFill="1" applyBorder="1" applyAlignment="1">
      <alignment vertical="center"/>
    </xf>
    <xf numFmtId="9" fontId="119" fillId="12" borderId="36" xfId="1" applyFont="1" applyFill="1" applyBorder="1" applyAlignment="1">
      <alignment vertical="center"/>
    </xf>
    <xf numFmtId="164" fontId="119" fillId="12" borderId="35" xfId="4" applyNumberFormat="1" applyFont="1" applyFill="1" applyBorder="1" applyAlignment="1">
      <alignment vertical="center"/>
    </xf>
    <xf numFmtId="164" fontId="79" fillId="8" borderId="31" xfId="4" applyNumberFormat="1" applyFont="1" applyFill="1" applyBorder="1" applyAlignment="1">
      <alignment vertical="center" wrapText="1"/>
    </xf>
    <xf numFmtId="164" fontId="79" fillId="8" borderId="31" xfId="4" applyNumberFormat="1" applyFont="1" applyFill="1" applyBorder="1" applyAlignment="1">
      <alignment vertical="center"/>
    </xf>
    <xf numFmtId="9" fontId="79" fillId="8" borderId="36" xfId="1" applyFont="1" applyFill="1" applyBorder="1" applyAlignment="1">
      <alignment vertical="center"/>
    </xf>
    <xf numFmtId="164" fontId="79" fillId="8" borderId="35" xfId="4" applyNumberFormat="1" applyFont="1" applyFill="1" applyBorder="1" applyAlignment="1">
      <alignment vertical="center"/>
    </xf>
    <xf numFmtId="164" fontId="79" fillId="8" borderId="36" xfId="4" applyNumberFormat="1" applyFont="1" applyFill="1" applyBorder="1" applyAlignment="1">
      <alignment vertical="center"/>
    </xf>
    <xf numFmtId="164" fontId="79" fillId="36" borderId="31" xfId="4" applyNumberFormat="1" applyFont="1" applyFill="1" applyBorder="1" applyAlignment="1">
      <alignment vertical="center" wrapText="1"/>
    </xf>
    <xf numFmtId="9" fontId="67" fillId="36" borderId="36" xfId="1" applyFont="1" applyFill="1" applyBorder="1" applyAlignment="1">
      <alignment vertical="center"/>
    </xf>
    <xf numFmtId="164" fontId="67" fillId="36" borderId="35" xfId="4" applyNumberFormat="1" applyFont="1" applyFill="1" applyBorder="1" applyAlignment="1">
      <alignment vertical="center"/>
    </xf>
    <xf numFmtId="164" fontId="67" fillId="36" borderId="31" xfId="4" applyNumberFormat="1" applyFont="1" applyFill="1" applyBorder="1" applyAlignment="1">
      <alignment vertical="center"/>
    </xf>
    <xf numFmtId="164" fontId="67" fillId="36" borderId="36" xfId="4" applyNumberFormat="1" applyFont="1" applyFill="1" applyBorder="1" applyAlignment="1">
      <alignment vertical="center"/>
    </xf>
    <xf numFmtId="164" fontId="67" fillId="26" borderId="0" xfId="4" applyNumberFormat="1" applyFont="1" applyFill="1" applyBorder="1" applyAlignment="1">
      <alignment vertical="center" wrapText="1"/>
    </xf>
    <xf numFmtId="164" fontId="67" fillId="26" borderId="0" xfId="4" applyNumberFormat="1" applyFont="1" applyFill="1" applyBorder="1" applyAlignment="1">
      <alignment vertical="center"/>
    </xf>
    <xf numFmtId="9" fontId="67" fillId="26" borderId="0" xfId="1" applyFont="1" applyFill="1" applyBorder="1" applyAlignment="1">
      <alignment vertical="center"/>
    </xf>
    <xf numFmtId="164" fontId="61" fillId="12" borderId="31" xfId="4" applyNumberFormat="1" applyFont="1" applyFill="1" applyBorder="1" applyAlignment="1">
      <alignment vertical="center"/>
    </xf>
    <xf numFmtId="0" fontId="25" fillId="0" borderId="56" xfId="0" applyFont="1" applyFill="1" applyBorder="1" applyAlignment="1">
      <alignment vertical="center" wrapText="1"/>
    </xf>
    <xf numFmtId="0" fontId="76" fillId="0" borderId="107" xfId="0" applyFont="1" applyBorder="1"/>
    <xf numFmtId="0" fontId="76" fillId="0" borderId="106" xfId="0" applyFont="1" applyBorder="1" applyAlignment="1">
      <alignment horizontal="left"/>
    </xf>
    <xf numFmtId="164" fontId="76" fillId="0" borderId="106" xfId="0" applyNumberFormat="1" applyFont="1" applyBorder="1"/>
    <xf numFmtId="0" fontId="76" fillId="0" borderId="107" xfId="0" applyFont="1" applyBorder="1" applyAlignment="1">
      <alignment horizontal="left"/>
    </xf>
    <xf numFmtId="164" fontId="76" fillId="0" borderId="107" xfId="0" applyNumberFormat="1" applyFont="1" applyBorder="1"/>
    <xf numFmtId="0" fontId="74" fillId="0" borderId="0" xfId="0" pivotButton="1" applyFont="1"/>
    <xf numFmtId="0" fontId="6" fillId="0" borderId="0" xfId="0" applyFont="1"/>
    <xf numFmtId="164" fontId="6" fillId="0" borderId="0" xfId="0" applyNumberFormat="1" applyFont="1"/>
    <xf numFmtId="0" fontId="127" fillId="0" borderId="108" xfId="0" applyFont="1" applyBorder="1" applyAlignment="1">
      <alignment horizontal="left"/>
    </xf>
    <xf numFmtId="0" fontId="127" fillId="0" borderId="110" xfId="0" applyNumberFormat="1" applyFont="1" applyBorder="1"/>
    <xf numFmtId="0" fontId="127" fillId="0" borderId="109" xfId="0" applyFont="1" applyBorder="1" applyAlignment="1">
      <alignment horizontal="left"/>
    </xf>
    <xf numFmtId="0" fontId="127" fillId="0" borderId="111" xfId="0" applyNumberFormat="1" applyFont="1" applyBorder="1"/>
    <xf numFmtId="0" fontId="85" fillId="41" borderId="0" xfId="0" applyFont="1" applyFill="1" applyAlignment="1">
      <alignment vertical="center"/>
    </xf>
    <xf numFmtId="0" fontId="61" fillId="0" borderId="59" xfId="0" applyFont="1" applyBorder="1" applyAlignment="1">
      <alignment vertical="center" wrapText="1"/>
    </xf>
    <xf numFmtId="0" fontId="79" fillId="35" borderId="60" xfId="0" applyFont="1" applyFill="1" applyBorder="1" applyAlignment="1">
      <alignment horizontal="center" vertical="center"/>
    </xf>
    <xf numFmtId="0" fontId="79" fillId="35" borderId="60" xfId="0" applyFont="1" applyFill="1" applyBorder="1" applyAlignment="1">
      <alignment horizontal="center" vertical="center" wrapText="1"/>
    </xf>
    <xf numFmtId="0" fontId="79" fillId="35" borderId="58" xfId="0" applyFont="1" applyFill="1" applyBorder="1" applyAlignment="1">
      <alignment horizontal="center" vertical="center" wrapText="1"/>
    </xf>
    <xf numFmtId="0" fontId="61" fillId="0" borderId="53" xfId="0" applyFont="1" applyFill="1" applyBorder="1" applyAlignment="1">
      <alignment vertical="center"/>
    </xf>
    <xf numFmtId="0" fontId="61" fillId="0" borderId="30" xfId="0" applyFont="1" applyFill="1" applyBorder="1" applyAlignment="1">
      <alignment vertical="center" wrapText="1"/>
    </xf>
    <xf numFmtId="164" fontId="61" fillId="0" borderId="30" xfId="4" applyNumberFormat="1" applyFont="1" applyFill="1" applyBorder="1" applyAlignment="1">
      <alignment vertical="center"/>
    </xf>
    <xf numFmtId="9" fontId="61" fillId="0" borderId="30" xfId="0" applyNumberFormat="1" applyFont="1" applyFill="1" applyBorder="1" applyAlignment="1">
      <alignment horizontal="center" vertical="center"/>
    </xf>
    <xf numFmtId="9" fontId="61" fillId="0" borderId="54" xfId="0" applyNumberFormat="1" applyFont="1" applyFill="1" applyBorder="1" applyAlignment="1">
      <alignment horizontal="center" vertical="center"/>
    </xf>
    <xf numFmtId="0" fontId="61" fillId="0" borderId="53" xfId="0" applyFont="1" applyFill="1" applyBorder="1" applyAlignment="1">
      <alignment horizontal="left" vertical="center"/>
    </xf>
    <xf numFmtId="0" fontId="5" fillId="0" borderId="0" xfId="0" applyFont="1"/>
    <xf numFmtId="9" fontId="27" fillId="11" borderId="61" xfId="19" applyNumberFormat="1" applyFont="1" applyFill="1" applyBorder="1" applyAlignment="1">
      <alignment horizontal="left" vertical="center" wrapText="1"/>
    </xf>
    <xf numFmtId="0" fontId="19" fillId="16" borderId="0" xfId="22" applyNumberFormat="1" applyFont="1" applyFill="1" applyBorder="1" applyAlignment="1">
      <alignment horizontal="center" vertical="center"/>
    </xf>
    <xf numFmtId="1" fontId="91" fillId="19" borderId="72" xfId="0" applyNumberFormat="1" applyFont="1" applyFill="1" applyBorder="1" applyAlignment="1">
      <alignment vertical="top" wrapText="1"/>
    </xf>
    <xf numFmtId="0" fontId="28" fillId="47" borderId="0" xfId="0" applyFont="1" applyFill="1"/>
    <xf numFmtId="0" fontId="88" fillId="0" borderId="26" xfId="0" applyNumberFormat="1" applyFont="1" applyFill="1" applyBorder="1"/>
    <xf numFmtId="0" fontId="28" fillId="0" borderId="26" xfId="0" applyFont="1" applyFill="1" applyBorder="1" applyAlignment="1">
      <alignment wrapText="1"/>
    </xf>
    <xf numFmtId="1" fontId="88" fillId="0" borderId="27" xfId="0" applyNumberFormat="1" applyFont="1" applyFill="1" applyBorder="1"/>
    <xf numFmtId="0" fontId="80" fillId="0" borderId="0" xfId="0" applyFont="1" applyFill="1" applyBorder="1"/>
    <xf numFmtId="0" fontId="88" fillId="0" borderId="0" xfId="0" applyFont="1" applyFill="1" applyBorder="1"/>
    <xf numFmtId="164" fontId="62" fillId="0" borderId="56" xfId="0" applyNumberFormat="1" applyFont="1" applyFill="1" applyBorder="1" applyAlignment="1">
      <alignment vertical="center"/>
    </xf>
    <xf numFmtId="167" fontId="128" fillId="0" borderId="0" xfId="0" applyNumberFormat="1" applyFont="1" applyFill="1" applyAlignment="1">
      <alignment horizontal="left" vertical="center" readingOrder="1"/>
    </xf>
    <xf numFmtId="0" fontId="128" fillId="0" borderId="0" xfId="0" applyFont="1" applyFill="1" applyAlignment="1">
      <alignment horizontal="left" vertical="center" readingOrder="1"/>
    </xf>
    <xf numFmtId="0" fontId="128" fillId="0" borderId="0" xfId="0" applyFont="1" applyFill="1" applyBorder="1" applyAlignment="1">
      <alignment horizontal="left" vertical="center" readingOrder="1"/>
    </xf>
    <xf numFmtId="0" fontId="128" fillId="0" borderId="0" xfId="1" applyNumberFormat="1" applyFont="1" applyFill="1" applyBorder="1" applyAlignment="1">
      <alignment horizontal="left" vertical="center" readingOrder="1"/>
    </xf>
    <xf numFmtId="0" fontId="128" fillId="0" borderId="0" xfId="1" applyNumberFormat="1" applyFont="1" applyFill="1" applyAlignment="1">
      <alignment horizontal="left" vertical="center" readingOrder="1"/>
    </xf>
    <xf numFmtId="164" fontId="128" fillId="0" borderId="0" xfId="4" applyNumberFormat="1" applyFont="1" applyFill="1" applyAlignment="1">
      <alignment horizontal="left" vertical="center" readingOrder="1"/>
    </xf>
    <xf numFmtId="168" fontId="128" fillId="0" borderId="0" xfId="0" applyNumberFormat="1" applyFont="1" applyFill="1" applyAlignment="1">
      <alignment horizontal="left" vertical="center" readingOrder="1"/>
    </xf>
    <xf numFmtId="165" fontId="128" fillId="0" borderId="0" xfId="0" applyNumberFormat="1" applyFont="1" applyFill="1" applyAlignment="1">
      <alignment horizontal="left" vertical="center" readingOrder="1"/>
    </xf>
    <xf numFmtId="49" fontId="128" fillId="0" borderId="0" xfId="4" applyNumberFormat="1" applyFont="1" applyFill="1" applyAlignment="1">
      <alignment horizontal="left" vertical="center" readingOrder="1"/>
    </xf>
    <xf numFmtId="9" fontId="128" fillId="0" borderId="0" xfId="1" applyNumberFormat="1" applyFont="1" applyFill="1" applyAlignment="1">
      <alignment horizontal="left" vertical="center" readingOrder="1"/>
    </xf>
    <xf numFmtId="1" fontId="128" fillId="0" borderId="0" xfId="0" applyNumberFormat="1" applyFont="1" applyFill="1" applyAlignment="1">
      <alignment horizontal="left" vertical="center" readingOrder="1"/>
    </xf>
    <xf numFmtId="9" fontId="128" fillId="0" borderId="0" xfId="1" applyFont="1" applyFill="1" applyAlignment="1">
      <alignment horizontal="left" vertical="center" readingOrder="1"/>
    </xf>
    <xf numFmtId="9" fontId="128" fillId="0" borderId="0" xfId="0" applyNumberFormat="1" applyFont="1" applyFill="1" applyAlignment="1">
      <alignment horizontal="left" vertical="center" readingOrder="1"/>
    </xf>
    <xf numFmtId="1" fontId="128" fillId="0" borderId="0" xfId="1" applyNumberFormat="1" applyFont="1" applyFill="1" applyAlignment="1">
      <alignment horizontal="left" vertical="center" readingOrder="1"/>
    </xf>
    <xf numFmtId="0" fontId="128" fillId="0" borderId="0" xfId="0" applyNumberFormat="1" applyFont="1" applyFill="1" applyAlignment="1">
      <alignment horizontal="left" vertical="center" readingOrder="1"/>
    </xf>
    <xf numFmtId="1" fontId="129" fillId="0" borderId="0" xfId="0" applyNumberFormat="1" applyFont="1" applyFill="1"/>
    <xf numFmtId="0" fontId="129" fillId="0" borderId="26" xfId="0" applyNumberFormat="1" applyFont="1" applyFill="1" applyBorder="1"/>
    <xf numFmtId="1" fontId="129" fillId="0" borderId="26" xfId="0" applyNumberFormat="1" applyFont="1" applyFill="1" applyBorder="1"/>
    <xf numFmtId="0" fontId="129" fillId="0" borderId="0" xfId="0" applyFont="1" applyFill="1"/>
    <xf numFmtId="0" fontId="129" fillId="0" borderId="0" xfId="0" applyNumberFormat="1" applyFont="1" applyFill="1" applyAlignment="1">
      <alignment wrapText="1" readingOrder="1"/>
    </xf>
    <xf numFmtId="165" fontId="129" fillId="0" borderId="0" xfId="0" applyNumberFormat="1" applyFont="1" applyFill="1"/>
    <xf numFmtId="164" fontId="119" fillId="7" borderId="112" xfId="4" applyNumberFormat="1" applyFont="1" applyFill="1" applyBorder="1" applyAlignment="1">
      <alignment vertical="center"/>
    </xf>
    <xf numFmtId="164" fontId="119" fillId="11" borderId="112" xfId="4" applyNumberFormat="1" applyFont="1" applyFill="1" applyBorder="1" applyAlignment="1">
      <alignment vertical="center"/>
    </xf>
    <xf numFmtId="164" fontId="119" fillId="12" borderId="0" xfId="4" applyNumberFormat="1" applyFont="1" applyFill="1" applyBorder="1" applyAlignment="1">
      <alignment vertical="center" wrapText="1"/>
    </xf>
    <xf numFmtId="164" fontId="61" fillId="12" borderId="0" xfId="4" applyNumberFormat="1" applyFont="1" applyFill="1" applyBorder="1" applyAlignment="1">
      <alignment vertical="center"/>
    </xf>
    <xf numFmtId="164" fontId="119" fillId="12" borderId="0" xfId="4" applyNumberFormat="1" applyFont="1" applyFill="1" applyBorder="1" applyAlignment="1">
      <alignment vertical="center"/>
    </xf>
    <xf numFmtId="0" fontId="129" fillId="0" borderId="16" xfId="0" applyFont="1" applyFill="1" applyBorder="1"/>
    <xf numFmtId="1" fontId="129" fillId="0" borderId="0" xfId="0" applyNumberFormat="1" applyFont="1" applyFill="1" applyBorder="1"/>
    <xf numFmtId="0" fontId="129" fillId="0" borderId="0" xfId="0" applyNumberFormat="1" applyFont="1" applyFill="1" applyBorder="1"/>
    <xf numFmtId="0" fontId="129" fillId="0" borderId="0" xfId="0" applyFont="1" applyFill="1" applyBorder="1"/>
    <xf numFmtId="1" fontId="130" fillId="0" borderId="0" xfId="0" applyNumberFormat="1" applyFont="1" applyFill="1"/>
    <xf numFmtId="0" fontId="130" fillId="0" borderId="0" xfId="0" applyFont="1" applyFill="1"/>
    <xf numFmtId="0" fontId="130" fillId="0" borderId="0" xfId="0" applyNumberFormat="1" applyFont="1" applyFill="1" applyAlignment="1">
      <alignment wrapText="1" readingOrder="1"/>
    </xf>
    <xf numFmtId="165" fontId="130" fillId="0" borderId="0" xfId="0" applyNumberFormat="1" applyFont="1" applyFill="1"/>
    <xf numFmtId="0" fontId="130" fillId="0" borderId="0" xfId="0" applyNumberFormat="1" applyFont="1" applyFill="1" applyBorder="1"/>
    <xf numFmtId="0" fontId="122" fillId="0" borderId="20" xfId="0" applyNumberFormat="1" applyFont="1" applyFill="1" applyBorder="1"/>
    <xf numFmtId="1" fontId="130" fillId="0" borderId="0" xfId="0" applyNumberFormat="1" applyFont="1" applyFill="1" applyBorder="1"/>
    <xf numFmtId="1" fontId="122" fillId="0" borderId="21" xfId="0" applyNumberFormat="1" applyFont="1" applyFill="1" applyBorder="1"/>
    <xf numFmtId="0" fontId="131" fillId="0" borderId="0" xfId="0" applyFont="1"/>
    <xf numFmtId="0" fontId="132" fillId="0" borderId="0" xfId="0" applyFont="1" applyAlignment="1">
      <alignment horizontal="left"/>
    </xf>
    <xf numFmtId="9" fontId="132" fillId="0" borderId="0" xfId="0" applyNumberFormat="1" applyFont="1"/>
    <xf numFmtId="9" fontId="27" fillId="48" borderId="64" xfId="19" applyNumberFormat="1" applyFont="1" applyFill="1" applyBorder="1" applyAlignment="1">
      <alignment horizontal="left" vertical="center" wrapText="1" readingOrder="1"/>
    </xf>
    <xf numFmtId="0" fontId="109" fillId="0" borderId="0" xfId="19" applyFont="1" applyAlignment="1">
      <alignment horizontal="left" vertical="center" textRotation="90"/>
    </xf>
    <xf numFmtId="0" fontId="29" fillId="16" borderId="61" xfId="22" applyFont="1" applyFill="1" applyBorder="1" applyAlignment="1">
      <alignment horizontal="center" vertical="center" textRotation="90" wrapText="1"/>
    </xf>
    <xf numFmtId="0" fontId="27" fillId="0" borderId="0" xfId="22" applyFont="1" applyAlignment="1">
      <alignment horizontal="left" vertical="center" textRotation="90"/>
    </xf>
    <xf numFmtId="0" fontId="22" fillId="47" borderId="4" xfId="22" applyFont="1" applyFill="1" applyBorder="1" applyAlignment="1">
      <alignment vertical="top" wrapText="1"/>
    </xf>
    <xf numFmtId="0" fontId="22" fillId="34" borderId="4" xfId="22" applyFont="1" applyFill="1" applyBorder="1" applyAlignment="1">
      <alignment vertical="top" wrapText="1"/>
    </xf>
    <xf numFmtId="0" fontId="126" fillId="0" borderId="95" xfId="22" applyFont="1" applyFill="1" applyBorder="1" applyAlignment="1">
      <alignment vertical="center" wrapText="1"/>
    </xf>
    <xf numFmtId="0" fontId="126" fillId="0" borderId="64" xfId="22" applyFont="1" applyFill="1" applyBorder="1" applyAlignment="1">
      <alignment vertical="center" wrapText="1"/>
    </xf>
    <xf numFmtId="0" fontId="29" fillId="47" borderId="61" xfId="22" applyFont="1" applyFill="1" applyBorder="1" applyAlignment="1">
      <alignment horizontal="left" vertical="center" wrapText="1"/>
    </xf>
    <xf numFmtId="0" fontId="126" fillId="8" borderId="62" xfId="22" applyFont="1" applyFill="1" applyBorder="1" applyAlignment="1">
      <alignment vertical="center" wrapText="1"/>
    </xf>
    <xf numFmtId="0" fontId="126" fillId="8" borderId="95" xfId="22" applyFont="1" applyFill="1" applyBorder="1" applyAlignment="1">
      <alignment vertical="center" wrapText="1"/>
    </xf>
    <xf numFmtId="0" fontId="126" fillId="8" borderId="64" xfId="22" applyFont="1" applyFill="1" applyBorder="1" applyAlignment="1">
      <alignment vertical="center" wrapText="1"/>
    </xf>
    <xf numFmtId="9" fontId="27" fillId="47" borderId="64" xfId="19" applyNumberFormat="1" applyFont="1" applyFill="1" applyBorder="1" applyAlignment="1">
      <alignment horizontal="center" vertical="center" wrapText="1" readingOrder="1"/>
    </xf>
    <xf numFmtId="9" fontId="29" fillId="47" borderId="64" xfId="19" applyNumberFormat="1" applyFont="1" applyFill="1" applyBorder="1" applyAlignment="1">
      <alignment horizontal="center" vertical="center" wrapText="1" readingOrder="1"/>
    </xf>
    <xf numFmtId="0" fontId="29" fillId="47" borderId="61" xfId="22" applyNumberFormat="1" applyFont="1" applyFill="1" applyBorder="1" applyAlignment="1">
      <alignment horizontal="center" vertical="center" readingOrder="1"/>
    </xf>
    <xf numFmtId="9" fontId="60" fillId="48" borderId="64" xfId="19" applyNumberFormat="1" applyFont="1" applyFill="1" applyBorder="1" applyAlignment="1">
      <alignment horizontal="center" vertical="center" wrapText="1" readingOrder="1"/>
    </xf>
    <xf numFmtId="9" fontId="60" fillId="48" borderId="0" xfId="19" applyNumberFormat="1" applyFont="1" applyFill="1" applyAlignment="1">
      <alignment horizontal="center" vertical="center" wrapText="1" readingOrder="1"/>
    </xf>
    <xf numFmtId="49" fontId="66" fillId="42" borderId="26" xfId="0" applyNumberFormat="1" applyFont="1" applyFill="1" applyBorder="1" applyAlignment="1">
      <alignment horizontal="left" vertical="center"/>
    </xf>
    <xf numFmtId="0" fontId="86" fillId="42" borderId="26" xfId="0" applyFont="1" applyFill="1" applyBorder="1" applyAlignment="1">
      <alignment horizontal="left" vertical="center"/>
    </xf>
    <xf numFmtId="1" fontId="80" fillId="0" borderId="26" xfId="0" applyNumberFormat="1" applyFont="1" applyFill="1" applyBorder="1"/>
    <xf numFmtId="0" fontId="28" fillId="0" borderId="20" xfId="0" applyNumberFormat="1" applyFont="1" applyFill="1" applyBorder="1" applyAlignment="1">
      <alignment wrapText="1" readingOrder="1"/>
    </xf>
    <xf numFmtId="167" fontId="134" fillId="0" borderId="0" xfId="0" applyNumberFormat="1" applyFont="1" applyFill="1" applyAlignment="1">
      <alignment horizontal="left" vertical="center" readingOrder="1"/>
    </xf>
    <xf numFmtId="0" fontId="134" fillId="0" borderId="0" xfId="0" applyFont="1" applyFill="1" applyAlignment="1">
      <alignment horizontal="left" vertical="center" readingOrder="1"/>
    </xf>
    <xf numFmtId="0" fontId="134" fillId="0" borderId="0" xfId="1" applyNumberFormat="1" applyFont="1" applyFill="1" applyAlignment="1">
      <alignment horizontal="left" vertical="center" readingOrder="1"/>
    </xf>
    <xf numFmtId="164" fontId="134" fillId="0" borderId="0" xfId="4" applyNumberFormat="1" applyFont="1" applyFill="1" applyAlignment="1">
      <alignment horizontal="left" vertical="center" readingOrder="1"/>
    </xf>
    <xf numFmtId="168" fontId="134" fillId="0" borderId="0" xfId="0" applyNumberFormat="1" applyFont="1" applyFill="1" applyAlignment="1">
      <alignment horizontal="left" vertical="center" readingOrder="1"/>
    </xf>
    <xf numFmtId="165" fontId="134" fillId="0" borderId="0" xfId="0" applyNumberFormat="1" applyFont="1" applyFill="1" applyAlignment="1">
      <alignment horizontal="left" vertical="center" readingOrder="1"/>
    </xf>
    <xf numFmtId="49" fontId="134" fillId="0" borderId="0" xfId="4" applyNumberFormat="1" applyFont="1" applyFill="1" applyAlignment="1">
      <alignment horizontal="left" vertical="center" readingOrder="1"/>
    </xf>
    <xf numFmtId="9" fontId="134" fillId="0" borderId="0" xfId="1" applyNumberFormat="1" applyFont="1" applyFill="1" applyAlignment="1">
      <alignment horizontal="left" vertical="center" readingOrder="1"/>
    </xf>
    <xf numFmtId="1" fontId="134" fillId="0" borderId="0" xfId="0" applyNumberFormat="1" applyFont="1" applyFill="1" applyAlignment="1">
      <alignment horizontal="left" vertical="center" readingOrder="1"/>
    </xf>
    <xf numFmtId="9" fontId="134" fillId="0" borderId="0" xfId="1" applyFont="1" applyFill="1" applyAlignment="1">
      <alignment horizontal="left" vertical="center" readingOrder="1"/>
    </xf>
    <xf numFmtId="9" fontId="134" fillId="0" borderId="0" xfId="0" applyNumberFormat="1" applyFont="1" applyFill="1" applyAlignment="1">
      <alignment horizontal="left" vertical="center" readingOrder="1"/>
    </xf>
    <xf numFmtId="1" fontId="134" fillId="0" borderId="0" xfId="1" applyNumberFormat="1" applyFont="1" applyFill="1" applyAlignment="1">
      <alignment horizontal="left" vertical="center" readingOrder="1"/>
    </xf>
    <xf numFmtId="0" fontId="134" fillId="0" borderId="0" xfId="0" applyNumberFormat="1" applyFont="1" applyFill="1" applyAlignment="1">
      <alignment horizontal="left" vertical="center" readingOrder="1"/>
    </xf>
    <xf numFmtId="1" fontId="135" fillId="0" borderId="0" xfId="0" applyNumberFormat="1" applyFont="1" applyFill="1"/>
    <xf numFmtId="0" fontId="135" fillId="0" borderId="0" xfId="0" applyFont="1" applyFill="1"/>
    <xf numFmtId="0" fontId="135" fillId="0" borderId="0" xfId="0" applyNumberFormat="1" applyFont="1" applyFill="1" applyAlignment="1">
      <alignment wrapText="1" readingOrder="1"/>
    </xf>
    <xf numFmtId="165" fontId="135" fillId="0" borderId="0" xfId="0" applyNumberFormat="1" applyFont="1" applyFill="1"/>
    <xf numFmtId="0" fontId="135" fillId="0" borderId="0" xfId="0" applyNumberFormat="1" applyFont="1" applyFill="1" applyBorder="1"/>
    <xf numFmtId="0" fontId="135" fillId="0" borderId="20" xfId="0" applyNumberFormat="1" applyFont="1" applyFill="1" applyBorder="1"/>
    <xf numFmtId="1" fontId="135" fillId="0" borderId="0" xfId="0" applyNumberFormat="1" applyFont="1" applyFill="1" applyBorder="1"/>
    <xf numFmtId="1" fontId="135" fillId="0" borderId="21" xfId="0" applyNumberFormat="1" applyFont="1" applyFill="1" applyBorder="1"/>
    <xf numFmtId="0" fontId="28" fillId="0" borderId="51" xfId="0" applyFont="1" applyFill="1" applyBorder="1" applyAlignment="1">
      <alignment wrapText="1"/>
    </xf>
    <xf numFmtId="0" fontId="135" fillId="0" borderId="20" xfId="0" applyNumberFormat="1" applyFont="1" applyFill="1" applyBorder="1" applyAlignment="1">
      <alignment wrapText="1" readingOrder="1"/>
    </xf>
    <xf numFmtId="1" fontId="135" fillId="0" borderId="20" xfId="0" applyNumberFormat="1" applyFont="1" applyFill="1" applyBorder="1"/>
    <xf numFmtId="167" fontId="136" fillId="0" borderId="0" xfId="0" applyNumberFormat="1" applyFont="1" applyFill="1" applyAlignment="1">
      <alignment horizontal="left" vertical="center" readingOrder="1"/>
    </xf>
    <xf numFmtId="0" fontId="136" fillId="0" borderId="0" xfId="0" applyFont="1" applyFill="1" applyAlignment="1">
      <alignment horizontal="left" vertical="center" readingOrder="1"/>
    </xf>
    <xf numFmtId="164" fontId="136" fillId="0" borderId="0" xfId="4" applyNumberFormat="1" applyFont="1" applyFill="1" applyAlignment="1">
      <alignment horizontal="left" vertical="center" readingOrder="1"/>
    </xf>
    <xf numFmtId="168" fontId="136" fillId="0" borderId="0" xfId="0" applyNumberFormat="1" applyFont="1" applyFill="1" applyAlignment="1">
      <alignment horizontal="left" vertical="center" readingOrder="1"/>
    </xf>
    <xf numFmtId="165" fontId="136" fillId="0" borderId="0" xfId="0" applyNumberFormat="1" applyFont="1" applyFill="1" applyAlignment="1">
      <alignment horizontal="left" vertical="center" readingOrder="1"/>
    </xf>
    <xf numFmtId="49" fontId="136" fillId="0" borderId="0" xfId="4" applyNumberFormat="1" applyFont="1" applyFill="1" applyAlignment="1">
      <alignment horizontal="left" vertical="center" readingOrder="1"/>
    </xf>
    <xf numFmtId="9" fontId="136" fillId="0" borderId="0" xfId="1" applyNumberFormat="1" applyFont="1" applyFill="1" applyAlignment="1">
      <alignment horizontal="left" vertical="center" readingOrder="1"/>
    </xf>
    <xf numFmtId="1" fontId="136" fillId="0" borderId="0" xfId="0" applyNumberFormat="1" applyFont="1" applyFill="1" applyAlignment="1">
      <alignment horizontal="left" vertical="center" readingOrder="1"/>
    </xf>
    <xf numFmtId="9" fontId="136" fillId="0" borderId="0" xfId="1" applyFont="1" applyFill="1" applyAlignment="1">
      <alignment horizontal="left" vertical="center" readingOrder="1"/>
    </xf>
    <xf numFmtId="9" fontId="136" fillId="0" borderId="0" xfId="0" applyNumberFormat="1" applyFont="1" applyFill="1" applyAlignment="1">
      <alignment horizontal="left" vertical="center" readingOrder="1"/>
    </xf>
    <xf numFmtId="1" fontId="136" fillId="0" borderId="0" xfId="1" applyNumberFormat="1" applyFont="1" applyFill="1" applyAlignment="1">
      <alignment horizontal="left" vertical="center" readingOrder="1"/>
    </xf>
    <xf numFmtId="0" fontId="136" fillId="0" borderId="0" xfId="1" applyNumberFormat="1" applyFont="1" applyFill="1" applyAlignment="1">
      <alignment horizontal="left" vertical="center" readingOrder="1"/>
    </xf>
    <xf numFmtId="0" fontId="136" fillId="0" borderId="0" xfId="0" applyNumberFormat="1" applyFont="1" applyFill="1" applyAlignment="1">
      <alignment horizontal="left" vertical="center" readingOrder="1"/>
    </xf>
    <xf numFmtId="0" fontId="137" fillId="0" borderId="0" xfId="0" applyFont="1"/>
    <xf numFmtId="164" fontId="137" fillId="0" borderId="0" xfId="0" applyNumberFormat="1" applyFont="1"/>
    <xf numFmtId="9" fontId="137" fillId="0" borderId="0" xfId="0" applyNumberFormat="1" applyFont="1"/>
    <xf numFmtId="0" fontId="4" fillId="0" borderId="30" xfId="0" applyFont="1" applyFill="1" applyBorder="1" applyAlignment="1">
      <alignment vertical="center" wrapText="1"/>
    </xf>
    <xf numFmtId="9" fontId="12" fillId="0" borderId="0" xfId="1" applyFont="1"/>
    <xf numFmtId="0" fontId="138" fillId="0" borderId="106" xfId="0" applyFont="1" applyBorder="1" applyAlignment="1">
      <alignment horizontal="left"/>
    </xf>
    <xf numFmtId="164" fontId="138" fillId="0" borderId="106" xfId="0" applyNumberFormat="1" applyFont="1" applyBorder="1"/>
    <xf numFmtId="0" fontId="138" fillId="0" borderId="107" xfId="0" applyFont="1" applyBorder="1" applyAlignment="1">
      <alignment horizontal="left"/>
    </xf>
    <xf numFmtId="164" fontId="138" fillId="0" borderId="107" xfId="0" applyNumberFormat="1" applyFont="1" applyBorder="1"/>
    <xf numFmtId="0" fontId="3" fillId="0" borderId="0" xfId="0" pivotButton="1" applyFont="1"/>
    <xf numFmtId="164" fontId="12" fillId="0" borderId="0" xfId="0" pivotButton="1" applyNumberFormat="1" applyFont="1"/>
    <xf numFmtId="0" fontId="12" fillId="0" borderId="0" xfId="0" pivotButton="1" applyNumberFormat="1" applyFont="1" applyFill="1" applyBorder="1"/>
    <xf numFmtId="0" fontId="139" fillId="0" borderId="109" xfId="0" applyFont="1" applyBorder="1" applyAlignment="1">
      <alignment horizontal="left"/>
    </xf>
    <xf numFmtId="0" fontId="139" fillId="0" borderId="111" xfId="0" applyNumberFormat="1" applyFont="1" applyBorder="1"/>
    <xf numFmtId="0" fontId="139" fillId="0" borderId="108" xfId="0" applyFont="1" applyBorder="1" applyAlignment="1">
      <alignment horizontal="left"/>
    </xf>
    <xf numFmtId="164" fontId="139" fillId="0" borderId="111" xfId="4" applyNumberFormat="1" applyFont="1" applyBorder="1"/>
    <xf numFmtId="164" fontId="12" fillId="0" borderId="0" xfId="4" applyNumberFormat="1" applyFont="1"/>
    <xf numFmtId="164" fontId="139" fillId="0" borderId="110" xfId="4" applyNumberFormat="1" applyFont="1" applyBorder="1"/>
    <xf numFmtId="164" fontId="3" fillId="0" borderId="0" xfId="4" applyNumberFormat="1" applyFont="1" applyFill="1" applyBorder="1"/>
    <xf numFmtId="0" fontId="3" fillId="0" borderId="0" xfId="0" applyFont="1"/>
    <xf numFmtId="0" fontId="2" fillId="0" borderId="0" xfId="0" applyFont="1"/>
    <xf numFmtId="164" fontId="75" fillId="0" borderId="42" xfId="0" applyNumberFormat="1" applyFont="1" applyBorder="1"/>
    <xf numFmtId="164" fontId="75" fillId="0" borderId="113" xfId="0" applyNumberFormat="1" applyFont="1" applyBorder="1"/>
    <xf numFmtId="0" fontId="0" fillId="0" borderId="0" xfId="0"/>
    <xf numFmtId="0" fontId="31" fillId="0" borderId="0" xfId="0" applyFont="1" applyFill="1" applyAlignment="1"/>
    <xf numFmtId="9" fontId="31" fillId="0" borderId="0" xfId="0" applyNumberFormat="1" applyFont="1" applyFill="1" applyAlignment="1"/>
    <xf numFmtId="1" fontId="31" fillId="0" borderId="0" xfId="0" applyNumberFormat="1" applyFont="1" applyFill="1" applyAlignment="1"/>
    <xf numFmtId="0" fontId="31" fillId="0" borderId="0" xfId="1" applyNumberFormat="1" applyFont="1" applyFill="1" applyAlignment="1"/>
    <xf numFmtId="0" fontId="31" fillId="0" borderId="0" xfId="0" applyNumberFormat="1" applyFont="1" applyFill="1" applyAlignment="1"/>
    <xf numFmtId="9" fontId="20" fillId="0" borderId="0" xfId="1" applyFont="1" applyFill="1" applyAlignment="1">
      <alignment horizontal="left" vertical="center" readingOrder="1"/>
    </xf>
    <xf numFmtId="1" fontId="20" fillId="0" borderId="0" xfId="1" applyNumberFormat="1" applyFont="1" applyFill="1" applyAlignment="1">
      <alignment horizontal="left" vertical="center" readingOrder="1"/>
    </xf>
    <xf numFmtId="9" fontId="20" fillId="0" borderId="0" xfId="1" applyNumberFormat="1" applyFont="1" applyFill="1" applyAlignment="1">
      <alignment horizontal="left" vertical="center" readingOrder="1"/>
    </xf>
    <xf numFmtId="1" fontId="20" fillId="0" borderId="0" xfId="0" applyNumberFormat="1" applyFont="1" applyFill="1" applyAlignment="1">
      <alignment horizontal="left" vertical="center" readingOrder="1"/>
    </xf>
    <xf numFmtId="164" fontId="20" fillId="0" borderId="0" xfId="4" applyNumberFormat="1" applyFont="1" applyFill="1" applyAlignment="1">
      <alignment horizontal="left" vertical="center" readingOrder="1"/>
    </xf>
    <xf numFmtId="167" fontId="20" fillId="0" borderId="0" xfId="0" applyNumberFormat="1" applyFont="1" applyFill="1" applyAlignment="1">
      <alignment horizontal="left" vertical="center" readingOrder="1"/>
    </xf>
    <xf numFmtId="164" fontId="136" fillId="0" borderId="0" xfId="4" applyNumberFormat="1" applyFont="1" applyFill="1" applyAlignment="1">
      <alignment horizontal="left" vertical="center" readingOrder="1"/>
    </xf>
    <xf numFmtId="49" fontId="136" fillId="0" borderId="0" xfId="4" applyNumberFormat="1" applyFont="1" applyFill="1" applyAlignment="1">
      <alignment horizontal="left" vertical="center" readingOrder="1"/>
    </xf>
    <xf numFmtId="9" fontId="136" fillId="0" borderId="0" xfId="1" applyFont="1" applyFill="1" applyAlignment="1">
      <alignment horizontal="left" vertical="center" readingOrder="1"/>
    </xf>
    <xf numFmtId="9" fontId="136" fillId="0" borderId="0" xfId="1" applyNumberFormat="1" applyFont="1" applyFill="1" applyAlignment="1">
      <alignment horizontal="left" vertical="center" readingOrder="1"/>
    </xf>
    <xf numFmtId="1" fontId="136" fillId="0" borderId="0" xfId="0" applyNumberFormat="1" applyFont="1" applyFill="1" applyAlignment="1">
      <alignment horizontal="left" vertical="center" readingOrder="1"/>
    </xf>
    <xf numFmtId="9" fontId="136" fillId="0" borderId="0" xfId="0" applyNumberFormat="1" applyFont="1" applyFill="1" applyAlignment="1">
      <alignment horizontal="left" vertical="center" readingOrder="1"/>
    </xf>
    <xf numFmtId="1" fontId="136" fillId="0" borderId="0" xfId="1" applyNumberFormat="1" applyFont="1" applyFill="1" applyAlignment="1">
      <alignment horizontal="left" vertical="center" readingOrder="1"/>
    </xf>
    <xf numFmtId="0" fontId="136" fillId="0" borderId="0" xfId="1" applyNumberFormat="1" applyFont="1" applyFill="1" applyAlignment="1">
      <alignment horizontal="left" vertical="center" readingOrder="1"/>
    </xf>
    <xf numFmtId="0" fontId="136" fillId="0" borderId="0" xfId="0" applyNumberFormat="1" applyFont="1" applyFill="1" applyAlignment="1">
      <alignment horizontal="left" vertical="center" readingOrder="1"/>
    </xf>
    <xf numFmtId="168" fontId="136" fillId="0" borderId="0" xfId="0" applyNumberFormat="1" applyFont="1" applyFill="1" applyAlignment="1">
      <alignment horizontal="left" vertical="center" readingOrder="1"/>
    </xf>
    <xf numFmtId="165" fontId="136" fillId="0" borderId="0" xfId="0" applyNumberFormat="1" applyFont="1" applyFill="1" applyAlignment="1">
      <alignment horizontal="left" vertical="center" readingOrder="1"/>
    </xf>
    <xf numFmtId="164" fontId="61" fillId="10" borderId="0" xfId="4" applyNumberFormat="1" applyFont="1" applyFill="1" applyBorder="1" applyAlignment="1">
      <alignment vertical="center" wrapText="1"/>
    </xf>
    <xf numFmtId="164" fontId="61" fillId="10" borderId="0" xfId="4" applyNumberFormat="1" applyFont="1" applyFill="1" applyBorder="1" applyAlignment="1">
      <alignment vertical="center"/>
    </xf>
    <xf numFmtId="1" fontId="140" fillId="0" borderId="0" xfId="0" applyNumberFormat="1" applyFont="1" applyFill="1"/>
    <xf numFmtId="0" fontId="140" fillId="0" borderId="26" xfId="0" applyNumberFormat="1" applyFont="1" applyFill="1" applyBorder="1"/>
    <xf numFmtId="1" fontId="140" fillId="0" borderId="26" xfId="0" applyNumberFormat="1" applyFont="1" applyFill="1" applyBorder="1"/>
    <xf numFmtId="0" fontId="140" fillId="0" borderId="0" xfId="0" applyFont="1" applyFill="1"/>
    <xf numFmtId="0" fontId="140" fillId="0" borderId="0" xfId="0" applyNumberFormat="1" applyFont="1" applyFill="1" applyAlignment="1">
      <alignment wrapText="1" readingOrder="1"/>
    </xf>
    <xf numFmtId="165" fontId="140" fillId="0" borderId="0" xfId="0" applyNumberFormat="1" applyFont="1" applyFill="1"/>
    <xf numFmtId="164" fontId="20" fillId="0" borderId="0" xfId="4" applyNumberFormat="1" applyFont="1" applyAlignment="1">
      <alignment horizontal="left" vertical="center" readingOrder="1"/>
    </xf>
    <xf numFmtId="0" fontId="141" fillId="0" borderId="26" xfId="10" applyFont="1" applyFill="1" applyBorder="1" applyAlignment="1">
      <alignment vertical="center"/>
    </xf>
    <xf numFmtId="9" fontId="79" fillId="14" borderId="72" xfId="1" applyFont="1" applyFill="1" applyBorder="1" applyAlignment="1">
      <alignment vertical="center"/>
    </xf>
    <xf numFmtId="0" fontId="142" fillId="0" borderId="0" xfId="0" pivotButton="1" applyFont="1"/>
    <xf numFmtId="0" fontId="142" fillId="0" borderId="0" xfId="0" applyFont="1"/>
    <xf numFmtId="0" fontId="142" fillId="0" borderId="0" xfId="0" applyFont="1" applyAlignment="1">
      <alignment horizontal="left"/>
    </xf>
    <xf numFmtId="164" fontId="142" fillId="0" borderId="0" xfId="0" applyNumberFormat="1" applyFont="1"/>
    <xf numFmtId="0" fontId="144" fillId="0" borderId="0" xfId="0" pivotButton="1" applyFont="1"/>
    <xf numFmtId="0" fontId="144" fillId="0" borderId="0" xfId="0" applyFont="1"/>
    <xf numFmtId="0" fontId="144" fillId="0" borderId="0" xfId="0" pivotButton="1" applyFont="1" applyAlignment="1">
      <alignment wrapText="1"/>
    </xf>
    <xf numFmtId="0" fontId="144" fillId="0" borderId="0" xfId="0" applyFont="1" applyAlignment="1">
      <alignment wrapText="1"/>
    </xf>
    <xf numFmtId="0" fontId="144" fillId="0" borderId="0" xfId="0" applyFont="1" applyAlignment="1">
      <alignment horizontal="left"/>
    </xf>
    <xf numFmtId="164" fontId="144" fillId="0" borderId="0" xfId="0" applyNumberFormat="1" applyFont="1"/>
    <xf numFmtId="9" fontId="144" fillId="0" borderId="0" xfId="0" applyNumberFormat="1" applyFont="1"/>
    <xf numFmtId="0" fontId="145" fillId="29" borderId="0" xfId="0" applyFont="1" applyFill="1"/>
    <xf numFmtId="0" fontId="142" fillId="0" borderId="0" xfId="0" applyNumberFormat="1" applyFont="1"/>
    <xf numFmtId="0" fontId="144" fillId="0" borderId="0" xfId="0" applyNumberFormat="1" applyFont="1"/>
    <xf numFmtId="0" fontId="144" fillId="0" borderId="0" xfId="0" applyFont="1" applyAlignment="1">
      <alignment vertical="top"/>
    </xf>
    <xf numFmtId="164" fontId="144" fillId="0" borderId="0" xfId="0" applyNumberFormat="1" applyFont="1" applyAlignment="1">
      <alignment vertical="top"/>
    </xf>
    <xf numFmtId="0" fontId="142" fillId="0" borderId="0" xfId="0" pivotButton="1" applyFont="1" applyAlignment="1">
      <alignment wrapText="1"/>
    </xf>
    <xf numFmtId="0" fontId="144" fillId="0" borderId="0" xfId="0" pivotButton="1" applyFont="1" applyAlignment="1">
      <alignment horizontal="center" vertical="center" wrapText="1"/>
    </xf>
    <xf numFmtId="0" fontId="145" fillId="40" borderId="0" xfId="0" applyFont="1" applyFill="1" applyAlignment="1">
      <alignment wrapText="1"/>
    </xf>
    <xf numFmtId="0" fontId="145" fillId="29" borderId="0" xfId="0" applyFont="1" applyFill="1" applyAlignment="1">
      <alignment horizontal="left" vertical="center" wrapText="1"/>
    </xf>
    <xf numFmtId="0" fontId="145" fillId="40" borderId="0" xfId="0" applyFont="1" applyFill="1" applyAlignment="1"/>
    <xf numFmtId="3" fontId="142" fillId="0" borderId="0" xfId="0" applyNumberFormat="1" applyFont="1"/>
    <xf numFmtId="0" fontId="142" fillId="0" borderId="0" xfId="0" applyFont="1" applyAlignment="1">
      <alignment wrapText="1"/>
    </xf>
    <xf numFmtId="0" fontId="147" fillId="26" borderId="0" xfId="0" applyFont="1" applyFill="1"/>
    <xf numFmtId="164" fontId="146" fillId="14" borderId="0" xfId="0" applyNumberFormat="1" applyFont="1" applyFill="1" applyAlignment="1">
      <alignment horizontal="center"/>
    </xf>
    <xf numFmtId="0" fontId="146" fillId="14" borderId="0" xfId="0" applyFont="1" applyFill="1" applyAlignment="1">
      <alignment horizontal="center"/>
    </xf>
    <xf numFmtId="164" fontId="146" fillId="26" borderId="0" xfId="0" applyNumberFormat="1" applyFont="1" applyFill="1"/>
    <xf numFmtId="0" fontId="146" fillId="26" borderId="0" xfId="0" applyFont="1" applyFill="1" applyAlignment="1">
      <alignment horizontal="center" vertical="center" wrapText="1"/>
    </xf>
    <xf numFmtId="0" fontId="146" fillId="14" borderId="0" xfId="0" applyFont="1" applyFill="1" applyAlignment="1">
      <alignment horizontal="center" vertical="center"/>
    </xf>
    <xf numFmtId="164" fontId="146" fillId="8" borderId="0" xfId="0" applyNumberFormat="1" applyFont="1" applyFill="1" applyAlignment="1">
      <alignment horizontal="center"/>
    </xf>
    <xf numFmtId="0" fontId="146" fillId="39" borderId="0" xfId="0" applyFont="1" applyFill="1" applyAlignment="1">
      <alignment horizontal="center" vertical="center"/>
    </xf>
    <xf numFmtId="164" fontId="146" fillId="9" borderId="0" xfId="0" applyNumberFormat="1" applyFont="1" applyFill="1" applyAlignment="1">
      <alignment horizontal="center"/>
    </xf>
    <xf numFmtId="0" fontId="146" fillId="46" borderId="0" xfId="0" applyFont="1" applyFill="1" applyAlignment="1">
      <alignment horizontal="center" vertical="center"/>
    </xf>
    <xf numFmtId="164" fontId="142" fillId="12" borderId="0" xfId="0" applyNumberFormat="1" applyFont="1" applyFill="1"/>
    <xf numFmtId="0" fontId="142" fillId="12" borderId="0" xfId="0" applyFont="1" applyFill="1" applyAlignment="1">
      <alignment vertical="center" wrapText="1"/>
    </xf>
    <xf numFmtId="164" fontId="146" fillId="14" borderId="0" xfId="0" applyNumberFormat="1" applyFont="1" applyFill="1"/>
    <xf numFmtId="0" fontId="145" fillId="40" borderId="0" xfId="0" applyFont="1" applyFill="1"/>
    <xf numFmtId="0" fontId="142" fillId="0" borderId="0" xfId="0" pivotButton="1" applyFont="1" applyAlignment="1">
      <alignment horizontal="center" vertical="center" wrapText="1"/>
    </xf>
    <xf numFmtId="1" fontId="143" fillId="0" borderId="0" xfId="0" applyNumberFormat="1" applyFont="1" applyFill="1"/>
    <xf numFmtId="0" fontId="143" fillId="0" borderId="26" xfId="0" applyNumberFormat="1" applyFont="1" applyFill="1" applyBorder="1"/>
    <xf numFmtId="1" fontId="143" fillId="0" borderId="26" xfId="0" applyNumberFormat="1" applyFont="1" applyFill="1" applyBorder="1"/>
    <xf numFmtId="0" fontId="143" fillId="0" borderId="0" xfId="0" applyFont="1" applyFill="1"/>
    <xf numFmtId="0" fontId="143" fillId="0" borderId="0" xfId="0" applyNumberFormat="1" applyFont="1" applyFill="1" applyAlignment="1">
      <alignment wrapText="1" readingOrder="1"/>
    </xf>
    <xf numFmtId="166" fontId="32" fillId="15" borderId="5" xfId="8" applyFont="1" applyFill="1" applyBorder="1" applyAlignment="1">
      <alignment horizontal="center" vertical="center"/>
    </xf>
    <xf numFmtId="166" fontId="32" fillId="15" borderId="6" xfId="8" applyFont="1" applyFill="1" applyBorder="1" applyAlignment="1">
      <alignment horizontal="center" vertical="center"/>
    </xf>
    <xf numFmtId="166" fontId="32" fillId="15" borderId="7" xfId="8" applyFont="1" applyFill="1" applyBorder="1" applyAlignment="1">
      <alignment horizontal="center" vertical="center"/>
    </xf>
    <xf numFmtId="166" fontId="9" fillId="20" borderId="0" xfId="8" applyFont="1" applyFill="1" applyBorder="1" applyAlignment="1">
      <alignment horizontal="left" wrapText="1"/>
    </xf>
    <xf numFmtId="166" fontId="16" fillId="20" borderId="0" xfId="8" applyFill="1" applyBorder="1" applyAlignment="1">
      <alignment horizontal="left" wrapText="1"/>
    </xf>
    <xf numFmtId="166" fontId="16" fillId="20" borderId="9" xfId="8" applyFill="1" applyBorder="1" applyAlignment="1">
      <alignment horizontal="left" wrapText="1"/>
    </xf>
    <xf numFmtId="0" fontId="30" fillId="5" borderId="78" xfId="0" applyFont="1" applyFill="1" applyBorder="1" applyAlignment="1">
      <alignment horizontal="center" vertical="center" wrapText="1"/>
    </xf>
    <xf numFmtId="0" fontId="30" fillId="5" borderId="74" xfId="0" applyFont="1" applyFill="1" applyBorder="1" applyAlignment="1">
      <alignment horizontal="center" vertical="center" wrapText="1"/>
    </xf>
    <xf numFmtId="0" fontId="30" fillId="5" borderId="75" xfId="0" applyFont="1" applyFill="1" applyBorder="1" applyAlignment="1">
      <alignment horizontal="center" vertical="center" wrapText="1"/>
    </xf>
    <xf numFmtId="0" fontId="19" fillId="44" borderId="67" xfId="22" applyNumberFormat="1" applyFont="1" applyFill="1" applyBorder="1" applyAlignment="1">
      <alignment horizontal="center" vertical="center"/>
    </xf>
    <xf numFmtId="0" fontId="19" fillId="44" borderId="63" xfId="22" applyNumberFormat="1" applyFont="1" applyFill="1" applyBorder="1" applyAlignment="1">
      <alignment horizontal="center" vertical="center"/>
    </xf>
    <xf numFmtId="0" fontId="30" fillId="5" borderId="72" xfId="0" applyFont="1" applyFill="1" applyBorder="1" applyAlignment="1">
      <alignment horizontal="center" vertical="center"/>
    </xf>
    <xf numFmtId="0" fontId="30" fillId="5" borderId="79" xfId="0" applyFont="1" applyFill="1" applyBorder="1" applyAlignment="1">
      <alignment horizontal="center" vertical="center" wrapText="1"/>
    </xf>
    <xf numFmtId="0" fontId="30" fillId="5" borderId="80" xfId="0" applyFont="1" applyFill="1" applyBorder="1" applyAlignment="1">
      <alignment horizontal="center" vertical="center" wrapText="1"/>
    </xf>
    <xf numFmtId="0" fontId="30" fillId="5" borderId="81" xfId="0" applyFont="1" applyFill="1" applyBorder="1" applyAlignment="1">
      <alignment horizontal="center" vertical="center" wrapText="1"/>
    </xf>
    <xf numFmtId="0" fontId="30" fillId="5" borderId="82" xfId="0" applyFont="1" applyFill="1" applyBorder="1" applyAlignment="1">
      <alignment horizontal="center" vertical="center" wrapText="1"/>
    </xf>
    <xf numFmtId="0" fontId="30" fillId="8" borderId="78" xfId="0" applyFont="1" applyFill="1" applyBorder="1" applyAlignment="1">
      <alignment horizontal="center" vertical="center" wrapText="1"/>
    </xf>
    <xf numFmtId="0" fontId="30" fillId="8" borderId="84" xfId="0" applyFont="1" applyFill="1" applyBorder="1" applyAlignment="1">
      <alignment horizontal="center" vertical="center" wrapText="1"/>
    </xf>
    <xf numFmtId="0" fontId="30" fillId="8" borderId="85" xfId="0" applyFont="1" applyFill="1" applyBorder="1" applyAlignment="1">
      <alignment horizontal="center" vertical="center" wrapText="1"/>
    </xf>
    <xf numFmtId="0" fontId="30" fillId="8" borderId="86" xfId="0" applyFont="1" applyFill="1" applyBorder="1" applyAlignment="1">
      <alignment horizontal="center" vertical="center" wrapText="1"/>
    </xf>
    <xf numFmtId="0" fontId="30" fillId="8" borderId="87" xfId="0" applyFont="1" applyFill="1" applyBorder="1" applyAlignment="1">
      <alignment horizontal="center" vertical="center" wrapText="1"/>
    </xf>
    <xf numFmtId="0" fontId="30" fillId="5" borderId="84" xfId="0" applyFont="1" applyFill="1" applyBorder="1" applyAlignment="1">
      <alignment horizontal="center" vertical="center"/>
    </xf>
    <xf numFmtId="0" fontId="30" fillId="5" borderId="90" xfId="0" applyFont="1" applyFill="1" applyBorder="1" applyAlignment="1">
      <alignment horizontal="center" vertical="center"/>
    </xf>
    <xf numFmtId="0" fontId="30" fillId="5" borderId="86" xfId="0" applyFont="1" applyFill="1" applyBorder="1" applyAlignment="1">
      <alignment horizontal="center" vertical="center"/>
    </xf>
    <xf numFmtId="0" fontId="30" fillId="5" borderId="91" xfId="0" applyFont="1" applyFill="1" applyBorder="1" applyAlignment="1">
      <alignment horizontal="center" vertical="center"/>
    </xf>
    <xf numFmtId="0" fontId="30" fillId="5" borderId="88" xfId="0" applyFont="1" applyFill="1" applyBorder="1" applyAlignment="1">
      <alignment horizontal="center" vertical="center"/>
    </xf>
    <xf numFmtId="0" fontId="30" fillId="5" borderId="89" xfId="0" applyFont="1" applyFill="1" applyBorder="1" applyAlignment="1">
      <alignment horizontal="center" vertical="center"/>
    </xf>
    <xf numFmtId="0" fontId="30" fillId="8" borderId="72" xfId="0" applyFont="1" applyFill="1" applyBorder="1" applyAlignment="1">
      <alignment horizontal="center" vertical="center" wrapText="1"/>
    </xf>
    <xf numFmtId="0" fontId="30" fillId="5" borderId="84" xfId="0" applyFont="1" applyFill="1" applyBorder="1" applyAlignment="1">
      <alignment horizontal="center" vertical="center" wrapText="1"/>
    </xf>
    <xf numFmtId="0" fontId="30" fillId="5" borderId="85" xfId="0" applyFont="1" applyFill="1" applyBorder="1" applyAlignment="1">
      <alignment horizontal="center" vertical="center" wrapText="1"/>
    </xf>
    <xf numFmtId="0" fontId="30" fillId="5" borderId="86" xfId="0" applyFont="1" applyFill="1" applyBorder="1" applyAlignment="1">
      <alignment horizontal="center" vertical="center" wrapText="1"/>
    </xf>
    <xf numFmtId="0" fontId="30" fillId="5" borderId="87" xfId="0" applyFont="1" applyFill="1" applyBorder="1" applyAlignment="1">
      <alignment horizontal="center" vertical="center" wrapText="1"/>
    </xf>
    <xf numFmtId="0" fontId="29" fillId="16" borderId="62" xfId="22" applyNumberFormat="1" applyFont="1" applyFill="1" applyBorder="1" applyAlignment="1">
      <alignment horizontal="center" vertical="center" textRotation="90" readingOrder="1"/>
    </xf>
    <xf numFmtId="0" fontId="29" fillId="16" borderId="64" xfId="22" applyNumberFormat="1" applyFont="1" applyFill="1" applyBorder="1" applyAlignment="1">
      <alignment horizontal="center" vertical="center" textRotation="90" readingOrder="1"/>
    </xf>
    <xf numFmtId="9" fontId="29" fillId="47" borderId="62" xfId="19" applyNumberFormat="1" applyFont="1" applyFill="1" applyBorder="1" applyAlignment="1">
      <alignment horizontal="center" vertical="center" textRotation="90" wrapText="1" readingOrder="1"/>
    </xf>
    <xf numFmtId="9" fontId="29" fillId="47" borderId="95" xfId="19" applyNumberFormat="1" applyFont="1" applyFill="1" applyBorder="1" applyAlignment="1">
      <alignment horizontal="center" vertical="center" textRotation="90" wrapText="1" readingOrder="1"/>
    </xf>
    <xf numFmtId="9" fontId="29" fillId="47" borderId="64" xfId="19" applyNumberFormat="1" applyFont="1" applyFill="1" applyBorder="1" applyAlignment="1">
      <alignment horizontal="center" vertical="center" textRotation="90" wrapText="1" readingOrder="1"/>
    </xf>
    <xf numFmtId="0" fontId="115" fillId="9" borderId="62" xfId="22" applyFont="1" applyFill="1" applyBorder="1" applyAlignment="1">
      <alignment horizontal="center" vertical="center" wrapText="1"/>
    </xf>
    <xf numFmtId="0" fontId="115" fillId="9" borderId="95" xfId="22" applyFont="1" applyFill="1" applyBorder="1" applyAlignment="1">
      <alignment horizontal="center" vertical="center" wrapText="1"/>
    </xf>
    <xf numFmtId="0" fontId="108" fillId="0" borderId="0" xfId="19" applyFont="1" applyAlignment="1">
      <alignment horizontal="left" vertical="center"/>
    </xf>
    <xf numFmtId="0" fontId="126" fillId="15" borderId="62" xfId="22" applyFont="1" applyFill="1" applyBorder="1" applyAlignment="1">
      <alignment horizontal="center" vertical="center" wrapText="1"/>
    </xf>
    <xf numFmtId="0" fontId="126" fillId="15" borderId="95" xfId="22" applyFont="1" applyFill="1" applyBorder="1" applyAlignment="1">
      <alignment horizontal="center" vertical="center" wrapText="1"/>
    </xf>
    <xf numFmtId="0" fontId="126" fillId="15" borderId="64" xfId="22" applyFont="1" applyFill="1" applyBorder="1" applyAlignment="1">
      <alignment horizontal="center" vertical="center" wrapText="1"/>
    </xf>
    <xf numFmtId="0" fontId="29" fillId="2" borderId="62" xfId="22" applyNumberFormat="1" applyFont="1" applyFill="1" applyBorder="1" applyAlignment="1">
      <alignment horizontal="center" vertical="center" textRotation="90" readingOrder="1"/>
    </xf>
    <xf numFmtId="0" fontId="29" fillId="2" borderId="95" xfId="22" applyNumberFormat="1" applyFont="1" applyFill="1" applyBorder="1" applyAlignment="1">
      <alignment horizontal="center" vertical="center" textRotation="90" readingOrder="1"/>
    </xf>
    <xf numFmtId="0" fontId="29" fillId="2" borderId="64" xfId="22" applyNumberFormat="1" applyFont="1" applyFill="1" applyBorder="1" applyAlignment="1">
      <alignment horizontal="center" vertical="center" textRotation="90" readingOrder="1"/>
    </xf>
    <xf numFmtId="0" fontId="29" fillId="14" borderId="62" xfId="22" applyNumberFormat="1" applyFont="1" applyFill="1" applyBorder="1" applyAlignment="1">
      <alignment horizontal="center" vertical="center" textRotation="90" readingOrder="1"/>
    </xf>
    <xf numFmtId="0" fontId="29" fillId="14" borderId="95" xfId="22" applyNumberFormat="1" applyFont="1" applyFill="1" applyBorder="1" applyAlignment="1">
      <alignment horizontal="center" vertical="center" textRotation="90" readingOrder="1"/>
    </xf>
    <xf numFmtId="0" fontId="29" fillId="14" borderId="64" xfId="22" applyNumberFormat="1" applyFont="1" applyFill="1" applyBorder="1" applyAlignment="1">
      <alignment horizontal="center" vertical="center" textRotation="90" readingOrder="1"/>
    </xf>
    <xf numFmtId="0" fontId="29" fillId="38" borderId="62" xfId="22" applyNumberFormat="1" applyFont="1" applyFill="1" applyBorder="1" applyAlignment="1">
      <alignment horizontal="center" vertical="center" textRotation="90" readingOrder="1"/>
    </xf>
    <xf numFmtId="0" fontId="29" fillId="38" borderId="95" xfId="22" applyNumberFormat="1" applyFont="1" applyFill="1" applyBorder="1" applyAlignment="1">
      <alignment horizontal="center" vertical="center" textRotation="90" readingOrder="1"/>
    </xf>
    <xf numFmtId="0" fontId="29" fillId="38" borderId="64" xfId="22" applyNumberFormat="1" applyFont="1" applyFill="1" applyBorder="1" applyAlignment="1">
      <alignment horizontal="center" vertical="center" textRotation="90" readingOrder="1"/>
    </xf>
    <xf numFmtId="0" fontId="29" fillId="9" borderId="62" xfId="22" applyNumberFormat="1" applyFont="1" applyFill="1" applyBorder="1" applyAlignment="1">
      <alignment horizontal="center" vertical="center" textRotation="90" readingOrder="1"/>
    </xf>
    <xf numFmtId="0" fontId="29" fillId="9" borderId="95" xfId="22" applyNumberFormat="1" applyFont="1" applyFill="1" applyBorder="1" applyAlignment="1">
      <alignment horizontal="center" vertical="center" textRotation="90" readingOrder="1"/>
    </xf>
    <xf numFmtId="0" fontId="29" fillId="9" borderId="64" xfId="22" applyNumberFormat="1" applyFont="1" applyFill="1" applyBorder="1" applyAlignment="1">
      <alignment horizontal="center" vertical="center" textRotation="90" readingOrder="1"/>
    </xf>
    <xf numFmtId="0" fontId="110" fillId="0" borderId="0" xfId="19" applyFont="1" applyAlignment="1">
      <alignment horizontal="left" vertical="center"/>
    </xf>
    <xf numFmtId="0" fontId="61" fillId="12" borderId="94" xfId="0" applyFont="1" applyFill="1" applyBorder="1" applyAlignment="1">
      <alignment horizontal="center" vertical="center"/>
    </xf>
    <xf numFmtId="0" fontId="68" fillId="0" borderId="33" xfId="0" applyFont="1" applyBorder="1" applyAlignment="1">
      <alignment horizontal="center" vertical="center" wrapText="1"/>
    </xf>
    <xf numFmtId="0" fontId="68" fillId="0" borderId="34" xfId="0" applyFont="1" applyBorder="1" applyAlignment="1">
      <alignment horizontal="center" vertical="center" wrapText="1"/>
    </xf>
    <xf numFmtId="0" fontId="67" fillId="8" borderId="96" xfId="0" applyFont="1" applyFill="1" applyBorder="1" applyAlignment="1">
      <alignment horizontal="center" vertical="top" wrapText="1"/>
    </xf>
    <xf numFmtId="0" fontId="67" fillId="8" borderId="98" xfId="0" applyFont="1" applyFill="1" applyBorder="1" applyAlignment="1">
      <alignment horizontal="center" vertical="top" wrapText="1"/>
    </xf>
    <xf numFmtId="0" fontId="67" fillId="8" borderId="97" xfId="0" applyFont="1" applyFill="1" applyBorder="1" applyAlignment="1">
      <alignment horizontal="center" vertical="top" wrapText="1"/>
    </xf>
    <xf numFmtId="0" fontId="67" fillId="14" borderId="104" xfId="0" applyFont="1" applyFill="1" applyBorder="1" applyAlignment="1">
      <alignment horizontal="center" vertical="center" wrapText="1"/>
    </xf>
    <xf numFmtId="0" fontId="67" fillId="14" borderId="99" xfId="0" applyFont="1" applyFill="1" applyBorder="1" applyAlignment="1">
      <alignment horizontal="center" vertical="center" wrapText="1"/>
    </xf>
    <xf numFmtId="0" fontId="67" fillId="14" borderId="105" xfId="0" applyFont="1" applyFill="1" applyBorder="1" applyAlignment="1">
      <alignment horizontal="center" vertical="center" wrapText="1"/>
    </xf>
    <xf numFmtId="0" fontId="67" fillId="36" borderId="96" xfId="0" applyFont="1" applyFill="1" applyBorder="1" applyAlignment="1">
      <alignment horizontal="center" vertical="top" wrapText="1"/>
    </xf>
    <xf numFmtId="0" fontId="67" fillId="36" borderId="98" xfId="0" applyFont="1" applyFill="1" applyBorder="1" applyAlignment="1">
      <alignment horizontal="center" vertical="top" wrapText="1"/>
    </xf>
    <xf numFmtId="0" fontId="67" fillId="36" borderId="97" xfId="0" applyFont="1" applyFill="1" applyBorder="1" applyAlignment="1">
      <alignment horizontal="center" vertical="top" wrapText="1"/>
    </xf>
    <xf numFmtId="0" fontId="119" fillId="12" borderId="96" xfId="0" applyFont="1" applyFill="1" applyBorder="1" applyAlignment="1">
      <alignment horizontal="center" vertical="top" wrapText="1"/>
    </xf>
    <xf numFmtId="0" fontId="119" fillId="12" borderId="98" xfId="0" applyFont="1" applyFill="1" applyBorder="1" applyAlignment="1">
      <alignment horizontal="center" vertical="top" wrapText="1"/>
    </xf>
    <xf numFmtId="0" fontId="119" fillId="12" borderId="97" xfId="0" applyFont="1" applyFill="1" applyBorder="1" applyAlignment="1">
      <alignment horizontal="center" vertical="top" wrapText="1"/>
    </xf>
    <xf numFmtId="0" fontId="85" fillId="41" borderId="0" xfId="0" applyFont="1" applyFill="1" applyAlignment="1">
      <alignment horizontal="center" vertical="center"/>
    </xf>
    <xf numFmtId="164" fontId="71" fillId="15" borderId="0" xfId="4" applyNumberFormat="1" applyFont="1" applyFill="1" applyAlignment="1">
      <alignment horizontal="center" vertical="center" wrapText="1"/>
    </xf>
  </cellXfs>
  <cellStyles count="70">
    <cellStyle name="Bad 2" xfId="24" xr:uid="{00000000-0005-0000-0000-000000000000}"/>
    <cellStyle name="Comma" xfId="4" builtinId="3"/>
    <cellStyle name="Comma 2" xfId="7" xr:uid="{00000000-0005-0000-0000-000002000000}"/>
    <cellStyle name="Comma 2 2" xfId="17" xr:uid="{00000000-0005-0000-0000-000003000000}"/>
    <cellStyle name="Comma 2 2 2" xfId="32" xr:uid="{00000000-0005-0000-0000-000003000000}"/>
    <cellStyle name="Comma 2 2 2 2" xfId="59" xr:uid="{EB727296-B114-45F0-B91C-966D7727921A}"/>
    <cellStyle name="Comma 2 2 3" xfId="41" xr:uid="{00000000-0005-0000-0000-000003000000}"/>
    <cellStyle name="Comma 2 2 3 2" xfId="68" xr:uid="{FAFF5E6A-C549-403C-90B8-6656B6ECFBAB}"/>
    <cellStyle name="Comma 2 2 4" xfId="50" xr:uid="{9ABFFDF0-3015-4C4F-B691-948CF02F8EEA}"/>
    <cellStyle name="Comma 2 3" xfId="27" xr:uid="{00000000-0005-0000-0000-000002000000}"/>
    <cellStyle name="Comma 2 3 2" xfId="54" xr:uid="{C8713475-8030-4DF6-AC42-B39632D45098}"/>
    <cellStyle name="Comma 2 4" xfId="36" xr:uid="{00000000-0005-0000-0000-000001000000}"/>
    <cellStyle name="Comma 2 4 2" xfId="63" xr:uid="{A301F4E2-F867-4E9C-ADA0-33FA62321EF3}"/>
    <cellStyle name="Comma 2 5" xfId="45" xr:uid="{85B3CDC6-6A1F-46B1-B16E-85A19DD2BD13}"/>
    <cellStyle name="Comma 4" xfId="5" xr:uid="{00000000-0005-0000-0000-000004000000}"/>
    <cellStyle name="Good 2" xfId="23" xr:uid="{00000000-0005-0000-0000-000005000000}"/>
    <cellStyle name="Heading 1 2" xfId="13" xr:uid="{00000000-0005-0000-0000-000006000000}"/>
    <cellStyle name="Normal" xfId="0" builtinId="0"/>
    <cellStyle name="Normal 2" xfId="8" xr:uid="{00000000-0005-0000-0000-000008000000}"/>
    <cellStyle name="Normal 2 2" xfId="14" xr:uid="{00000000-0005-0000-0000-000009000000}"/>
    <cellStyle name="Normal 2 2 2" xfId="29" xr:uid="{00000000-0005-0000-0000-000009000000}"/>
    <cellStyle name="Normal 2 2 2 2" xfId="56" xr:uid="{87B1BA68-CE94-44E9-BDA1-5D037F9234DE}"/>
    <cellStyle name="Normal 2 2 3" xfId="38" xr:uid="{00000000-0005-0000-0000-00001F000000}"/>
    <cellStyle name="Normal 2 2 3 2" xfId="65" xr:uid="{71A11110-D1CE-4416-BC4B-96AE59EA7BB9}"/>
    <cellStyle name="Normal 2 2 4" xfId="47" xr:uid="{8042F947-31C9-459C-ACFE-C205B96DF53C}"/>
    <cellStyle name="Normal 2 3" xfId="18" xr:uid="{00000000-0005-0000-0000-00000A000000}"/>
    <cellStyle name="Normal 2 3 2" xfId="33" xr:uid="{00000000-0005-0000-0000-00000A000000}"/>
    <cellStyle name="Normal 2 3 2 2" xfId="60" xr:uid="{CAFAB223-E5A1-435A-8AB3-51BA1D56BD46}"/>
    <cellStyle name="Normal 2 3 3" xfId="42" xr:uid="{00000000-0005-0000-0000-000020000000}"/>
    <cellStyle name="Normal 2 3 3 2" xfId="69" xr:uid="{DBC3DC88-A57E-4294-B32D-951ED532B939}"/>
    <cellStyle name="Normal 2 3 4" xfId="51" xr:uid="{7E0F19E1-9FF7-4631-9AE5-4441E273A666}"/>
    <cellStyle name="Normal 2 4" xfId="22" xr:uid="{00000000-0005-0000-0000-00000B000000}"/>
    <cellStyle name="Normal 2 5" xfId="28" xr:uid="{00000000-0005-0000-0000-000008000000}"/>
    <cellStyle name="Normal 2 5 2" xfId="55" xr:uid="{EF7E4DDF-1107-4FBC-8C82-D8CA60310296}"/>
    <cellStyle name="Normal 2 6" xfId="37" xr:uid="{00000000-0005-0000-0000-000005000000}"/>
    <cellStyle name="Normal 2 6 2" xfId="64" xr:uid="{3F774720-B507-4BD5-BB46-188344515E55}"/>
    <cellStyle name="Normal 2 7" xfId="46" xr:uid="{7730D354-FCCF-430A-A58B-3DB0A351FFA7}"/>
    <cellStyle name="Normal 3" xfId="11" xr:uid="{00000000-0005-0000-0000-00000C000000}"/>
    <cellStyle name="Normal 3 2" xfId="19" xr:uid="{00000000-0005-0000-0000-00000D000000}"/>
    <cellStyle name="Normal 4" xfId="2" xr:uid="{00000000-0005-0000-0000-00000E000000}"/>
    <cellStyle name="Normal 4 2" xfId="15" xr:uid="{00000000-0005-0000-0000-00000F000000}"/>
    <cellStyle name="Normal 4 2 2" xfId="30" xr:uid="{00000000-0005-0000-0000-00000F000000}"/>
    <cellStyle name="Normal 4 2 2 2" xfId="57" xr:uid="{B4E163C0-6410-483F-A340-F4BB72E0F6D3}"/>
    <cellStyle name="Normal 4 2 3" xfId="39" xr:uid="{00000000-0005-0000-0000-000025000000}"/>
    <cellStyle name="Normal 4 2 3 2" xfId="66" xr:uid="{A40E1F08-284D-4637-A4DC-33D65D6FF114}"/>
    <cellStyle name="Normal 4 2 4" xfId="48" xr:uid="{BD63CE74-2F20-46B1-B01D-1FEE8BE02A97}"/>
    <cellStyle name="Normal 4 3" xfId="25" xr:uid="{00000000-0005-0000-0000-00000E000000}"/>
    <cellStyle name="Normal 4 3 2" xfId="52" xr:uid="{6CBC85DC-365F-4A6D-A740-1C5107982369}"/>
    <cellStyle name="Normal 4 4" xfId="34" xr:uid="{00000000-0005-0000-0000-000006000000}"/>
    <cellStyle name="Normal 4 4 2" xfId="61" xr:uid="{974984FD-F5DB-4696-BEEF-4BEC99655362}"/>
    <cellStyle name="Normal 4 5" xfId="43" xr:uid="{24F8D3E5-1361-4F2A-9359-013869D9C022}"/>
    <cellStyle name="Normal_Sheet1" xfId="9" xr:uid="{00000000-0005-0000-0000-000010000000}"/>
    <cellStyle name="Normal_Sheet3_1" xfId="21" xr:uid="{00000000-0005-0000-0000-000011000000}"/>
    <cellStyle name="Normal_Township" xfId="10" xr:uid="{00000000-0005-0000-0000-000012000000}"/>
    <cellStyle name="Percent" xfId="1" builtinId="5"/>
    <cellStyle name="Percent 2" xfId="3" xr:uid="{00000000-0005-0000-0000-000014000000}"/>
    <cellStyle name="Percent 2 2" xfId="6" xr:uid="{00000000-0005-0000-0000-000015000000}"/>
    <cellStyle name="Percent 2 3" xfId="16" xr:uid="{00000000-0005-0000-0000-000016000000}"/>
    <cellStyle name="Percent 2 3 2" xfId="31" xr:uid="{00000000-0005-0000-0000-000016000000}"/>
    <cellStyle name="Percent 2 3 2 2" xfId="58" xr:uid="{EC7D924B-DCFB-46BF-B115-B1F0224B93CC}"/>
    <cellStyle name="Percent 2 3 3" xfId="40" xr:uid="{00000000-0005-0000-0000-00002C000000}"/>
    <cellStyle name="Percent 2 3 3 2" xfId="67" xr:uid="{3E6B3130-49F9-411F-B6E0-1D2A631B18B0}"/>
    <cellStyle name="Percent 2 3 4" xfId="49" xr:uid="{FBD511E0-FB86-4ECF-A5E2-FE2487C8E1E1}"/>
    <cellStyle name="Percent 2 4" xfId="26" xr:uid="{00000000-0005-0000-0000-000014000000}"/>
    <cellStyle name="Percent 2 4 2" xfId="53" xr:uid="{A52AA879-0053-415F-B49B-97B91825071B}"/>
    <cellStyle name="Percent 2 5" xfId="35" xr:uid="{00000000-0005-0000-0000-000008000000}"/>
    <cellStyle name="Percent 2 5 2" xfId="62" xr:uid="{FC7F4350-5AE8-44C2-A6E4-8477F0DE04B8}"/>
    <cellStyle name="Percent 2 6" xfId="44" xr:uid="{32B06535-8545-4C66-ACB1-3125BAADCC75}"/>
    <cellStyle name="Percent 3" xfId="12" xr:uid="{00000000-0005-0000-0000-000017000000}"/>
    <cellStyle name="Percent 3 2" xfId="20" xr:uid="{00000000-0005-0000-0000-000018000000}"/>
  </cellStyles>
  <dxfs count="771">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0"/>
        <color indexed="8"/>
        <name val="Corbel"/>
        <scheme val="none"/>
      </font>
      <fill>
        <patternFill patternType="none">
          <fgColor indexed="64"/>
          <bgColor indexed="65"/>
        </patternFill>
      </fill>
      <alignment horizontal="general" vertical="center" textRotation="0" wrapText="0" indent="0" justifyLastLine="0" shrinkToFit="0" readingOrder="0"/>
    </dxf>
    <dxf>
      <border outline="0">
        <bottom style="thin">
          <color theme="4" tint="0.39997558519241921"/>
        </bottom>
      </border>
    </dxf>
    <dxf>
      <font>
        <b val="0"/>
        <i val="0"/>
        <strike val="0"/>
        <condense val="0"/>
        <extend val="0"/>
        <outline val="0"/>
        <shadow val="0"/>
        <u val="none"/>
        <vertAlign val="baseline"/>
        <sz val="10"/>
        <color theme="1"/>
        <name val="Corbel"/>
        <scheme val="none"/>
      </font>
      <fill>
        <patternFill patternType="none">
          <fgColor indexed="64"/>
          <bgColor indexed="65"/>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ont>
        <b/>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8"/>
        </left>
        <right/>
        <top style="thin">
          <color theme="8"/>
        </top>
        <bottom style="thin">
          <color theme="8"/>
        </bottom>
      </border>
    </dxf>
    <dxf>
      <font>
        <b/>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8"/>
        </left>
        <right style="thin">
          <color theme="8"/>
        </right>
        <top style="thin">
          <color theme="8"/>
        </top>
        <bottom style="thin">
          <color theme="8"/>
        </bottom>
      </border>
    </dxf>
    <dxf>
      <font>
        <b/>
        <i val="0"/>
        <strike val="0"/>
        <condense val="0"/>
        <extend val="0"/>
        <outline val="0"/>
        <shadow val="0"/>
        <u val="none"/>
        <vertAlign val="baseline"/>
        <sz val="10"/>
        <color theme="1"/>
        <name val="Calibri"/>
        <scheme val="minor"/>
      </font>
      <numFmt numFmtId="164" formatCode="_(* #,##0_);_(* \(#,##0\);_(* &quot;-&quot;??_);_(@_)"/>
      <fill>
        <patternFill patternType="none">
          <fgColor indexed="64"/>
          <bgColor auto="1"/>
        </patternFill>
      </fill>
      <alignment horizontal="general" vertical="center" textRotation="0" wrapText="0" indent="0" justifyLastLine="0" shrinkToFit="0" readingOrder="0"/>
      <border diagonalUp="0" diagonalDown="0"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theme="8"/>
        </right>
        <top style="thin">
          <color theme="8"/>
        </top>
        <bottom style="thin">
          <color theme="8"/>
        </bottom>
      </border>
    </dxf>
    <dxf>
      <border>
        <top style="thin">
          <color rgb="FF4472C4"/>
        </top>
      </border>
    </dxf>
    <dxf>
      <border diagonalUp="0" diagonalDown="0">
        <left style="thin">
          <color rgb="FF4472C4"/>
        </left>
        <right style="thin">
          <color rgb="FF4472C4"/>
        </right>
        <top style="thin">
          <color rgb="FF4472C4"/>
        </top>
        <bottom style="thin">
          <color rgb="FF4472C4"/>
        </bottom>
      </border>
    </dxf>
    <dxf>
      <fill>
        <patternFill patternType="none">
          <fgColor rgb="FF000000"/>
          <bgColor auto="1"/>
        </patternFill>
      </fill>
    </dxf>
    <dxf>
      <border>
        <bottom style="thin">
          <color rgb="FF4472C4"/>
        </bottom>
      </border>
    </dxf>
    <dxf>
      <font>
        <b/>
        <i val="0"/>
        <strike val="0"/>
        <condense val="0"/>
        <extend val="0"/>
        <outline val="0"/>
        <shadow val="0"/>
        <u val="none"/>
        <vertAlign val="baseline"/>
        <sz val="10"/>
        <color theme="0"/>
        <name val="Calibri"/>
        <scheme val="minor"/>
      </font>
      <fill>
        <patternFill patternType="solid">
          <fgColor theme="4"/>
          <bgColor theme="4"/>
        </patternFill>
      </fill>
      <alignment horizontal="center" vertical="center" textRotation="0" wrapText="1" indent="0" justifyLastLine="0" shrinkToFit="0" readingOrder="0"/>
      <border diagonalUp="0" diagonalDown="0" outline="0">
        <left style="thin">
          <color theme="8"/>
        </left>
        <right style="thin">
          <color theme="8"/>
        </right>
        <top/>
        <bottom/>
      </border>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3" formatCode="0%"/>
    </dxf>
    <dxf>
      <numFmt numFmtId="13" formatCode="0%"/>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font>
        <sz val="11"/>
      </font>
    </dxf>
    <dxf>
      <alignment wrapText="1"/>
    </dxf>
    <dxf>
      <alignment wrapText="1"/>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color theme="0"/>
      </font>
      <fill>
        <patternFill patternType="solid">
          <fgColor indexed="64"/>
          <bgColor rgb="FF002060"/>
        </patternFill>
      </fill>
    </dxf>
    <dxf>
      <font>
        <b/>
        <color theme="0"/>
      </font>
      <fill>
        <patternFill patternType="solid">
          <fgColor indexed="64"/>
          <bgColor rgb="FF002060"/>
        </patternFill>
      </fill>
      <alignment horizontal="general" vertical="bottom" textRotation="0" wrapText="0" indent="0" justifyLastLine="0" shrinkToFit="0" readingOrder="0"/>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font>
        <b/>
        <color theme="0"/>
      </font>
      <fill>
        <patternFill patternType="solid">
          <fgColor indexed="64"/>
          <bgColor rgb="FF002060"/>
        </patternFill>
      </fill>
      <alignment wrapText="1"/>
    </dxf>
    <dxf>
      <font>
        <b/>
        <color theme="0"/>
      </font>
      <fill>
        <patternFill patternType="solid">
          <fgColor indexed="64"/>
          <bgColor rgb="FF002060"/>
        </patternFill>
      </fill>
      <alignment wrapText="1" readingOrder="0"/>
    </dxf>
    <dxf>
      <font>
        <b/>
        <color theme="0"/>
      </font>
      <fill>
        <patternFill patternType="solid">
          <fgColor indexed="64"/>
          <bgColor rgb="FF002060"/>
        </patternFill>
      </fill>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alignment wrapText="1"/>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0"/>
      </font>
    </dxf>
    <dxf>
      <font>
        <name val="Calibri"/>
        <scheme val="minor"/>
      </font>
    </dxf>
    <dxf>
      <font>
        <name val="Calibri"/>
        <scheme val="minor"/>
      </font>
    </dxf>
    <dxf>
      <alignment vertical="top"/>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0"/>
      </font>
    </dxf>
    <dxf>
      <font>
        <name val="Calibri"/>
        <scheme val="minor"/>
      </font>
    </dxf>
    <dxf>
      <font>
        <name val="Calibri"/>
        <scheme val="minor"/>
      </font>
    </dxf>
    <dxf>
      <numFmt numFmtId="164" formatCode="_(* #,##0_);_(* \(#,##0\);_(* &quot;-&quot;??_);_(@_)"/>
    </dxf>
    <dxf>
      <numFmt numFmtId="0" formatCode="General"/>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alignment vertical="bottom"/>
    </dxf>
    <dxf>
      <alignment horizontal="center"/>
    </dxf>
    <dxf>
      <alignment wrapText="1"/>
    </dxf>
    <dxf>
      <numFmt numFmtId="164" formatCode="_(* #,##0_);_(* \(#,##0\);_(* &quot;-&quot;??_);_(@_)"/>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0"/>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font>
        <b/>
        <color theme="0"/>
      </font>
      <fill>
        <patternFill patternType="solid">
          <fgColor indexed="64"/>
          <bgColor rgb="FF002060"/>
        </patternFill>
      </fill>
    </dxf>
    <dxf>
      <font>
        <b/>
        <color theme="0"/>
      </font>
      <fill>
        <patternFill patternType="solid">
          <fgColor indexed="64"/>
          <bgColor rgb="FF002060"/>
        </patternFill>
      </fill>
    </dxf>
    <dxf>
      <font>
        <b/>
        <color theme="0"/>
      </font>
      <fill>
        <patternFill patternType="solid">
          <fgColor indexed="64"/>
          <bgColor rgb="FF002060"/>
        </patternFill>
      </fill>
      <alignment horizontal="general" vertical="bottom" textRotation="0" wrapText="0" indent="0" justifyLastLine="0" shrinkToFit="0" readingOrder="0"/>
    </dxf>
    <dxf>
      <alignment horizontal="center" readingOrder="0"/>
    </dxf>
    <dxf>
      <alignment vertical="center" readingOrder="0"/>
    </dxf>
    <dxf>
      <alignment wrapText="1" readingOrder="0"/>
    </dxf>
    <dxf>
      <numFmt numFmtId="13" formatCode="0%"/>
    </dxf>
    <dxf>
      <font>
        <sz val="11"/>
      </font>
    </dxf>
    <dxf>
      <font>
        <sz val="11"/>
      </font>
    </dxf>
    <dxf>
      <font>
        <name val="Calibri"/>
        <scheme val="minor"/>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numFmt numFmtId="13" formatCode="0%"/>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font>
        <sz val="11"/>
      </font>
    </dxf>
    <dxf>
      <alignment wrapText="1"/>
    </dxf>
    <dxf>
      <alignment wrapText="1"/>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numFmt numFmtId="164" formatCode="_(* #,##0_);_(* \(#,##0\);_(* &quot;-&quot;??_);_(@_)"/>
    </dxf>
    <dxf>
      <numFmt numFmtId="13" formatCode="0%"/>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numFmt numFmtId="164" formatCode="_(* #,##0_);_(* \(#,##0\);_(* &quot;-&quot;??_);_(@_)"/>
    </dxf>
    <dxf>
      <font>
        <b/>
        <color theme="0"/>
      </font>
      <fill>
        <patternFill patternType="solid">
          <fgColor indexed="64"/>
          <bgColor theme="3" tint="-0.499984740745262"/>
        </patternFill>
      </fill>
      <alignment horizontal="left" vertical="center" wrapText="1" readingOrder="0"/>
    </dxf>
    <dxf>
      <font>
        <b/>
        <color theme="0"/>
      </font>
      <fill>
        <patternFill patternType="solid">
          <fgColor indexed="64"/>
          <bgColor theme="3" tint="-0.499984740745262"/>
        </patternFill>
      </fill>
      <alignment horizontal="left" vertical="center" readingOrder="0"/>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13" formatCode="0%"/>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numFmt numFmtId="164" formatCode="_(* #,##0_);_(* \(#,##0\);_(* &quot;-&quot;??_);_(@_)"/>
    </dxf>
    <dxf>
      <font>
        <b/>
        <color theme="0"/>
      </font>
      <fill>
        <patternFill patternType="solid">
          <fgColor indexed="64"/>
          <bgColor theme="3" tint="-0.499984740745262"/>
        </patternFill>
      </fill>
    </dxf>
    <dxf>
      <font>
        <b/>
        <color theme="0"/>
      </font>
      <fill>
        <patternFill patternType="solid">
          <fgColor indexed="64"/>
          <bgColor theme="3" tint="-0.499984740745262"/>
        </patternFill>
      </fill>
    </dxf>
    <dxf>
      <font>
        <sz val="11"/>
      </font>
    </dxf>
    <dxf>
      <font>
        <sz val="11"/>
      </font>
    </dxf>
    <dxf>
      <font>
        <sz val="11"/>
      </font>
    </dxf>
    <dxf>
      <font>
        <sz val="11"/>
      </font>
    </dxf>
    <dxf>
      <font>
        <sz val="11"/>
      </font>
    </dxf>
    <dxf>
      <font>
        <sz val="11"/>
      </font>
    </dxf>
    <dxf>
      <alignment wrapText="1"/>
    </dxf>
    <dxf>
      <alignment wrapText="1"/>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alignment wrapText="1"/>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patternType="solid">
          <fgColor indexed="64"/>
          <bgColor theme="0" tint="-0.249977111117893"/>
        </patternFill>
      </fill>
    </dxf>
    <dxf>
      <fill>
        <patternFill patternType="solid">
          <fgColor indexed="64"/>
          <bgColor theme="0" tint="-0.249977111117893"/>
        </patternFill>
      </fill>
    </dxf>
    <dxf>
      <numFmt numFmtId="164" formatCode="_(* #,##0_);_(* \(#,##0\);_(* &quot;-&quot;??_);_(@_)"/>
    </dxf>
    <dxf>
      <numFmt numFmtId="164" formatCode="_(* #,##0_);_(* \(#,##0\);_(* &quot;-&quot;??_);_(@_)"/>
    </dxf>
    <dxf>
      <fill>
        <patternFill patternType="solid">
          <fgColor indexed="64"/>
          <bgColor theme="0" tint="-0.249977111117893"/>
        </patternFill>
      </fill>
    </dxf>
    <dxf>
      <alignment wrapText="1"/>
    </dxf>
    <dxf>
      <alignment wrapText="1"/>
    </dxf>
    <dxf>
      <fill>
        <patternFill patternType="solid">
          <fgColor indexed="64"/>
          <bgColor theme="0" tint="-0.249977111117893"/>
        </patternFill>
      </fill>
      <alignment vertical="center"/>
    </dxf>
    <dxf>
      <alignment vertical="center"/>
    </dxf>
    <dxf>
      <fill>
        <patternFill patternType="solid">
          <bgColor theme="0" tint="-0.249977111117893"/>
        </patternFill>
      </fill>
    </dxf>
    <dxf>
      <fill>
        <patternFill patternType="solid">
          <bgColor theme="0" tint="-0.249977111117893"/>
        </patternFill>
      </fill>
    </dxf>
    <dxf>
      <fill>
        <patternFill>
          <bgColor theme="9" tint="-0.249977111117893"/>
        </patternFill>
      </fill>
    </dxf>
    <dxf>
      <fill>
        <patternFill>
          <bgColor theme="9" tint="-0.249977111117893"/>
        </patternFill>
      </fill>
    </dxf>
    <dxf>
      <fill>
        <patternFill>
          <bgColor theme="5" tint="-0.249977111117893"/>
        </patternFill>
      </fill>
    </dxf>
    <dxf>
      <fill>
        <patternFill>
          <bgColor theme="5" tint="-0.249977111117893"/>
        </patternFill>
      </fill>
    </dxf>
    <dxf>
      <fill>
        <patternFill>
          <fgColor theme="5" tint="-0.249977111117893"/>
        </patternFill>
      </fill>
    </dxf>
    <dxf>
      <fill>
        <patternFill>
          <fgColor theme="9" tint="-0.249977111117893"/>
        </patternFill>
      </fill>
    </dxf>
    <dxf>
      <alignment vertical="center"/>
    </dxf>
    <dxf>
      <numFmt numFmtId="164" formatCode="_(* #,##0_);_(* \(#,##0\);_(* &quot;-&quot;??_);_(@_)"/>
    </dxf>
    <dxf>
      <font>
        <color theme="0"/>
      </font>
      <numFmt numFmtId="164" formatCode="_(* #,##0_);_(* \(#,##0\);_(* &quot;-&quot;??_);_(@_)"/>
      <fill>
        <patternFill patternType="solid">
          <fgColor indexed="64"/>
          <bgColor theme="1"/>
        </patternFill>
      </fill>
    </dxf>
    <dxf>
      <font>
        <color theme="0"/>
      </font>
      <fill>
        <patternFill patternType="solid">
          <fgColor indexed="64"/>
          <bgColor rgb="FF0070C0"/>
        </patternFill>
      </fill>
      <alignment horizontal="center"/>
    </dxf>
    <dxf>
      <font>
        <color theme="0"/>
      </font>
      <fill>
        <patternFill patternType="solid">
          <fgColor indexed="64"/>
          <bgColor rgb="FF0070C0"/>
        </patternFill>
      </fill>
      <alignment horizontal="center"/>
    </dxf>
    <dxf>
      <font>
        <color theme="0"/>
      </font>
      <fill>
        <patternFill patternType="solid">
          <fgColor indexed="64"/>
          <bgColor theme="1"/>
        </patternFill>
      </fill>
      <alignment horizontal="center"/>
    </dxf>
    <dxf>
      <numFmt numFmtId="164" formatCode="_(* #,##0_);_(* \(#,##0\);_(* &quot;-&quot;??_);_(@_)"/>
    </dxf>
    <dxf>
      <font>
        <b/>
      </font>
    </dxf>
    <dxf>
      <font>
        <color theme="0"/>
      </font>
      <fill>
        <patternFill patternType="solid">
          <fgColor indexed="64"/>
          <bgColor theme="1"/>
        </patternFill>
      </fill>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alignment wrapText="1"/>
    </dxf>
    <dxf>
      <font>
        <color theme="0"/>
      </font>
      <numFmt numFmtId="164" formatCode="_(* #,##0_);_(* \(#,##0\);_(* &quot;-&quot;??_);_(@_)"/>
      <fill>
        <patternFill patternType="solid">
          <fgColor indexed="64"/>
          <bgColor rgb="FF0070C0"/>
        </patternFill>
      </fill>
    </dxf>
    <dxf>
      <font>
        <color theme="0"/>
      </font>
      <fill>
        <patternFill patternType="solid">
          <fgColor indexed="64"/>
          <bgColor rgb="FF0070C0"/>
        </patternFill>
      </fill>
      <alignment horizontal="center"/>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dxf>
    <dxf>
      <numFmt numFmtId="3" formatCode="#,##0"/>
    </dxf>
    <dxf>
      <font>
        <name val="Calibri"/>
        <scheme val="minor"/>
      </font>
    </dxf>
    <dxf>
      <font>
        <name val="Calibri"/>
        <scheme val="minor"/>
      </font>
    </dxf>
    <dxf>
      <alignment wrapText="1"/>
    </dxf>
    <dxf>
      <numFmt numFmtId="0" formatCode="General"/>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alignment horizontal="general" vertical="bottom" textRotation="0" wrapText="1" indent="0" justifyLastLine="0" shrinkToFit="0" readingOrder="1"/>
    </dxf>
    <dxf>
      <font>
        <strike val="0"/>
        <outline val="0"/>
        <shadow val="0"/>
        <u val="none"/>
        <vertAlign val="baseline"/>
        <sz val="10"/>
        <name val="Calibri"/>
        <scheme val="minor"/>
      </font>
      <numFmt numFmtId="165" formatCode="[$-409]d\-mmm\-yy;@"/>
      <fill>
        <patternFill patternType="none">
          <bgColor auto="1"/>
        </patternFill>
      </fill>
    </dxf>
    <dxf>
      <font>
        <strike val="0"/>
        <outline val="0"/>
        <shadow val="0"/>
        <u val="none"/>
        <vertAlign val="baseline"/>
        <sz val="10"/>
        <name val="Calibri"/>
        <scheme val="minor"/>
      </font>
      <numFmt numFmtId="1" formatCode="0"/>
      <fill>
        <patternFill patternType="none">
          <bgColor auto="1"/>
        </patternFill>
      </fill>
    </dxf>
    <dxf>
      <font>
        <strike val="0"/>
        <outline val="0"/>
        <shadow val="0"/>
        <u val="none"/>
        <vertAlign val="baseline"/>
        <sz val="10"/>
        <name val="Calibri"/>
        <scheme val="minor"/>
      </font>
      <numFmt numFmtId="0" formatCode="General"/>
      <fill>
        <patternFill patternType="none">
          <bgColor auto="1"/>
        </patternFill>
      </fill>
      <alignment horizontal="general" vertical="bottom" textRotation="0" wrapText="1" indent="0" justifyLastLine="0" shrinkToFit="0" readingOrder="1"/>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b val="0"/>
        <i val="0"/>
        <strike val="0"/>
        <condense val="0"/>
        <extend val="0"/>
        <outline val="0"/>
        <shadow val="0"/>
        <u val="none"/>
        <vertAlign val="baseline"/>
        <sz val="10"/>
        <color theme="1"/>
        <name val="Calibri"/>
        <scheme val="minor"/>
      </font>
      <fill>
        <patternFill patternType="none">
          <bgColor auto="1"/>
        </patternFill>
      </fill>
    </dxf>
    <dxf>
      <font>
        <strike val="0"/>
        <outline val="0"/>
        <shadow val="0"/>
        <u val="none"/>
        <vertAlign val="baseline"/>
        <sz val="10"/>
        <name val="Calibri"/>
        <scheme val="minor"/>
      </font>
      <fill>
        <patternFill patternType="none">
          <bgColor auto="1"/>
        </patternFill>
      </fill>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dxf>
    <dxf>
      <font>
        <strike val="0"/>
        <outline val="0"/>
        <shadow val="0"/>
        <u val="none"/>
        <vertAlign val="baseline"/>
        <sz val="10"/>
        <name val="Calibri"/>
        <scheme val="minor"/>
      </font>
      <numFmt numFmtId="1" formatCode="0"/>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strike val="0"/>
        <outline val="0"/>
        <shadow val="0"/>
        <u val="none"/>
        <vertAlign val="baseline"/>
        <sz val="10"/>
        <name val="Calibri"/>
        <scheme val="minor"/>
      </font>
      <numFmt numFmtId="1" formatCode="0"/>
      <fill>
        <patternFill patternType="none">
          <fgColor indexed="64"/>
          <bgColor indexed="65"/>
        </patternFill>
      </fill>
    </dxf>
    <dxf>
      <fill>
        <patternFill patternType="none">
          <bgColor auto="1"/>
        </patternFill>
      </fill>
    </dxf>
    <dxf>
      <font>
        <strike val="0"/>
        <outline val="0"/>
        <shadow val="0"/>
        <u val="none"/>
        <vertAlign val="baseline"/>
        <sz val="10"/>
        <name val="Calibri"/>
        <scheme val="minor"/>
      </font>
    </dxf>
    <dxf>
      <font>
        <b/>
        <i val="0"/>
        <color rgb="FFFF0000"/>
      </font>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solid">
          <fgColor indexed="64"/>
          <bgColor theme="0" tint="-0.1499984740745262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2" formatCode="0.0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3" formatCode="0%"/>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30" formatCode="@"/>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 formatCode="0"/>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solid">
          <fgColor indexed="64"/>
          <bgColor theme="4" tint="0.5999938962981048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family val="2"/>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5" formatCode="[$-409]d\-mmm\-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5" formatCode="[$-409]d\-mmm\-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8" formatCode="[$-409]d\-mmm\-yyyy;@"/>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4" formatCode="_(* #,##0_);_(* \(#,##0\);_(* &quot;-&quot;??_);_(@_)"/>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0" formatCode="General"/>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auto="1"/>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10"/>
        <color rgb="FF2C2C2C"/>
        <name val="Corbel"/>
        <scheme val="none"/>
      </font>
      <numFmt numFmtId="167" formatCode="yyyy/mm/dd"/>
      <fill>
        <patternFill patternType="none">
          <fgColor indexed="64"/>
          <bgColor auto="1"/>
        </patternFill>
      </fill>
      <alignment horizontal="left" vertical="center" textRotation="0" wrapText="0" indent="0" justifyLastLine="0" shrinkToFit="0" readingOrder="1"/>
    </dxf>
    <dxf>
      <border outline="0">
        <left style="medium">
          <color rgb="FFFFFFFF"/>
        </left>
      </border>
    </dxf>
    <dxf>
      <font>
        <b val="0"/>
        <i val="0"/>
        <strike val="0"/>
        <condense val="0"/>
        <extend val="0"/>
        <outline val="0"/>
        <shadow val="0"/>
        <u val="none"/>
        <vertAlign val="baseline"/>
        <sz val="10"/>
        <color rgb="FF2C2C2C"/>
        <name val="Corbel"/>
        <scheme val="none"/>
      </font>
      <fill>
        <patternFill patternType="none">
          <fgColor indexed="64"/>
          <bgColor auto="1"/>
        </patternFill>
      </fill>
      <alignment horizontal="left" vertical="center" textRotation="0" wrapText="0" indent="0" justifyLastLine="0" shrinkToFit="0" readingOrder="1"/>
    </dxf>
    <dxf>
      <border outline="0">
        <bottom style="medium">
          <color rgb="FFFFFFFF"/>
        </bottom>
      </border>
    </dxf>
    <dxf>
      <font>
        <b val="0"/>
        <strike val="0"/>
        <outline val="0"/>
        <shadow val="0"/>
        <u val="none"/>
        <vertAlign val="baseline"/>
        <sz val="9"/>
        <name val="Corbel"/>
        <scheme val="none"/>
      </font>
      <fill>
        <patternFill patternType="none">
          <fgColor indexed="64"/>
          <bgColor auto="1"/>
        </patternFill>
      </fill>
      <alignment textRotation="0" wrapText="1" indent="0" justifyLastLine="0" shrinkToFit="0"/>
    </dxf>
    <dxf>
      <fill>
        <patternFill>
          <bgColor theme="4" tint="-0.24994659260841701"/>
        </patternFill>
      </fill>
    </dxf>
    <dxf>
      <fill>
        <patternFill>
          <bgColor rgb="FFCEFD95"/>
        </patternFill>
      </fill>
    </dxf>
    <dxf>
      <fill>
        <patternFill>
          <bgColor theme="4" tint="0.59996337778862885"/>
        </patternFill>
      </fill>
    </dxf>
    <dxf>
      <fill>
        <patternFill>
          <bgColor rgb="FFE1F3F2"/>
        </patternFill>
      </fill>
    </dxf>
    <dxf>
      <fill>
        <patternFill>
          <bgColor rgb="FFEAFFC1"/>
        </patternFill>
      </fill>
    </dxf>
    <dxf>
      <fill>
        <patternFill>
          <bgColor rgb="FFFCFCD0"/>
        </patternFill>
      </fill>
    </dxf>
    <dxf>
      <fill>
        <patternFill>
          <bgColor theme="7" tint="0.79998168889431442"/>
        </patternFill>
      </fill>
    </dxf>
    <dxf>
      <fill>
        <patternFill>
          <bgColor theme="4" tint="0.79998168889431442"/>
        </patternFill>
      </fill>
      <border>
        <left style="thin">
          <color theme="8"/>
        </left>
        <right style="thin">
          <color theme="8"/>
        </right>
        <top style="thin">
          <color theme="8"/>
        </top>
        <bottom style="thin">
          <color theme="8"/>
        </bottom>
        <vertical style="thin">
          <color theme="8"/>
        </vertical>
        <horizontal style="thin">
          <color theme="8"/>
        </horizontal>
      </border>
    </dxf>
    <dxf>
      <border>
        <vertical style="thin">
          <color auto="1"/>
        </vertical>
        <horizontal style="thin">
          <color auto="1"/>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vertical style="thin">
          <color theme="4"/>
        </vertical>
        <horizontal style="thin">
          <color theme="4"/>
        </horizontal>
      </border>
    </dxf>
    <dxf>
      <border>
        <vertical style="thin">
          <color theme="4" tint="0.39994506668294322"/>
        </vertical>
        <horizontal style="thin">
          <color theme="4" tint="0.39994506668294322"/>
        </horizontal>
      </border>
    </dxf>
    <dxf>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left style="thin">
          <color theme="4"/>
        </left>
        <right style="thin">
          <color theme="4"/>
        </right>
        <top style="thin">
          <color theme="4"/>
        </top>
        <bottom style="thin">
          <color theme="4"/>
        </bottom>
        <vertical style="thin">
          <color theme="4"/>
        </vertical>
        <horizontal/>
      </border>
    </dxf>
    <dxf>
      <font>
        <color theme="4" tint="-0.249977111117893"/>
      </font>
    </dxf>
    <dxf>
      <font>
        <color theme="4" tint="-0.249977111117893"/>
      </font>
    </dxf>
    <dxf>
      <font>
        <color theme="4" tint="-0.249977111117893"/>
      </font>
    </dxf>
    <dxf>
      <font>
        <color theme="4" tint="-0.249977111117893"/>
      </font>
    </dxf>
    <dxf>
      <fill>
        <patternFill patternType="solid">
          <fgColor theme="4" tint="0.79998168889431442"/>
          <bgColor theme="4" tint="0.79998168889431442"/>
        </patternFill>
      </fill>
    </dxf>
    <dxf>
      <fill>
        <patternFill patternType="solid">
          <fgColor theme="4" tint="0.79998168889431442"/>
          <bgColor theme="4" tint="0.79998168889431442"/>
        </patternFill>
      </fill>
      <border>
        <top style="thin">
          <color theme="1" tint="0.499984740745262"/>
        </top>
        <bottom style="thin">
          <color theme="1" tint="0.499984740745262"/>
        </bottom>
      </border>
    </dxf>
    <dxf>
      <font>
        <color theme="4" tint="-0.249977111117893"/>
      </font>
    </dxf>
    <dxf>
      <font>
        <color theme="4" tint="-0.249977111117893"/>
      </font>
      <border>
        <top style="thin">
          <color theme="4"/>
        </top>
      </border>
    </dxf>
    <dxf>
      <font>
        <color theme="4" tint="-0.249977111117893"/>
      </font>
      <border>
        <bottom style="thin">
          <color theme="4"/>
        </bottom>
      </border>
    </dxf>
    <dxf>
      <font>
        <color theme="4" tint="-0.249977111117893"/>
      </font>
      <border>
        <left style="thin">
          <color theme="4"/>
        </left>
        <right style="thin">
          <color theme="4"/>
        </right>
        <top style="thin">
          <color theme="4"/>
        </top>
        <bottom style="thin">
          <color theme="4"/>
        </bottom>
        <vertical style="thin">
          <color theme="4"/>
        </vertical>
      </border>
    </dxf>
    <dxf>
      <font>
        <b/>
        <color theme="1"/>
      </font>
    </dxf>
    <dxf>
      <font>
        <b/>
        <color theme="1"/>
      </font>
      <fill>
        <patternFill patternType="solid">
          <fgColor theme="9" tint="0.79998168889431442"/>
          <bgColor theme="9" tint="0.79998168889431442"/>
        </patternFill>
      </fill>
      <border>
        <bottom style="thin">
          <color theme="0"/>
        </bottom>
      </border>
    </dxf>
    <dxf>
      <border>
        <top style="thin">
          <color theme="9" tint="0.79998168889431442"/>
        </top>
      </border>
    </dxf>
    <dxf>
      <border>
        <top style="thin">
          <color theme="9" tint="0.79998168889431442"/>
        </top>
      </border>
    </dxf>
    <dxf>
      <font>
        <b/>
        <color theme="1"/>
      </font>
    </dxf>
    <dxf>
      <font>
        <b/>
        <color theme="1"/>
      </font>
      <fill>
        <patternFill patternType="solid">
          <fgColor theme="9" tint="0.79998168889431442"/>
          <bgColor theme="9" tint="0.79998168889431442"/>
        </patternFill>
      </fill>
      <border>
        <top style="thin">
          <color theme="9" tint="0.59999389629810485"/>
        </top>
        <bottom style="thin">
          <color theme="9" tint="0.59999389629810485"/>
        </bottom>
      </border>
    </dxf>
    <dxf>
      <border>
        <left style="thin">
          <color theme="9"/>
        </left>
        <right style="thin">
          <color theme="9"/>
        </right>
        <top style="thin">
          <color theme="9"/>
        </top>
        <bottom style="thin">
          <color theme="9"/>
        </bottom>
      </border>
    </dxf>
    <dxf>
      <border>
        <left style="thin">
          <color theme="9" tint="0.59999389629810485"/>
        </left>
        <right style="thin">
          <color theme="9" tint="0.59999389629810485"/>
        </right>
        <top style="thin">
          <color theme="9" tint="0.59999389629810485"/>
        </top>
        <bottom style="thin">
          <color theme="9" tint="0.59999389629810485"/>
        </bottom>
      </border>
    </dxf>
    <dxf>
      <border>
        <right style="thin">
          <color theme="9"/>
        </right>
      </border>
    </dxf>
    <dxf>
      <font>
        <b/>
        <color theme="1"/>
      </font>
      <border>
        <left style="medium">
          <color theme="9"/>
        </left>
        <right style="medium">
          <color theme="9"/>
        </right>
        <top style="medium">
          <color theme="9"/>
        </top>
        <bottom style="medium">
          <color theme="9"/>
        </bottom>
      </border>
    </dxf>
    <dxf>
      <font>
        <b/>
        <color theme="1"/>
      </font>
      <border>
        <left style="medium">
          <color theme="9"/>
        </left>
        <right style="medium">
          <color theme="9"/>
        </right>
        <top style="medium">
          <color theme="9"/>
        </top>
        <bottom style="medium">
          <color theme="9"/>
        </bottom>
        <horizontal style="thin">
          <color theme="0"/>
        </horizontal>
      </border>
    </dxf>
    <dxf>
      <font>
        <color theme="9" tint="-0.249977111117893"/>
      </font>
      <border>
        <vertical style="thin">
          <color theme="9" tint="0.59996337778862885"/>
        </vertical>
        <horizontal style="thin">
          <color theme="9" tint="0.59996337778862885"/>
        </horizontal>
      </border>
    </dxf>
    <dxf>
      <font>
        <b/>
        <color theme="1"/>
      </font>
    </dxf>
    <dxf>
      <font>
        <b/>
        <color theme="1"/>
      </font>
      <fill>
        <patternFill patternType="solid">
          <fgColor theme="5" tint="0.79998168889431442"/>
          <bgColor theme="5" tint="0.79998168889431442"/>
        </patternFill>
      </fill>
      <border>
        <bottom style="thin">
          <color theme="0"/>
        </bottom>
      </border>
    </dxf>
    <dxf>
      <border>
        <top style="thin">
          <color theme="5" tint="0.79998168889431442"/>
        </top>
      </border>
    </dxf>
    <dxf>
      <border>
        <top style="thin">
          <color theme="5" tint="0.79998168889431442"/>
        </top>
      </border>
    </dxf>
    <dxf>
      <font>
        <b/>
        <color theme="1"/>
      </font>
    </dxf>
    <dxf>
      <font>
        <b/>
        <color theme="1"/>
      </font>
      <fill>
        <patternFill patternType="solid">
          <fgColor theme="5" tint="0.79998168889431442"/>
          <bgColor theme="5" tint="0.79998168889431442"/>
        </patternFill>
      </fill>
      <border>
        <top style="thin">
          <color theme="5" tint="0.59999389629810485"/>
        </top>
        <bottom style="thin">
          <color theme="5" tint="0.59999389629810485"/>
        </bottom>
      </border>
    </dxf>
    <dxf>
      <border>
        <left style="thin">
          <color theme="5"/>
        </left>
        <right style="thin">
          <color theme="5"/>
        </right>
        <top style="thin">
          <color theme="5"/>
        </top>
        <bottom style="thin">
          <color theme="5"/>
        </bottom>
      </border>
    </dxf>
    <dxf>
      <border>
        <left style="thin">
          <color theme="5" tint="0.59999389629810485"/>
        </left>
        <right style="thin">
          <color theme="5" tint="0.59999389629810485"/>
        </right>
        <top style="thin">
          <color theme="5" tint="0.59999389629810485"/>
        </top>
        <bottom style="thin">
          <color theme="5" tint="0.59999389629810485"/>
        </bottom>
      </border>
    </dxf>
    <dxf>
      <border>
        <right style="thin">
          <color theme="5"/>
        </right>
      </border>
    </dxf>
    <dxf>
      <font>
        <b/>
        <color theme="1"/>
      </font>
      <border>
        <left style="medium">
          <color theme="5"/>
        </left>
        <right style="medium">
          <color theme="5"/>
        </right>
        <top style="medium">
          <color theme="5"/>
        </top>
        <bottom style="medium">
          <color theme="5"/>
        </bottom>
      </border>
    </dxf>
    <dxf>
      <font>
        <b/>
        <color theme="1"/>
      </font>
      <border>
        <left style="medium">
          <color theme="5"/>
        </left>
        <right style="medium">
          <color theme="5"/>
        </right>
        <top style="medium">
          <color theme="5"/>
        </top>
        <bottom style="medium">
          <color theme="5"/>
        </bottom>
        <horizontal style="thin">
          <color theme="0"/>
        </horizontal>
      </border>
    </dxf>
    <dxf>
      <font>
        <color theme="5" tint="-0.249977111117893"/>
      </font>
      <border>
        <vertical style="thin">
          <color theme="5" tint="0.59996337778862885"/>
        </vertical>
        <horizontal style="thin">
          <color theme="5" tint="0.59996337778862885"/>
        </horizontal>
      </border>
    </dxf>
    <dxf>
      <font>
        <b/>
        <color theme="1"/>
      </font>
    </dxf>
    <dxf>
      <font>
        <b/>
        <color theme="1"/>
      </font>
      <fill>
        <patternFill patternType="solid">
          <fgColor theme="4" tint="0.79998168889431442"/>
          <bgColor theme="4" tint="0.79998168889431442"/>
        </patternFill>
      </fill>
      <border>
        <bottom style="thin">
          <color theme="0"/>
        </bottom>
      </border>
    </dxf>
    <dxf>
      <border>
        <top style="thin">
          <color theme="4" tint="0.79998168889431442"/>
        </top>
      </border>
    </dxf>
    <dxf>
      <border>
        <top style="thin">
          <color theme="4" tint="0.79998168889431442"/>
        </top>
      </border>
    </dxf>
    <dxf>
      <font>
        <b/>
        <color theme="1"/>
      </font>
    </dxf>
    <dxf>
      <font>
        <b/>
        <color theme="1"/>
      </font>
      <fill>
        <patternFill patternType="solid">
          <fgColor theme="4" tint="0.79998168889431442"/>
          <bgColor theme="4" tint="0.79998168889431442"/>
        </patternFill>
      </fill>
      <border>
        <top style="thin">
          <color theme="4" tint="0.59999389629810485"/>
        </top>
        <bottom style="thin">
          <color theme="4" tint="0.59999389629810485"/>
        </bottom>
      </border>
    </dxf>
    <dxf>
      <border>
        <left style="thin">
          <color theme="4"/>
        </left>
        <right style="thin">
          <color theme="4"/>
        </right>
        <top style="thin">
          <color theme="4"/>
        </top>
        <bottom style="thin">
          <color theme="4"/>
        </bottom>
        <vertical style="thin">
          <color theme="4"/>
        </vertical>
        <horizontal style="thin">
          <color theme="4"/>
        </horizontal>
      </border>
    </dxf>
    <dxf>
      <border>
        <vertical style="thin">
          <color theme="4" tint="0.39994506668294322"/>
        </vertical>
        <horizontal style="thin">
          <color theme="4" tint="0.39994506668294322"/>
        </horizontal>
      </border>
    </dxf>
    <dxf>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border>
        <right style="thin">
          <color theme="4"/>
        </right>
      </border>
    </dxf>
    <dxf>
      <font>
        <b/>
        <color theme="1"/>
      </font>
      <border>
        <left style="medium">
          <color theme="4"/>
        </left>
        <right style="medium">
          <color theme="4"/>
        </right>
        <top style="medium">
          <color theme="4"/>
        </top>
        <bottom style="medium">
          <color theme="4"/>
        </bottom>
      </border>
    </dxf>
    <dxf>
      <font>
        <b/>
        <color theme="1"/>
      </font>
      <border>
        <left style="medium">
          <color theme="4"/>
        </left>
        <right style="medium">
          <color theme="4"/>
        </right>
        <top style="medium">
          <color theme="4"/>
        </top>
        <bottom style="medium">
          <color theme="4"/>
        </bottom>
        <horizontal style="thin">
          <color theme="0"/>
        </horizontal>
      </border>
    </dxf>
    <dxf>
      <font>
        <color theme="4" tint="-0.249977111117893"/>
      </font>
      <border>
        <left style="thin">
          <color theme="4"/>
        </left>
        <right style="thin">
          <color theme="4"/>
        </right>
        <top style="thin">
          <color theme="4"/>
        </top>
        <bottom style="thin">
          <color theme="4"/>
        </bottom>
        <vertical style="thin">
          <color theme="4"/>
        </vertical>
        <horizontal/>
      </border>
    </dxf>
    <dxf>
      <font>
        <sz val="8"/>
        <name val="Gill Sans MT"/>
        <scheme val="none"/>
      </font>
    </dxf>
    <dxf>
      <font>
        <b/>
        <color theme="1"/>
      </font>
      <border>
        <bottom style="thin">
          <color theme="4"/>
        </bottom>
        <vertical/>
        <horizontal/>
      </border>
    </dxf>
    <dxf>
      <font>
        <color theme="1"/>
        <name val="Gill Sans MT"/>
        <scheme val="none"/>
      </font>
      <border>
        <left/>
        <right/>
        <top/>
        <bottom/>
        <vertical/>
        <horizontal/>
      </border>
    </dxf>
  </dxfs>
  <tableStyles count="10" defaultTableStyle="TableStyleMedium2" defaultPivotStyle="PivotStyleLight16">
    <tableStyle name="4W" pivot="0" table="0" count="10" xr9:uid="{00000000-0011-0000-FFFF-FFFF00000000}">
      <tableStyleElement type="wholeTable" dxfId="770"/>
      <tableStyleElement type="headerRow" dxfId="769"/>
    </tableStyle>
    <tableStyle name="4W Style" pivot="0" table="0" count="1" xr9:uid="{00000000-0011-0000-FFFF-FFFF01000000}">
      <tableStyleElement type="wholeTable" dxfId="768"/>
    </tableStyle>
    <tableStyle name="CUSTOM" table="0" count="13" xr9:uid="{00000000-0011-0000-FFFF-FFFF02000000}">
      <tableStyleElement type="wholeTable" dxfId="767"/>
      <tableStyleElement type="headerRow" dxfId="766"/>
      <tableStyleElement type="totalRow" dxfId="765"/>
      <tableStyleElement type="firstColumn" dxfId="764"/>
      <tableStyleElement type="firstRowStripe" dxfId="763"/>
      <tableStyleElement type="secondRowStripe" dxfId="762"/>
      <tableStyleElement type="firstColumnStripe" dxfId="761"/>
      <tableStyleElement type="firstSubtotalRow" dxfId="760"/>
      <tableStyleElement type="secondSubtotalRow" dxfId="759"/>
      <tableStyleElement type="secondColumnSubheading" dxfId="758"/>
      <tableStyleElement type="thirdColumnSubheading" dxfId="757"/>
      <tableStyleElement type="firstRowSubheading" dxfId="756"/>
      <tableStyleElement type="secondRowSubheading" dxfId="755"/>
    </tableStyle>
    <tableStyle name="PivotStyleLight10 2" table="0" count="12" xr9:uid="{00000000-0011-0000-FFFF-FFFF03000000}">
      <tableStyleElement type="wholeTable" dxfId="754"/>
      <tableStyleElement type="headerRow" dxfId="753"/>
      <tableStyleElement type="totalRow" dxfId="752"/>
      <tableStyleElement type="firstColumn" dxfId="751"/>
      <tableStyleElement type="firstRowStripe" dxfId="750"/>
      <tableStyleElement type="firstColumnStripe" dxfId="749"/>
      <tableStyleElement type="firstSubtotalRow" dxfId="748"/>
      <tableStyleElement type="secondSubtotalRow" dxfId="747"/>
      <tableStyleElement type="secondColumnSubheading" dxfId="746"/>
      <tableStyleElement type="thirdColumnSubheading" dxfId="745"/>
      <tableStyleElement type="firstRowSubheading" dxfId="744"/>
      <tableStyleElement type="secondRowSubheading" dxfId="743"/>
    </tableStyle>
    <tableStyle name="PivotStyleLight14 2" table="0" count="12" xr9:uid="{00000000-0011-0000-FFFF-FFFF04000000}">
      <tableStyleElement type="wholeTable" dxfId="742"/>
      <tableStyleElement type="headerRow" dxfId="741"/>
      <tableStyleElement type="totalRow" dxfId="740"/>
      <tableStyleElement type="firstColumn" dxfId="739"/>
      <tableStyleElement type="firstRowStripe" dxfId="738"/>
      <tableStyleElement type="firstColumnStripe" dxfId="737"/>
      <tableStyleElement type="firstSubtotalRow" dxfId="736"/>
      <tableStyleElement type="secondSubtotalRow" dxfId="735"/>
      <tableStyleElement type="secondColumnSubheading" dxfId="734"/>
      <tableStyleElement type="thirdColumnSubheading" dxfId="733"/>
      <tableStyleElement type="firstRowSubheading" dxfId="732"/>
      <tableStyleElement type="secondRowSubheading" dxfId="731"/>
    </tableStyle>
    <tableStyle name="PivotStyleLight23 2" table="0" count="10" xr9:uid="{00000000-0011-0000-FFFF-FFFF05000000}">
      <tableStyleElement type="wholeTable" dxfId="730"/>
      <tableStyleElement type="headerRow" dxfId="729"/>
      <tableStyleElement type="totalRow" dxfId="728"/>
      <tableStyleElement type="firstColumn" dxfId="727"/>
      <tableStyleElement type="firstRowStripe" dxfId="726"/>
      <tableStyleElement type="firstColumnStripe" dxfId="725"/>
      <tableStyleElement type="firstSubtotalColumn" dxfId="724"/>
      <tableStyleElement type="firstSubtotalRow" dxfId="723"/>
      <tableStyleElement type="secondSubtotalRow" dxfId="722"/>
      <tableStyleElement type="pageFieldLabels" dxfId="721"/>
    </tableStyle>
    <tableStyle name="PivotStyleLight9 2" table="0" count="13" xr9:uid="{00000000-0011-0000-FFFF-FFFF06000000}">
      <tableStyleElement type="wholeTable" dxfId="720"/>
      <tableStyleElement type="headerRow" dxfId="719"/>
      <tableStyleElement type="totalRow" dxfId="718"/>
      <tableStyleElement type="firstColumn" dxfId="717"/>
      <tableStyleElement type="firstRowStripe" dxfId="716"/>
      <tableStyleElement type="secondRowStripe" dxfId="715"/>
      <tableStyleElement type="firstColumnStripe" dxfId="714"/>
      <tableStyleElement type="firstSubtotalRow" dxfId="713"/>
      <tableStyleElement type="secondSubtotalRow" dxfId="712"/>
      <tableStyleElement type="secondColumnSubheading" dxfId="711"/>
      <tableStyleElement type="thirdColumnSubheading" dxfId="710"/>
      <tableStyleElement type="firstRowSubheading" dxfId="709"/>
      <tableStyleElement type="secondRowSubheading" dxfId="708"/>
    </tableStyle>
    <tableStyle name="PivotTable Style 1" table="0" count="1" xr9:uid="{00000000-0011-0000-FFFF-FFFF07000000}">
      <tableStyleElement type="wholeTable" dxfId="707"/>
    </tableStyle>
    <tableStyle name="PivotTable Style a" table="0" count="7" xr9:uid="{00000000-0011-0000-FFFF-FFFF08000000}">
      <tableStyleElement type="wholeTable" dxfId="706"/>
      <tableStyleElement type="headerRow" dxfId="705"/>
      <tableStyleElement type="totalRow" dxfId="704"/>
      <tableStyleElement type="firstColumn" dxfId="703"/>
      <tableStyleElement type="secondSubtotalRow" dxfId="702"/>
      <tableStyleElement type="firstRowSubheading" dxfId="701"/>
      <tableStyleElement type="secondRowSubheading" dxfId="700"/>
    </tableStyle>
    <tableStyle name="Slicer Style 1" pivot="0" table="0" count="5" xr9:uid="{00000000-0011-0000-FFFF-FFFF09000000}">
      <tableStyleElement type="wholeTable" dxfId="699"/>
    </tableStyle>
  </tableStyles>
  <colors>
    <mruColors>
      <color rgb="FFE4B6E4"/>
      <color rgb="FF44546A"/>
      <color rgb="FFD692D6"/>
      <color rgb="FFD4E8C6"/>
      <color rgb="FF85C2FF"/>
      <color rgb="FF098A9B"/>
      <color rgb="FFFF898C"/>
      <color rgb="FFCDFF9B"/>
      <color rgb="FF009900"/>
    </mruColors>
  </colors>
  <extLst>
    <ext xmlns:x14="http://schemas.microsoft.com/office/spreadsheetml/2009/9/main" uri="{46F421CA-312F-682f-3DD2-61675219B42D}">
      <x14:dxfs count="12">
        <dxf>
          <fill>
            <patternFill>
              <bgColor theme="7"/>
            </patternFill>
          </fill>
        </dxf>
        <dxf>
          <fill>
            <patternFill>
              <bgColor theme="7" tint="0.39994506668294322"/>
            </patternFill>
          </fill>
        </dxf>
        <dxf>
          <fill>
            <patternFill>
              <bgColor rgb="FF92D050"/>
            </patternFill>
          </fill>
        </dxf>
        <dxf>
          <fill>
            <patternFill>
              <bgColor theme="4" tint="0.39994506668294322"/>
            </patternFill>
          </fill>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4W">
        <x14:slicerStyle name="4W">
          <x14:slicerStyleElements>
            <x14:slicerStyleElement type="unselectedItemWithData" dxfId="11"/>
            <x14:slicerStyleElement type="unselectedItemWithNoData" dxfId="10"/>
            <x14:slicerStyleElement type="selectedItemWithData" dxfId="9"/>
            <x14:slicerStyleElement type="selectedItemWithNoData" dxfId="8"/>
            <x14:slicerStyleElement type="hoveredUnselectedItemWithData" dxfId="7"/>
            <x14:slicerStyleElement type="hoveredSelectedItemWithData" dxfId="6"/>
            <x14:slicerStyleElement type="hoveredUnselectedItemWithNoData" dxfId="5"/>
            <x14:slicerStyleElement type="hoveredSelectedItemWithNoData" dxfId="4"/>
          </x14:slicerStyleElements>
        </x14:slicerStyle>
        <x14:slicerStyle name="4W Style"/>
        <x14:slicerStyle name="Slicer Style 1">
          <x14:slicerStyleElements>
            <x14:slicerStyleElement type="unselectedItemWithData" dxfId="3"/>
            <x14:slicerStyleElement type="selectedItemWith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microsoft.com/office/2007/relationships/slicerCache" Target="slicerCaches/slicerCache7.xml"/><Relationship Id="rId39" Type="http://schemas.openxmlformats.org/officeDocument/2006/relationships/sharedStrings" Target="sharedStrings.xml"/><Relationship Id="rId21" Type="http://schemas.microsoft.com/office/2007/relationships/slicerCache" Target="slicerCaches/slicerCache2.xml"/><Relationship Id="rId34" Type="http://schemas.microsoft.com/office/2007/relationships/slicerCache" Target="slicerCaches/slicerCache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microsoft.com/office/2007/relationships/slicerCache" Target="slicerCaches/slicerCache6.xml"/><Relationship Id="rId33" Type="http://schemas.microsoft.com/office/2007/relationships/slicerCache" Target="slicerCaches/slicerCache14.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microsoft.com/office/2007/relationships/slicerCache" Target="slicerCaches/slicerCache1.xml"/><Relationship Id="rId29" Type="http://schemas.microsoft.com/office/2007/relationships/slicerCache" Target="slicerCaches/slicerCache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5.xml"/><Relationship Id="rId32" Type="http://schemas.microsoft.com/office/2007/relationships/slicerCache" Target="slicerCaches/slicerCache1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microsoft.com/office/2007/relationships/slicerCache" Target="slicerCaches/slicerCache4.xml"/><Relationship Id="rId28" Type="http://schemas.microsoft.com/office/2007/relationships/slicerCache" Target="slicerCaches/slicerCache9.xml"/><Relationship Id="rId36" Type="http://schemas.microsoft.com/office/2007/relationships/slicerCache" Target="slicerCaches/slicerCache17.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microsoft.com/office/2007/relationships/slicerCache" Target="slicerCaches/slicerCache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07/relationships/slicerCache" Target="slicerCaches/slicerCache3.xml"/><Relationship Id="rId27" Type="http://schemas.microsoft.com/office/2007/relationships/slicerCache" Target="slicerCaches/slicerCache8.xml"/><Relationship Id="rId30" Type="http://schemas.microsoft.com/office/2007/relationships/slicerCache" Target="slicerCaches/slicerCache11.xml"/><Relationship Id="rId35" Type="http://schemas.microsoft.com/office/2007/relationships/slicerCache" Target="slicerCaches/slicerCache16.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r>
              <a:rPr lang="en-US" sz="1400" b="1" i="0" baseline="0">
                <a:effectLst/>
              </a:rPr>
              <a:t>Number of ppl Covered against 2020 HRP targets</a:t>
            </a:r>
            <a:endParaRPr lang="en-US" sz="14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a:solidFill>
                  <a:srgbClr val="44546A"/>
                </a:solidFill>
              </a:defRPr>
            </a:pPr>
            <a:r>
              <a:rPr lang="en-US" sz="1400"/>
              <a:t>(in Non-IDPs)</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endParaRPr lang="en-US"/>
        </a:p>
      </c:txPr>
    </c:title>
    <c:autoTitleDeleted val="0"/>
    <c:plotArea>
      <c:layout/>
      <c:barChart>
        <c:barDir val="bar"/>
        <c:grouping val="percentStacked"/>
        <c:varyColors val="0"/>
        <c:ser>
          <c:idx val="0"/>
          <c:order val="0"/>
          <c:tx>
            <c:strRef>
              <c:f>HRP!$E$56</c:f>
              <c:strCache>
                <c:ptCount val="1"/>
                <c:pt idx="0">
                  <c:v>Coverage</c:v>
                </c:pt>
              </c:strCache>
            </c:strRef>
          </c:tx>
          <c:spPr>
            <a:solidFill>
              <a:schemeClr val="accent6">
                <a:lumMod val="75000"/>
              </a:schemeClr>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0-057D-42B2-9B65-739548585F31}"/>
              </c:ext>
            </c:extLst>
          </c:dPt>
          <c:dPt>
            <c:idx val="2"/>
            <c:invertIfNegative val="0"/>
            <c:bubble3D val="0"/>
            <c:spPr>
              <a:solidFill>
                <a:srgbClr val="0070C0"/>
              </a:solidFill>
              <a:ln>
                <a:noFill/>
              </a:ln>
              <a:effectLst/>
            </c:spPr>
            <c:extLst>
              <c:ext xmlns:c16="http://schemas.microsoft.com/office/drawing/2014/chart" uri="{C3380CC4-5D6E-409C-BE32-E72D297353CC}">
                <c16:uniqueId val="{00000003-D536-49CF-BBEC-F0AB19A3C655}"/>
              </c:ext>
            </c:extLst>
          </c:dPt>
          <c:dLbls>
            <c:dLbl>
              <c:idx val="0"/>
              <c:layout>
                <c:manualLayout>
                  <c:x val="2.685373594672099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DE-456B-8F87-47A1851CAADC}"/>
                </c:ext>
              </c:extLst>
            </c:dLbl>
            <c:dLbl>
              <c:idx val="1"/>
              <c:layout>
                <c:manualLayout>
                  <c:x val="1.9856577800545012E-2"/>
                  <c:y val="-3.22167727114301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7D-42B2-9B65-739548585F3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HRP!$C$57:$C$59</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HRP!$E$57:$E$59</c:f>
              <c:numCache>
                <c:formatCode>_(* #,##0_);_(* \(#,##0\);_(* "-"??_);_(@_)</c:formatCode>
                <c:ptCount val="3"/>
                <c:pt idx="0">
                  <c:v>41621</c:v>
                </c:pt>
                <c:pt idx="1">
                  <c:v>45023</c:v>
                </c:pt>
                <c:pt idx="2">
                  <c:v>113604</c:v>
                </c:pt>
              </c:numCache>
            </c:numRef>
          </c:val>
          <c:extLst>
            <c:ext xmlns:c16="http://schemas.microsoft.com/office/drawing/2014/chart" uri="{C3380CC4-5D6E-409C-BE32-E72D297353CC}">
              <c16:uniqueId val="{00000003-057D-42B2-9B65-739548585F31}"/>
            </c:ext>
          </c:extLst>
        </c:ser>
        <c:ser>
          <c:idx val="1"/>
          <c:order val="1"/>
          <c:tx>
            <c:strRef>
              <c:f>HRP!$F$56</c:f>
              <c:strCache>
                <c:ptCount val="1"/>
                <c:pt idx="0">
                  <c:v>Gap</c:v>
                </c:pt>
              </c:strCache>
            </c:strRef>
          </c:tx>
          <c:spPr>
            <a:solidFill>
              <a:schemeClr val="accent1">
                <a:lumMod val="40000"/>
                <a:lumOff val="60000"/>
              </a:schemeClr>
            </a:solidFill>
            <a:ln>
              <a:noFill/>
            </a:ln>
            <a:effectLst/>
          </c:spPr>
          <c:invertIfNegative val="0"/>
          <c:dPt>
            <c:idx val="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5-D536-49CF-BBEC-F0AB19A3C655}"/>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7-D536-49CF-BBEC-F0AB19A3C655}"/>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HRP!$C$57:$C$59</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HRP!$F$57:$F$59</c:f>
              <c:numCache>
                <c:formatCode>_(* #,##0_);_(* \(#,##0\);_(* "-"??_);_(@_)</c:formatCode>
                <c:ptCount val="3"/>
                <c:pt idx="0">
                  <c:v>221082</c:v>
                </c:pt>
                <c:pt idx="1">
                  <c:v>217680</c:v>
                </c:pt>
                <c:pt idx="2">
                  <c:v>149099</c:v>
                </c:pt>
              </c:numCache>
            </c:numRef>
          </c:val>
          <c:extLst>
            <c:ext xmlns:c16="http://schemas.microsoft.com/office/drawing/2014/chart" uri="{C3380CC4-5D6E-409C-BE32-E72D297353CC}">
              <c16:uniqueId val="{00000004-057D-42B2-9B65-739548585F31}"/>
            </c:ext>
          </c:extLst>
        </c:ser>
        <c:dLbls>
          <c:showLegendKey val="0"/>
          <c:showVal val="0"/>
          <c:showCatName val="0"/>
          <c:showSerName val="0"/>
          <c:showPercent val="0"/>
          <c:showBubbleSize val="0"/>
        </c:dLbls>
        <c:gapWidth val="150"/>
        <c:overlap val="100"/>
        <c:axId val="391610984"/>
        <c:axId val="391606280"/>
      </c:barChart>
      <c:catAx>
        <c:axId val="39161098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391606280"/>
        <c:crosses val="autoZero"/>
        <c:auto val="1"/>
        <c:lblAlgn val="ctr"/>
        <c:lblOffset val="100"/>
        <c:noMultiLvlLbl val="0"/>
      </c:catAx>
      <c:valAx>
        <c:axId val="391606280"/>
        <c:scaling>
          <c:orientation val="minMax"/>
          <c:min val="0"/>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1610984"/>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ofPieChart>
        <c:ofPieType val="pie"/>
        <c:varyColors val="1"/>
        <c:ser>
          <c:idx val="0"/>
          <c:order val="0"/>
          <c:dPt>
            <c:idx val="0"/>
            <c:bubble3D val="0"/>
            <c:spPr>
              <a:solidFill>
                <a:srgbClr val="E4B6E4"/>
              </a:solidFill>
              <a:ln>
                <a:noFill/>
              </a:ln>
              <a:effectLst/>
            </c:spPr>
            <c:extLst>
              <c:ext xmlns:c16="http://schemas.microsoft.com/office/drawing/2014/chart" uri="{C3380CC4-5D6E-409C-BE32-E72D297353CC}">
                <c16:uniqueId val="{00000001-B27E-42FB-B078-AA2BBAA3A4AF}"/>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2-B27E-42FB-B078-AA2BBAA3A4AF}"/>
              </c:ext>
            </c:extLst>
          </c:dPt>
          <c:dPt>
            <c:idx val="2"/>
            <c:bubble3D val="0"/>
            <c:spPr>
              <a:solidFill>
                <a:schemeClr val="accent2">
                  <a:lumMod val="75000"/>
                </a:schemeClr>
              </a:solidFill>
              <a:ln>
                <a:noFill/>
              </a:ln>
              <a:effectLst/>
            </c:spPr>
            <c:extLst>
              <c:ext xmlns:c16="http://schemas.microsoft.com/office/drawing/2014/chart" uri="{C3380CC4-5D6E-409C-BE32-E72D297353CC}">
                <c16:uniqueId val="{0000000B-B27E-42FB-B078-AA2BBAA3A4AF}"/>
              </c:ext>
            </c:extLst>
          </c:dPt>
          <c:dPt>
            <c:idx val="3"/>
            <c:bubble3D val="0"/>
            <c:spPr>
              <a:solidFill>
                <a:schemeClr val="accent2">
                  <a:lumMod val="50000"/>
                </a:schemeClr>
              </a:solidFill>
              <a:ln>
                <a:noFill/>
              </a:ln>
              <a:effectLst/>
            </c:spPr>
            <c:extLst>
              <c:ext xmlns:c16="http://schemas.microsoft.com/office/drawing/2014/chart" uri="{C3380CC4-5D6E-409C-BE32-E72D297353CC}">
                <c16:uniqueId val="{00000010-B27E-42FB-B078-AA2BBAA3A4AF}"/>
              </c:ext>
            </c:extLst>
          </c:dPt>
          <c:dPt>
            <c:idx val="4"/>
            <c:bubble3D val="0"/>
            <c:spPr>
              <a:solidFill>
                <a:srgbClr val="7030A0"/>
              </a:solidFill>
              <a:ln>
                <a:noFill/>
              </a:ln>
              <a:effectLst/>
            </c:spPr>
            <c:extLst>
              <c:ext xmlns:c16="http://schemas.microsoft.com/office/drawing/2014/chart" uri="{C3380CC4-5D6E-409C-BE32-E72D297353CC}">
                <c16:uniqueId val="{00000008-BDC3-4C61-A6DA-51AA4253D0FA}"/>
              </c:ext>
            </c:extLst>
          </c:dPt>
          <c:dLbls>
            <c:dLbl>
              <c:idx val="0"/>
              <c:layout>
                <c:manualLayout>
                  <c:x val="0.12335148731408571"/>
                  <c:y val="-3.641149023038786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7E-42FB-B078-AA2BBAA3A4AF}"/>
                </c:ext>
              </c:extLst>
            </c:dLbl>
            <c:dLbl>
              <c:idx val="1"/>
              <c:layout>
                <c:manualLayout>
                  <c:x val="0.13564960629921249"/>
                  <c:y val="-7.860746573345006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27E-42FB-B078-AA2BBAA3A4AF}"/>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27E-42FB-B078-AA2BBAA3A4AF}"/>
                </c:ext>
              </c:extLst>
            </c:dLbl>
            <c:dLbl>
              <c:idx val="3"/>
              <c:layout>
                <c:manualLayout>
                  <c:x val="-6.3331022893477057E-2"/>
                  <c:y val="-0.1390583252417843"/>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fld id="{681C728E-7085-4BDE-8881-35137157971A}" type="PERCENTAGE">
                      <a:rPr lang="en-US" baseline="0">
                        <a:solidFill>
                          <a:schemeClr val="bg1"/>
                        </a:solidFill>
                      </a:rPr>
                      <a:pPr>
                        <a:defRPr sz="1200">
                          <a:solidFill>
                            <a:schemeClr val="bg1"/>
                          </a:solidFill>
                        </a:defRPr>
                      </a:pPr>
                      <a:t>[PERCENTAGE]</a:t>
                    </a:fld>
                    <a:endParaRPr lang="en-US"/>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8.2555537498788814E-2"/>
                      <c:h val="0.1980698659574669"/>
                    </c:manualLayout>
                  </c15:layout>
                  <c15:dlblFieldTable/>
                  <c15:showDataLabelsRange val="0"/>
                </c:ext>
                <c:ext xmlns:c16="http://schemas.microsoft.com/office/drawing/2014/chart" uri="{C3380CC4-5D6E-409C-BE32-E72D297353CC}">
                  <c16:uniqueId val="{00000010-B27E-42FB-B078-AA2BBAA3A4AF}"/>
                </c:ext>
              </c:extLst>
            </c:dLbl>
            <c:dLbl>
              <c:idx val="4"/>
              <c:layout>
                <c:manualLayout>
                  <c:x val="-0.17315514585408009"/>
                  <c:y val="5.6164307952861023E-2"/>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r>
                      <a:rPr lang="en-US"/>
                      <a:t>Village With School</a:t>
                    </a:r>
                    <a:r>
                      <a:rPr lang="en-US" baseline="0"/>
                      <a:t>
</a:t>
                    </a:r>
                    <a:fld id="{0E71715D-DE55-4321-B78F-549DC05D3BE8}" type="PERCENTAGE">
                      <a:rPr lang="en-US" baseline="0"/>
                      <a:pPr>
                        <a:defRPr sz="1200">
                          <a:solidFill>
                            <a:schemeClr val="bg1"/>
                          </a:solidFill>
                        </a:defRPr>
                      </a:pPr>
                      <a:t>[PERCENTAGE]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BDC3-4C61-A6DA-51AA4253D0F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Analysis!$I$96:$L$96</c:f>
              <c:strCache>
                <c:ptCount val="4"/>
                <c:pt idx="0">
                  <c:v> Village With No School </c:v>
                </c:pt>
                <c:pt idx="1">
                  <c:v> No drainage in school compound </c:v>
                </c:pt>
                <c:pt idx="2">
                  <c:v> Drainage in school compound </c:v>
                </c:pt>
                <c:pt idx="3">
                  <c:v> NA </c:v>
                </c:pt>
              </c:strCache>
            </c:strRef>
          </c:cat>
          <c:val>
            <c:numRef>
              <c:f>Analysis!$I$97:$L$97</c:f>
              <c:numCache>
                <c:formatCode>_(* #,##0_);_(* \(#,##0\);_(* "-"??_);_(@_)</c:formatCode>
                <c:ptCount val="4"/>
                <c:pt idx="0">
                  <c:v>87</c:v>
                </c:pt>
                <c:pt idx="1">
                  <c:v>16</c:v>
                </c:pt>
                <c:pt idx="2">
                  <c:v>7</c:v>
                </c:pt>
                <c:pt idx="3">
                  <c:v>16</c:v>
                </c:pt>
              </c:numCache>
            </c:numRef>
          </c:val>
          <c:extLst>
            <c:ext xmlns:c16="http://schemas.microsoft.com/office/drawing/2014/chart" uri="{C3380CC4-5D6E-409C-BE32-E72D297353CC}">
              <c16:uniqueId val="{00000000-B27E-42FB-B078-AA2BBAA3A4AF}"/>
            </c:ext>
          </c:extLst>
        </c:ser>
        <c:dLbls>
          <c:showLegendKey val="0"/>
          <c:showVal val="0"/>
          <c:showCatName val="0"/>
          <c:showSerName val="0"/>
          <c:showPercent val="0"/>
          <c:showBubbleSize val="0"/>
          <c:showLeaderLines val="0"/>
        </c:dLbls>
        <c:gapWidth val="100"/>
        <c:splitType val="cust"/>
        <c:custSplit>
          <c:secondPiePt val="1"/>
          <c:secondPiePt val="2"/>
          <c:secondPiePt val="3"/>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Latrine Coverage in School</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472E-424E-942E-565B7324466A}"/>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9-472E-424E-942E-565B7324466A}"/>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extLst>
                <c:ext xmlns:c16="http://schemas.microsoft.com/office/drawing/2014/chart" uri="{C3380CC4-5D6E-409C-BE32-E72D297353CC}">
                  <c16:uniqueId val="{00000001-472E-424E-942E-565B7324466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(Analysis!$E$123,Analysis!$E$125)</c:f>
              <c:strCache>
                <c:ptCount val="2"/>
                <c:pt idx="0">
                  <c:v>Coverage</c:v>
                </c:pt>
                <c:pt idx="1">
                  <c:v>Gap</c:v>
                </c:pt>
              </c:strCache>
            </c:strRef>
          </c:cat>
          <c:val>
            <c:numRef>
              <c:f>(Analysis!$F$123,Analysis!$F$125)</c:f>
              <c:numCache>
                <c:formatCode>_(* #,##0_);_(* \(#,##0\);_(* "-"??_);_(@_)</c:formatCode>
                <c:ptCount val="2"/>
                <c:pt idx="0">
                  <c:v>97</c:v>
                </c:pt>
                <c:pt idx="1">
                  <c:v>41.300000000000011</c:v>
                </c:pt>
              </c:numCache>
            </c:numRef>
          </c:val>
          <c:extLst>
            <c:ext xmlns:c16="http://schemas.microsoft.com/office/drawing/2014/chart" uri="{C3380CC4-5D6E-409C-BE32-E72D297353CC}">
              <c16:uniqueId val="{00000000-472E-424E-942E-565B7324466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[20200720_Myanmar_WASH_4W_2020_Q2_All_Village_Consolidate.xlsx]Analysis!PivotTable5</c:name>
    <c:fmtId val="5"/>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Students received appropriate</a:t>
            </a:r>
            <a:r>
              <a:rPr lang="en-US" sz="1400" baseline="0"/>
              <a:t> hygiene messages</a:t>
            </a:r>
            <a:endParaRPr lang="en-US"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5942279090113737"/>
              <c:y val="1.6624015748031497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260761154855643"/>
              <c:y val="8.4922717993584137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pieChart>
        <c:varyColors val="1"/>
        <c:ser>
          <c:idx val="0"/>
          <c:order val="0"/>
          <c:tx>
            <c:strRef>
              <c:f>Analysis!$C$149</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2-0AE3-48F3-A5CE-E2623C17D9A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1-0AE3-48F3-A5CE-E2623C17D9A4}"/>
              </c:ext>
            </c:extLst>
          </c:dPt>
          <c:dLbls>
            <c:dLbl>
              <c:idx val="0"/>
              <c:layout>
                <c:manualLayout>
                  <c:x val="-0.1260761154855643"/>
                  <c:y val="8.492271799358413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E3-48F3-A5CE-E2623C17D9A4}"/>
                </c:ext>
              </c:extLst>
            </c:dLbl>
            <c:dLbl>
              <c:idx val="1"/>
              <c:layout>
                <c:manualLayout>
                  <c:x val="0.15942279090113737"/>
                  <c:y val="1.6624015748031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E3-48F3-A5CE-E2623C17D9A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Analysis!$B$150:$B$151</c:f>
              <c:strCache>
                <c:ptCount val="2"/>
                <c:pt idx="0">
                  <c:v>Boys</c:v>
                </c:pt>
                <c:pt idx="1">
                  <c:v>Girls</c:v>
                </c:pt>
              </c:strCache>
            </c:strRef>
          </c:cat>
          <c:val>
            <c:numRef>
              <c:f>Analysis!$C$150:$C$151</c:f>
              <c:numCache>
                <c:formatCode>General</c:formatCode>
                <c:ptCount val="2"/>
                <c:pt idx="0">
                  <c:v>3627</c:v>
                </c:pt>
                <c:pt idx="1">
                  <c:v>3673</c:v>
                </c:pt>
              </c:numCache>
            </c:numRef>
          </c:val>
          <c:extLst>
            <c:ext xmlns:c16="http://schemas.microsoft.com/office/drawing/2014/chart" uri="{C3380CC4-5D6E-409C-BE32-E72D297353CC}">
              <c16:uniqueId val="{00000000-0AE3-48F3-A5CE-E2623C17D9A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 of people who</a:t>
            </a:r>
            <a:r>
              <a:rPr lang="en-US" baseline="0"/>
              <a:t> received appropriate hygiene messages in non-IDP sites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4">
                  <a:lumMod val="40000"/>
                  <a:lumOff val="60000"/>
                </a:schemeClr>
              </a:solidFill>
              <a:ln>
                <a:noFill/>
              </a:ln>
              <a:effectLst/>
            </c:spPr>
            <c:extLst>
              <c:ext xmlns:c16="http://schemas.microsoft.com/office/drawing/2014/chart" uri="{C3380CC4-5D6E-409C-BE32-E72D297353CC}">
                <c16:uniqueId val="{00000006-00A4-4427-9F03-1C8EEFD64B67}"/>
              </c:ext>
            </c:extLst>
          </c:dPt>
          <c:dPt>
            <c:idx val="1"/>
            <c:bubble3D val="0"/>
            <c:spPr>
              <a:solidFill>
                <a:schemeClr val="accent6">
                  <a:lumMod val="50000"/>
                </a:schemeClr>
              </a:solidFill>
              <a:ln>
                <a:noFill/>
              </a:ln>
              <a:effectLst/>
            </c:spPr>
            <c:extLst>
              <c:ext xmlns:c16="http://schemas.microsoft.com/office/drawing/2014/chart" uri="{C3380CC4-5D6E-409C-BE32-E72D297353CC}">
                <c16:uniqueId val="{00000014-00A4-4427-9F03-1C8EEFD64B67}"/>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1A-00A4-4427-9F03-1C8EEFD64B67}"/>
              </c:ext>
            </c:extLst>
          </c:dPt>
          <c:dPt>
            <c:idx val="3"/>
            <c:bubble3D val="0"/>
            <c:spPr>
              <a:solidFill>
                <a:schemeClr val="accent6">
                  <a:lumMod val="60000"/>
                  <a:lumOff val="40000"/>
                </a:schemeClr>
              </a:solidFill>
              <a:ln>
                <a:noFill/>
              </a:ln>
              <a:effectLst/>
            </c:spPr>
            <c:extLst>
              <c:ext xmlns:c16="http://schemas.microsoft.com/office/drawing/2014/chart" uri="{C3380CC4-5D6E-409C-BE32-E72D297353CC}">
                <c16:uniqueId val="{00000021-00A4-4427-9F03-1C8EEFD64B67}"/>
              </c:ext>
            </c:extLst>
          </c:dPt>
          <c:dPt>
            <c:idx val="4"/>
            <c:bubble3D val="0"/>
            <c:spPr>
              <a:solidFill>
                <a:schemeClr val="accent6">
                  <a:lumMod val="40000"/>
                  <a:lumOff val="60000"/>
                </a:schemeClr>
              </a:solidFill>
              <a:ln>
                <a:noFill/>
              </a:ln>
              <a:effectLst/>
            </c:spPr>
            <c:extLst>
              <c:ext xmlns:c16="http://schemas.microsoft.com/office/drawing/2014/chart" uri="{C3380CC4-5D6E-409C-BE32-E72D297353CC}">
                <c16:uniqueId val="{00000027-00A4-4427-9F03-1C8EEFD64B67}"/>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C-00A4-4427-9F03-1C8EEFD64B67}"/>
              </c:ext>
            </c:extLst>
          </c:dPt>
          <c:dLbls>
            <c:dLbl>
              <c:idx val="1"/>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14-00A4-4427-9F03-1C8EEFD64B67}"/>
                </c:ext>
              </c:extLst>
            </c:dLbl>
            <c:dLbl>
              <c:idx val="2"/>
              <c:layout>
                <c:manualLayout>
                  <c:x val="7.0511444381342145E-2"/>
                  <c:y val="5.183393103257803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A-00A4-4427-9F03-1C8EEFD64B67}"/>
                </c:ext>
              </c:extLst>
            </c:dLbl>
            <c:dLbl>
              <c:idx val="3"/>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21-00A4-4427-9F03-1C8EEFD64B67}"/>
                </c:ext>
              </c:extLst>
            </c:dLbl>
            <c:dLbl>
              <c:idx val="4"/>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27-00A4-4427-9F03-1C8EEFD64B67}"/>
                </c:ext>
              </c:extLst>
            </c:dLbl>
            <c:dLbl>
              <c:idx val="5"/>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C-00A4-4427-9F03-1C8EEFD64B6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Analysis!$E$136:$I$136</c:f>
              <c:strCache>
                <c:ptCount val="5"/>
                <c:pt idx="0">
                  <c:v>No Reached</c:v>
                </c:pt>
                <c:pt idx="1">
                  <c:v>Men</c:v>
                </c:pt>
                <c:pt idx="2">
                  <c:v>Women</c:v>
                </c:pt>
                <c:pt idx="3">
                  <c:v>Boys</c:v>
                </c:pt>
                <c:pt idx="4">
                  <c:v>Girls</c:v>
                </c:pt>
              </c:strCache>
            </c:strRef>
          </c:cat>
          <c:val>
            <c:numRef>
              <c:f>Analysis!$E$137:$I$137</c:f>
              <c:numCache>
                <c:formatCode>General</c:formatCode>
                <c:ptCount val="5"/>
                <c:pt idx="0">
                  <c:v>127775</c:v>
                </c:pt>
                <c:pt idx="1">
                  <c:v>7173</c:v>
                </c:pt>
                <c:pt idx="2">
                  <c:v>8633</c:v>
                </c:pt>
                <c:pt idx="3">
                  <c:v>4570</c:v>
                </c:pt>
                <c:pt idx="4">
                  <c:v>4441</c:v>
                </c:pt>
              </c:numCache>
            </c:numRef>
          </c:val>
          <c:extLst>
            <c:ext xmlns:c16="http://schemas.microsoft.com/office/drawing/2014/chart" uri="{C3380CC4-5D6E-409C-BE32-E72D297353CC}">
              <c16:uniqueId val="{00000000-00A4-4427-9F03-1C8EEFD64B67}"/>
            </c:ext>
          </c:extLst>
        </c:ser>
        <c:dLbls>
          <c:showLegendKey val="0"/>
          <c:showVal val="0"/>
          <c:showCatName val="0"/>
          <c:showSerName val="0"/>
          <c:showPercent val="0"/>
          <c:showBubbleSize val="0"/>
          <c:showLeaderLines val="1"/>
        </c:dLbls>
        <c:gapWidth val="100"/>
        <c:splitType val="cust"/>
        <c:custSplit>
          <c:secondPiePt val="1"/>
          <c:secondPiePt val="2"/>
          <c:secondPiePt val="3"/>
          <c:secondPiePt val="4"/>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PWD with adapted sanitation option at HH level</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Analysis!$P$123</c:f>
              <c:strCache>
                <c:ptCount val="1"/>
                <c:pt idx="0">
                  <c:v> # of PWD with adapted sanitation option at HH level</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1-440E-4D99-91D2-203338F82449}"/>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2-440E-4D99-91D2-203338F82449}"/>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440E-4D99-91D2-203338F8244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Analysis!$Q$122:$R$122</c:f>
              <c:strCache>
                <c:ptCount val="2"/>
                <c:pt idx="0">
                  <c:v> Yes </c:v>
                </c:pt>
                <c:pt idx="1">
                  <c:v>No</c:v>
                </c:pt>
              </c:strCache>
            </c:strRef>
          </c:cat>
          <c:val>
            <c:numRef>
              <c:f>Analysis!$Q$123:$R$123</c:f>
              <c:numCache>
                <c:formatCode>_(* #,##0_);_(* \(#,##0\);_(* "-"??_);_(@_)</c:formatCode>
                <c:ptCount val="2"/>
                <c:pt idx="0">
                  <c:v>254</c:v>
                </c:pt>
                <c:pt idx="1">
                  <c:v>212</c:v>
                </c:pt>
              </c:numCache>
            </c:numRef>
          </c:val>
          <c:extLst>
            <c:ext xmlns:c16="http://schemas.microsoft.com/office/drawing/2014/chart" uri="{C3380CC4-5D6E-409C-BE32-E72D297353CC}">
              <c16:uniqueId val="{00000000-440E-4D99-91D2-203338F8244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Analysis!$T$78</c:f>
              <c:strCache>
                <c:ptCount val="1"/>
                <c:pt idx="0">
                  <c:v>Sum of HRP2</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C94F-4183-9122-2D3F8B95193F}"/>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C94F-4183-9122-2D3F8B9519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Analysis!$U$77:$V$77</c:f>
              <c:strCache>
                <c:ptCount val="2"/>
                <c:pt idx="0">
                  <c:v> Access </c:v>
                </c:pt>
                <c:pt idx="1">
                  <c:v>No Access</c:v>
                </c:pt>
              </c:strCache>
            </c:strRef>
          </c:cat>
          <c:val>
            <c:numRef>
              <c:f>Analysis!$U$78:$V$78</c:f>
              <c:numCache>
                <c:formatCode>_(* #,##0_);_(* \(#,##0\);_(* "-"??_);_(@_)</c:formatCode>
                <c:ptCount val="2"/>
                <c:pt idx="0">
                  <c:v>45023</c:v>
                </c:pt>
                <c:pt idx="1">
                  <c:v>95998</c:v>
                </c:pt>
              </c:numCache>
            </c:numRef>
          </c:val>
          <c:extLst>
            <c:ext xmlns:c16="http://schemas.microsoft.com/office/drawing/2014/chart" uri="{C3380CC4-5D6E-409C-BE32-E72D297353CC}">
              <c16:uniqueId val="{00000000-1F4B-43D5-999E-F96F5F3557E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With Partners' Support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Analysis!$O$145</c:f>
              <c:strCache>
                <c:ptCount val="1"/>
                <c:pt idx="0">
                  <c:v>Accessed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Analysis!$N$146:$N$148</c:f>
              <c:strCache>
                <c:ptCount val="3"/>
                <c:pt idx="0">
                  <c:v> # People with access to soap</c:v>
                </c:pt>
                <c:pt idx="1">
                  <c:v> # People with access to Sanity Pads</c:v>
                </c:pt>
                <c:pt idx="2">
                  <c:v># people reached by regular dedicated hygiene promotion</c:v>
                </c:pt>
              </c:strCache>
            </c:strRef>
          </c:cat>
          <c:val>
            <c:numRef>
              <c:f>Analysis!$O$146:$O$148</c:f>
              <c:numCache>
                <c:formatCode>_(* #,##0_);_(* \(#,##0\);_(* "-"??_);_(@_)</c:formatCode>
                <c:ptCount val="3"/>
                <c:pt idx="0">
                  <c:v>26321</c:v>
                </c:pt>
                <c:pt idx="1">
                  <c:v>1099</c:v>
                </c:pt>
                <c:pt idx="2">
                  <c:v>24817</c:v>
                </c:pt>
              </c:numCache>
            </c:numRef>
          </c:val>
          <c:extLst>
            <c:ext xmlns:c16="http://schemas.microsoft.com/office/drawing/2014/chart" uri="{C3380CC4-5D6E-409C-BE32-E72D297353CC}">
              <c16:uniqueId val="{00000000-D2CF-40E7-A4D4-9AC53B52D312}"/>
            </c:ext>
          </c:extLst>
        </c:ser>
        <c:ser>
          <c:idx val="1"/>
          <c:order val="1"/>
          <c:tx>
            <c:strRef>
              <c:f>Analysis!$P$145</c:f>
              <c:strCache>
                <c:ptCount val="1"/>
                <c:pt idx="0">
                  <c:v>No Access</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Analysis!$N$146:$N$148</c:f>
              <c:strCache>
                <c:ptCount val="3"/>
                <c:pt idx="0">
                  <c:v> # People with access to soap</c:v>
                </c:pt>
                <c:pt idx="1">
                  <c:v> # People with access to Sanity Pads</c:v>
                </c:pt>
                <c:pt idx="2">
                  <c:v># people reached by regular dedicated hygiene promotion</c:v>
                </c:pt>
              </c:strCache>
            </c:strRef>
          </c:cat>
          <c:val>
            <c:numRef>
              <c:f>Analysis!$P$146:$P$148</c:f>
              <c:numCache>
                <c:formatCode>_(* #,##0_);_(* \(#,##0\);_(* "-"??_);_(@_)</c:formatCode>
                <c:ptCount val="3"/>
                <c:pt idx="0">
                  <c:v>126271</c:v>
                </c:pt>
                <c:pt idx="1">
                  <c:v>44678.6</c:v>
                </c:pt>
                <c:pt idx="2">
                  <c:v>127775</c:v>
                </c:pt>
              </c:numCache>
            </c:numRef>
          </c:val>
          <c:extLst>
            <c:ext xmlns:c16="http://schemas.microsoft.com/office/drawing/2014/chart" uri="{C3380CC4-5D6E-409C-BE32-E72D297353CC}">
              <c16:uniqueId val="{00000001-D2CF-40E7-A4D4-9AC53B52D312}"/>
            </c:ext>
          </c:extLst>
        </c:ser>
        <c:dLbls>
          <c:dLblPos val="ctr"/>
          <c:showLegendKey val="0"/>
          <c:showVal val="1"/>
          <c:showCatName val="0"/>
          <c:showSerName val="0"/>
          <c:showPercent val="0"/>
          <c:showBubbleSize val="0"/>
        </c:dLbls>
        <c:gapWidth val="50"/>
        <c:overlap val="100"/>
        <c:axId val="1382135663"/>
        <c:axId val="1382398879"/>
      </c:barChart>
      <c:catAx>
        <c:axId val="1382135663"/>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82398879"/>
        <c:crosses val="autoZero"/>
        <c:auto val="1"/>
        <c:lblAlgn val="ctr"/>
        <c:lblOffset val="100"/>
        <c:noMultiLvlLbl val="0"/>
      </c:catAx>
      <c:valAx>
        <c:axId val="1382398879"/>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821356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Access to Water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solidFill>
                <a:srgbClr val="0070C0"/>
              </a:solidFill>
              <a:ln>
                <a:noFill/>
              </a:ln>
              <a:effectLst/>
            </c:spPr>
            <c:extLst>
              <c:ext xmlns:c16="http://schemas.microsoft.com/office/drawing/2014/chart" uri="{C3380CC4-5D6E-409C-BE32-E72D297353CC}">
                <c16:uniqueId val="{00000001-F262-4101-8A80-F83CF7A903C0}"/>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2-F262-4101-8A80-F83CF7A903C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Analysis!$M$35:$M$36</c:f>
              <c:strCache>
                <c:ptCount val="2"/>
                <c:pt idx="0">
                  <c:v># people access to sufficient quantity of safe drinking water</c:v>
                </c:pt>
                <c:pt idx="1">
                  <c:v># People accessed to unimproved water sources</c:v>
                </c:pt>
              </c:strCache>
            </c:strRef>
          </c:cat>
          <c:val>
            <c:numRef>
              <c:f>Analysis!$N$35:$N$36</c:f>
              <c:numCache>
                <c:formatCode>_(* #,##0_);_(* \(#,##0\);_(* "-"??_);_(@_)</c:formatCode>
                <c:ptCount val="2"/>
                <c:pt idx="0">
                  <c:v>97870</c:v>
                </c:pt>
                <c:pt idx="1">
                  <c:v>91210</c:v>
                </c:pt>
              </c:numCache>
            </c:numRef>
          </c:val>
          <c:extLst>
            <c:ext xmlns:c16="http://schemas.microsoft.com/office/drawing/2014/chart" uri="{C3380CC4-5D6E-409C-BE32-E72D297353CC}">
              <c16:uniqueId val="{00000000-F262-4101-8A80-F83CF7A903C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[20200720_Myanmar_WASH_4W_2020_Q2_All_Village_Consolidate.xlsx]Analysis!R_water1</c:name>
    <c:fmtId val="51"/>
  </c:pivotSource>
  <c:chart>
    <c:autoTitleDeleted val="0"/>
    <c:pivotFmts>
      <c:pivotFmt>
        <c:idx val="0"/>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8842083056958751E-2"/>
          <c:y val="2.7777777777777776E-2"/>
          <c:w val="0.55221570600473824"/>
          <c:h val="0.8416746864975212"/>
        </c:manualLayout>
      </c:layout>
      <c:barChart>
        <c:barDir val="col"/>
        <c:grouping val="clustered"/>
        <c:varyColors val="0"/>
        <c:ser>
          <c:idx val="0"/>
          <c:order val="0"/>
          <c:tx>
            <c:strRef>
              <c:f>Analysis!$B$35</c:f>
              <c:strCache>
                <c:ptCount val="1"/>
                <c:pt idx="0">
                  <c:v> # Functioning protected hand dug well/open well</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Analysis!$B$36</c:f>
              <c:strCache>
                <c:ptCount val="1"/>
                <c:pt idx="0">
                  <c:v>Total</c:v>
                </c:pt>
              </c:strCache>
            </c:strRef>
          </c:cat>
          <c:val>
            <c:numRef>
              <c:f>Analysis!$B$36</c:f>
              <c:numCache>
                <c:formatCode>_(* #,##0_);_(* \(#,##0\);_(* "-"??_);_(@_)</c:formatCode>
                <c:ptCount val="1"/>
                <c:pt idx="0">
                  <c:v>921</c:v>
                </c:pt>
              </c:numCache>
            </c:numRef>
          </c:val>
          <c:extLst>
            <c:ext xmlns:c16="http://schemas.microsoft.com/office/drawing/2014/chart" uri="{C3380CC4-5D6E-409C-BE32-E72D297353CC}">
              <c16:uniqueId val="{00000000-D1CE-4788-A00B-E541EEA4EC30}"/>
            </c:ext>
          </c:extLst>
        </c:ser>
        <c:ser>
          <c:idx val="1"/>
          <c:order val="1"/>
          <c:tx>
            <c:strRef>
              <c:f>Analysis!$C$35</c:f>
              <c:strCache>
                <c:ptCount val="1"/>
                <c:pt idx="0">
                  <c:v> # Functioning Tube wells/boreholes/hand_pumps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Analysis!$B$36</c:f>
              <c:strCache>
                <c:ptCount val="1"/>
                <c:pt idx="0">
                  <c:v>Total</c:v>
                </c:pt>
              </c:strCache>
            </c:strRef>
          </c:cat>
          <c:val>
            <c:numRef>
              <c:f>Analysis!$C$36</c:f>
              <c:numCache>
                <c:formatCode>_(* #,##0_);_(* \(#,##0\);_(* "-"??_);_(@_)</c:formatCode>
                <c:ptCount val="1"/>
                <c:pt idx="0">
                  <c:v>6831</c:v>
                </c:pt>
              </c:numCache>
            </c:numRef>
          </c:val>
          <c:extLst>
            <c:ext xmlns:c16="http://schemas.microsoft.com/office/drawing/2014/chart" uri="{C3380CC4-5D6E-409C-BE32-E72D297353CC}">
              <c16:uniqueId val="{00000003-D1CE-4788-A00B-E541EEA4EC30}"/>
            </c:ext>
          </c:extLst>
        </c:ser>
        <c:ser>
          <c:idx val="2"/>
          <c:order val="2"/>
          <c:tx>
            <c:strRef>
              <c:f>Analysis!$D$35</c:f>
              <c:strCache>
                <c:ptCount val="1"/>
                <c:pt idx="0">
                  <c:v>  # Existing protected/fenced_ponds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Analysis!$B$36</c:f>
              <c:strCache>
                <c:ptCount val="1"/>
                <c:pt idx="0">
                  <c:v>Total</c:v>
                </c:pt>
              </c:strCache>
            </c:strRef>
          </c:cat>
          <c:val>
            <c:numRef>
              <c:f>Analysis!$D$36</c:f>
              <c:numCache>
                <c:formatCode>_(* #,##0_);_(* \(#,##0\);_(* "-"??_);_(@_)</c:formatCode>
                <c:ptCount val="1"/>
                <c:pt idx="0">
                  <c:v>194</c:v>
                </c:pt>
              </c:numCache>
            </c:numRef>
          </c:val>
          <c:extLst>
            <c:ext xmlns:c16="http://schemas.microsoft.com/office/drawing/2014/chart" uri="{C3380CC4-5D6E-409C-BE32-E72D297353CC}">
              <c16:uniqueId val="{00000004-D1CE-4788-A00B-E541EEA4EC30}"/>
            </c:ext>
          </c:extLst>
        </c:ser>
        <c:dLbls>
          <c:showLegendKey val="0"/>
          <c:showVal val="0"/>
          <c:showCatName val="0"/>
          <c:showSerName val="0"/>
          <c:showPercent val="0"/>
          <c:showBubbleSize val="0"/>
        </c:dLbls>
        <c:gapWidth val="100"/>
        <c:overlap val="-24"/>
        <c:axId val="834064320"/>
        <c:axId val="824219760"/>
      </c:barChart>
      <c:catAx>
        <c:axId val="8340643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824219760"/>
        <c:crosses val="autoZero"/>
        <c:auto val="1"/>
        <c:lblAlgn val="ctr"/>
        <c:lblOffset val="100"/>
        <c:noMultiLvlLbl val="0"/>
      </c:catAx>
      <c:valAx>
        <c:axId val="824219760"/>
        <c:scaling>
          <c:orientation val="minMax"/>
        </c:scaling>
        <c:delete val="0"/>
        <c:axPos val="l"/>
        <c:majorGridlines>
          <c:spPr>
            <a:ln w="9525" cap="flat" cmpd="sng" algn="ctr">
              <a:solidFill>
                <a:schemeClr val="tx2">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834064320"/>
        <c:crosses val="autoZero"/>
        <c:crossBetween val="between"/>
      </c:valAx>
      <c:spPr>
        <a:noFill/>
        <a:ln>
          <a:noFill/>
        </a:ln>
        <a:effectLst/>
      </c:spPr>
    </c:plotArea>
    <c:legend>
      <c:legendPos val="r"/>
      <c:layout>
        <c:manualLayout>
          <c:xMode val="edge"/>
          <c:yMode val="edge"/>
          <c:x val="0.61349580701916917"/>
          <c:y val="0.33875148446033815"/>
          <c:w val="0.37479620495247895"/>
          <c:h val="0.505001583533082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[20200720_Myanmar_WASH_4W_2020_Q2_All_Village_Consolidate.xlsx]Quarterly Dashboard!PivotTable1</c:name>
    <c:fmtId val="1"/>
  </c:pivotSource>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b="1" i="0" baseline="0">
                <a:effectLst/>
              </a:rPr>
              <a:t>Qtr Dashboard</a:t>
            </a:r>
            <a:endParaRPr lang="en-US" sz="1800" b="1">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ivotFmts>
      <c:pivotFmt>
        <c:idx val="0"/>
        <c:spPr>
          <a:solidFill>
            <a:schemeClr val="tx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0070C0"/>
          </a:solidFill>
          <a:ln>
            <a:noFill/>
          </a:ln>
          <a:effectLst/>
        </c:spPr>
        <c:marker>
          <c:symbol val="none"/>
        </c:marker>
      </c:pivotFmt>
      <c:pivotFmt>
        <c:idx val="2"/>
        <c:spPr>
          <a:solidFill>
            <a:schemeClr val="accent2">
              <a:lumMod val="75000"/>
            </a:schemeClr>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spPr>
          <a:solidFill>
            <a:srgbClr val="0070C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6">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612781656401217"/>
          <c:y val="0.11493115019255251"/>
          <c:w val="0.62188569619991574"/>
          <c:h val="0.82620867752909466"/>
        </c:manualLayout>
      </c:layout>
      <c:barChart>
        <c:barDir val="bar"/>
        <c:grouping val="clustered"/>
        <c:varyColors val="0"/>
        <c:ser>
          <c:idx val="0"/>
          <c:order val="0"/>
          <c:tx>
            <c:strRef>
              <c:f>'Quarterly Dashboard'!$C$29</c:f>
              <c:strCache>
                <c:ptCount val="1"/>
                <c:pt idx="0">
                  <c:v>Total Population</c:v>
                </c:pt>
              </c:strCache>
            </c:strRef>
          </c:tx>
          <c:spPr>
            <a:solidFill>
              <a:schemeClr val="tx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Dashboard'!$A$30:$B$56</c:f>
              <c:multiLvlStrCache>
                <c:ptCount val="22"/>
                <c:lvl>
                  <c:pt idx="0">
                    <c:v>Myitkyina</c:v>
                  </c:pt>
                  <c:pt idx="1">
                    <c:v>Sumprabum</c:v>
                  </c:pt>
                  <c:pt idx="2">
                    <c:v>Waingmaw</c:v>
                  </c:pt>
                  <c:pt idx="3">
                    <c:v>Injangyang</c:v>
                  </c:pt>
                  <c:pt idx="4">
                    <c:v>Hseni</c:v>
                  </c:pt>
                  <c:pt idx="5">
                    <c:v>Lashio</c:v>
                  </c:pt>
                  <c:pt idx="6">
                    <c:v>Aik Chan (Ai' Chun)</c:v>
                  </c:pt>
                  <c:pt idx="7">
                    <c:v>Yin Pang</c:v>
                  </c:pt>
                  <c:pt idx="8">
                    <c:v>Nam Hkam Wu</c:v>
                  </c:pt>
                  <c:pt idx="9">
                    <c:v>Pang Hkam</c:v>
                  </c:pt>
                  <c:pt idx="10">
                    <c:v>Kawng Min Hsang</c:v>
                  </c:pt>
                  <c:pt idx="11">
                    <c:v>WA</c:v>
                  </c:pt>
                  <c:pt idx="12">
                    <c:v>SR4</c:v>
                  </c:pt>
                  <c:pt idx="13">
                    <c:v>KOK</c:v>
                  </c:pt>
                  <c:pt idx="14">
                    <c:v>Laukkaing (Kokang SAZ)</c:v>
                  </c:pt>
                  <c:pt idx="15">
                    <c:v>Kyaukpyu</c:v>
                  </c:pt>
                  <c:pt idx="16">
                    <c:v>Kyauktaw</c:v>
                  </c:pt>
                  <c:pt idx="17">
                    <c:v>Minbya</c:v>
                  </c:pt>
                  <c:pt idx="18">
                    <c:v>Myebon</c:v>
                  </c:pt>
                  <c:pt idx="19">
                    <c:v>Pauktaw</c:v>
                  </c:pt>
                  <c:pt idx="20">
                    <c:v>Sittwe</c:v>
                  </c:pt>
                  <c:pt idx="21">
                    <c:v>Hlaing Bwe</c:v>
                  </c:pt>
                </c:lvl>
                <c:lvl>
                  <c:pt idx="0">
                    <c:v>Kachin</c:v>
                  </c:pt>
                  <c:pt idx="4">
                    <c:v>Shan (North)</c:v>
                  </c:pt>
                  <c:pt idx="15">
                    <c:v>Central Rakhine</c:v>
                  </c:pt>
                  <c:pt idx="21">
                    <c:v>Kayin</c:v>
                  </c:pt>
                </c:lvl>
              </c:multiLvlStrCache>
            </c:multiLvlStrRef>
          </c:cat>
          <c:val>
            <c:numRef>
              <c:f>'Quarterly Dashboard'!$C$30:$C$56</c:f>
              <c:numCache>
                <c:formatCode>General</c:formatCode>
                <c:ptCount val="22"/>
                <c:pt idx="0">
                  <c:v>964</c:v>
                </c:pt>
                <c:pt idx="1">
                  <c:v>2306</c:v>
                </c:pt>
                <c:pt idx="2">
                  <c:v>10084</c:v>
                </c:pt>
                <c:pt idx="3">
                  <c:v>3741</c:v>
                </c:pt>
                <c:pt idx="4">
                  <c:v>413</c:v>
                </c:pt>
                <c:pt idx="5">
                  <c:v>1342</c:v>
                </c:pt>
                <c:pt idx="6">
                  <c:v>1209</c:v>
                </c:pt>
                <c:pt idx="7">
                  <c:v>871</c:v>
                </c:pt>
                <c:pt idx="8">
                  <c:v>937</c:v>
                </c:pt>
                <c:pt idx="9">
                  <c:v>617</c:v>
                </c:pt>
                <c:pt idx="10">
                  <c:v>272</c:v>
                </c:pt>
                <c:pt idx="11">
                  <c:v>5336</c:v>
                </c:pt>
                <c:pt idx="12">
                  <c:v>4563</c:v>
                </c:pt>
                <c:pt idx="13">
                  <c:v>291</c:v>
                </c:pt>
                <c:pt idx="14">
                  <c:v>4171</c:v>
                </c:pt>
                <c:pt idx="15">
                  <c:v>3451</c:v>
                </c:pt>
                <c:pt idx="16">
                  <c:v>20186</c:v>
                </c:pt>
                <c:pt idx="17">
                  <c:v>49926</c:v>
                </c:pt>
                <c:pt idx="18">
                  <c:v>434</c:v>
                </c:pt>
                <c:pt idx="19">
                  <c:v>30582</c:v>
                </c:pt>
                <c:pt idx="20">
                  <c:v>170635</c:v>
                </c:pt>
                <c:pt idx="21">
                  <c:v>7593</c:v>
                </c:pt>
              </c:numCache>
            </c:numRef>
          </c:val>
          <c:extLst>
            <c:ext xmlns:c16="http://schemas.microsoft.com/office/drawing/2014/chart" uri="{C3380CC4-5D6E-409C-BE32-E72D297353CC}">
              <c16:uniqueId val="{00000000-FD4A-40E3-B1F6-9704B8EB76ED}"/>
            </c:ext>
          </c:extLst>
        </c:ser>
        <c:ser>
          <c:idx val="1"/>
          <c:order val="1"/>
          <c:tx>
            <c:strRef>
              <c:f>'Quarterly Dashboard'!$D$29</c:f>
              <c:strCache>
                <c:ptCount val="1"/>
                <c:pt idx="0">
                  <c:v>Number of People adopt basic personal and community hygiene practices</c:v>
                </c:pt>
              </c:strCache>
            </c:strRef>
          </c:tx>
          <c:spPr>
            <a:solidFill>
              <a:schemeClr val="accent6">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Dashboard'!$A$30:$B$56</c:f>
              <c:multiLvlStrCache>
                <c:ptCount val="22"/>
                <c:lvl>
                  <c:pt idx="0">
                    <c:v>Myitkyina</c:v>
                  </c:pt>
                  <c:pt idx="1">
                    <c:v>Sumprabum</c:v>
                  </c:pt>
                  <c:pt idx="2">
                    <c:v>Waingmaw</c:v>
                  </c:pt>
                  <c:pt idx="3">
                    <c:v>Injangyang</c:v>
                  </c:pt>
                  <c:pt idx="4">
                    <c:v>Hseni</c:v>
                  </c:pt>
                  <c:pt idx="5">
                    <c:v>Lashio</c:v>
                  </c:pt>
                  <c:pt idx="6">
                    <c:v>Aik Chan (Ai' Chun)</c:v>
                  </c:pt>
                  <c:pt idx="7">
                    <c:v>Yin Pang</c:v>
                  </c:pt>
                  <c:pt idx="8">
                    <c:v>Nam Hkam Wu</c:v>
                  </c:pt>
                  <c:pt idx="9">
                    <c:v>Pang Hkam</c:v>
                  </c:pt>
                  <c:pt idx="10">
                    <c:v>Kawng Min Hsang</c:v>
                  </c:pt>
                  <c:pt idx="11">
                    <c:v>WA</c:v>
                  </c:pt>
                  <c:pt idx="12">
                    <c:v>SR4</c:v>
                  </c:pt>
                  <c:pt idx="13">
                    <c:v>KOK</c:v>
                  </c:pt>
                  <c:pt idx="14">
                    <c:v>Laukkaing (Kokang SAZ)</c:v>
                  </c:pt>
                  <c:pt idx="15">
                    <c:v>Kyaukpyu</c:v>
                  </c:pt>
                  <c:pt idx="16">
                    <c:v>Kyauktaw</c:v>
                  </c:pt>
                  <c:pt idx="17">
                    <c:v>Minbya</c:v>
                  </c:pt>
                  <c:pt idx="18">
                    <c:v>Myebon</c:v>
                  </c:pt>
                  <c:pt idx="19">
                    <c:v>Pauktaw</c:v>
                  </c:pt>
                  <c:pt idx="20">
                    <c:v>Sittwe</c:v>
                  </c:pt>
                  <c:pt idx="21">
                    <c:v>Hlaing Bwe</c:v>
                  </c:pt>
                </c:lvl>
                <c:lvl>
                  <c:pt idx="0">
                    <c:v>Kachin</c:v>
                  </c:pt>
                  <c:pt idx="4">
                    <c:v>Shan (North)</c:v>
                  </c:pt>
                  <c:pt idx="15">
                    <c:v>Central Rakhine</c:v>
                  </c:pt>
                  <c:pt idx="21">
                    <c:v>Kayin</c:v>
                  </c:pt>
                </c:lvl>
              </c:multiLvlStrCache>
            </c:multiLvlStrRef>
          </c:cat>
          <c:val>
            <c:numRef>
              <c:f>'Quarterly Dashboard'!$D$30:$D$56</c:f>
              <c:numCache>
                <c:formatCode>General</c:formatCode>
                <c:ptCount val="22"/>
                <c:pt idx="0">
                  <c:v>54</c:v>
                </c:pt>
                <c:pt idx="1">
                  <c:v>0</c:v>
                </c:pt>
                <c:pt idx="2">
                  <c:v>608</c:v>
                </c:pt>
                <c:pt idx="3">
                  <c:v>0</c:v>
                </c:pt>
                <c:pt idx="4">
                  <c:v>228</c:v>
                </c:pt>
                <c:pt idx="5">
                  <c:v>816</c:v>
                </c:pt>
                <c:pt idx="6">
                  <c:v>489</c:v>
                </c:pt>
                <c:pt idx="7">
                  <c:v>436</c:v>
                </c:pt>
                <c:pt idx="8">
                  <c:v>105</c:v>
                </c:pt>
                <c:pt idx="9">
                  <c:v>75</c:v>
                </c:pt>
                <c:pt idx="10">
                  <c:v>103</c:v>
                </c:pt>
                <c:pt idx="11">
                  <c:v>0</c:v>
                </c:pt>
                <c:pt idx="12">
                  <c:v>0</c:v>
                </c:pt>
                <c:pt idx="13">
                  <c:v>67</c:v>
                </c:pt>
                <c:pt idx="14">
                  <c:v>0</c:v>
                </c:pt>
                <c:pt idx="15">
                  <c:v>0</c:v>
                </c:pt>
                <c:pt idx="16">
                  <c:v>253</c:v>
                </c:pt>
                <c:pt idx="17">
                  <c:v>1443</c:v>
                </c:pt>
                <c:pt idx="18">
                  <c:v>434</c:v>
                </c:pt>
                <c:pt idx="19">
                  <c:v>13381</c:v>
                </c:pt>
                <c:pt idx="20">
                  <c:v>56431</c:v>
                </c:pt>
                <c:pt idx="21">
                  <c:v>0</c:v>
                </c:pt>
              </c:numCache>
            </c:numRef>
          </c:val>
          <c:extLst>
            <c:ext xmlns:c16="http://schemas.microsoft.com/office/drawing/2014/chart" uri="{C3380CC4-5D6E-409C-BE32-E72D297353CC}">
              <c16:uniqueId val="{00000000-186D-464E-B4E5-625EB4D2527A}"/>
            </c:ext>
          </c:extLst>
        </c:ser>
        <c:ser>
          <c:idx val="2"/>
          <c:order val="2"/>
          <c:tx>
            <c:strRef>
              <c:f>'Quarterly Dashboard'!$E$29</c:f>
              <c:strCache>
                <c:ptCount val="1"/>
                <c:pt idx="0">
                  <c:v>Number of people with equitable and continuous access to safe sanitation facilities</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Dashboard'!$A$30:$B$56</c:f>
              <c:multiLvlStrCache>
                <c:ptCount val="22"/>
                <c:lvl>
                  <c:pt idx="0">
                    <c:v>Myitkyina</c:v>
                  </c:pt>
                  <c:pt idx="1">
                    <c:v>Sumprabum</c:v>
                  </c:pt>
                  <c:pt idx="2">
                    <c:v>Waingmaw</c:v>
                  </c:pt>
                  <c:pt idx="3">
                    <c:v>Injangyang</c:v>
                  </c:pt>
                  <c:pt idx="4">
                    <c:v>Hseni</c:v>
                  </c:pt>
                  <c:pt idx="5">
                    <c:v>Lashio</c:v>
                  </c:pt>
                  <c:pt idx="6">
                    <c:v>Aik Chan (Ai' Chun)</c:v>
                  </c:pt>
                  <c:pt idx="7">
                    <c:v>Yin Pang</c:v>
                  </c:pt>
                  <c:pt idx="8">
                    <c:v>Nam Hkam Wu</c:v>
                  </c:pt>
                  <c:pt idx="9">
                    <c:v>Pang Hkam</c:v>
                  </c:pt>
                  <c:pt idx="10">
                    <c:v>Kawng Min Hsang</c:v>
                  </c:pt>
                  <c:pt idx="11">
                    <c:v>WA</c:v>
                  </c:pt>
                  <c:pt idx="12">
                    <c:v>SR4</c:v>
                  </c:pt>
                  <c:pt idx="13">
                    <c:v>KOK</c:v>
                  </c:pt>
                  <c:pt idx="14">
                    <c:v>Laukkaing (Kokang SAZ)</c:v>
                  </c:pt>
                  <c:pt idx="15">
                    <c:v>Kyaukpyu</c:v>
                  </c:pt>
                  <c:pt idx="16">
                    <c:v>Kyauktaw</c:v>
                  </c:pt>
                  <c:pt idx="17">
                    <c:v>Minbya</c:v>
                  </c:pt>
                  <c:pt idx="18">
                    <c:v>Myebon</c:v>
                  </c:pt>
                  <c:pt idx="19">
                    <c:v>Pauktaw</c:v>
                  </c:pt>
                  <c:pt idx="20">
                    <c:v>Sittwe</c:v>
                  </c:pt>
                  <c:pt idx="21">
                    <c:v>Hlaing Bwe</c:v>
                  </c:pt>
                </c:lvl>
                <c:lvl>
                  <c:pt idx="0">
                    <c:v>Kachin</c:v>
                  </c:pt>
                  <c:pt idx="4">
                    <c:v>Shan (North)</c:v>
                  </c:pt>
                  <c:pt idx="15">
                    <c:v>Central Rakhine</c:v>
                  </c:pt>
                  <c:pt idx="21">
                    <c:v>Kayin</c:v>
                  </c:pt>
                </c:lvl>
              </c:multiLvlStrCache>
            </c:multiLvlStrRef>
          </c:cat>
          <c:val>
            <c:numRef>
              <c:f>'Quarterly Dashboard'!$E$30:$E$56</c:f>
              <c:numCache>
                <c:formatCode>General</c:formatCode>
                <c:ptCount val="22"/>
                <c:pt idx="0">
                  <c:v>600</c:v>
                </c:pt>
                <c:pt idx="1">
                  <c:v>0</c:v>
                </c:pt>
                <c:pt idx="2">
                  <c:v>2740</c:v>
                </c:pt>
                <c:pt idx="3">
                  <c:v>0</c:v>
                </c:pt>
                <c:pt idx="4">
                  <c:v>320</c:v>
                </c:pt>
                <c:pt idx="5">
                  <c:v>1262</c:v>
                </c:pt>
                <c:pt idx="6">
                  <c:v>18</c:v>
                </c:pt>
                <c:pt idx="7">
                  <c:v>0</c:v>
                </c:pt>
                <c:pt idx="8">
                  <c:v>0</c:v>
                </c:pt>
                <c:pt idx="9">
                  <c:v>156</c:v>
                </c:pt>
                <c:pt idx="10">
                  <c:v>0</c:v>
                </c:pt>
                <c:pt idx="11">
                  <c:v>819</c:v>
                </c:pt>
                <c:pt idx="12">
                  <c:v>1494</c:v>
                </c:pt>
                <c:pt idx="13">
                  <c:v>42</c:v>
                </c:pt>
                <c:pt idx="14">
                  <c:v>812</c:v>
                </c:pt>
                <c:pt idx="15">
                  <c:v>323</c:v>
                </c:pt>
                <c:pt idx="16">
                  <c:v>8650</c:v>
                </c:pt>
                <c:pt idx="17">
                  <c:v>25618</c:v>
                </c:pt>
                <c:pt idx="18">
                  <c:v>434</c:v>
                </c:pt>
                <c:pt idx="19">
                  <c:v>2580</c:v>
                </c:pt>
                <c:pt idx="20">
                  <c:v>51810</c:v>
                </c:pt>
                <c:pt idx="21">
                  <c:v>4602</c:v>
                </c:pt>
              </c:numCache>
            </c:numRef>
          </c:val>
          <c:extLst>
            <c:ext xmlns:c16="http://schemas.microsoft.com/office/drawing/2014/chart" uri="{C3380CC4-5D6E-409C-BE32-E72D297353CC}">
              <c16:uniqueId val="{00000001-186D-464E-B4E5-625EB4D2527A}"/>
            </c:ext>
          </c:extLst>
        </c:ser>
        <c:ser>
          <c:idx val="3"/>
          <c:order val="3"/>
          <c:tx>
            <c:strRef>
              <c:f>'Quarterly Dashboard'!$F$29</c:f>
              <c:strCache>
                <c:ptCount val="1"/>
                <c:pt idx="0">
                  <c:v>Number of people with equitable and continuous access to sufficient quantity of domestic water</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44546A"/>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'Quarterly Dashboard'!$A$30:$B$56</c:f>
              <c:multiLvlStrCache>
                <c:ptCount val="22"/>
                <c:lvl>
                  <c:pt idx="0">
                    <c:v>Myitkyina</c:v>
                  </c:pt>
                  <c:pt idx="1">
                    <c:v>Sumprabum</c:v>
                  </c:pt>
                  <c:pt idx="2">
                    <c:v>Waingmaw</c:v>
                  </c:pt>
                  <c:pt idx="3">
                    <c:v>Injangyang</c:v>
                  </c:pt>
                  <c:pt idx="4">
                    <c:v>Hseni</c:v>
                  </c:pt>
                  <c:pt idx="5">
                    <c:v>Lashio</c:v>
                  </c:pt>
                  <c:pt idx="6">
                    <c:v>Aik Chan (Ai' Chun)</c:v>
                  </c:pt>
                  <c:pt idx="7">
                    <c:v>Yin Pang</c:v>
                  </c:pt>
                  <c:pt idx="8">
                    <c:v>Nam Hkam Wu</c:v>
                  </c:pt>
                  <c:pt idx="9">
                    <c:v>Pang Hkam</c:v>
                  </c:pt>
                  <c:pt idx="10">
                    <c:v>Kawng Min Hsang</c:v>
                  </c:pt>
                  <c:pt idx="11">
                    <c:v>WA</c:v>
                  </c:pt>
                  <c:pt idx="12">
                    <c:v>SR4</c:v>
                  </c:pt>
                  <c:pt idx="13">
                    <c:v>KOK</c:v>
                  </c:pt>
                  <c:pt idx="14">
                    <c:v>Laukkaing (Kokang SAZ)</c:v>
                  </c:pt>
                  <c:pt idx="15">
                    <c:v>Kyaukpyu</c:v>
                  </c:pt>
                  <c:pt idx="16">
                    <c:v>Kyauktaw</c:v>
                  </c:pt>
                  <c:pt idx="17">
                    <c:v>Minbya</c:v>
                  </c:pt>
                  <c:pt idx="18">
                    <c:v>Myebon</c:v>
                  </c:pt>
                  <c:pt idx="19">
                    <c:v>Pauktaw</c:v>
                  </c:pt>
                  <c:pt idx="20">
                    <c:v>Sittwe</c:v>
                  </c:pt>
                  <c:pt idx="21">
                    <c:v>Hlaing Bwe</c:v>
                  </c:pt>
                </c:lvl>
                <c:lvl>
                  <c:pt idx="0">
                    <c:v>Kachin</c:v>
                  </c:pt>
                  <c:pt idx="4">
                    <c:v>Shan (North)</c:v>
                  </c:pt>
                  <c:pt idx="15">
                    <c:v>Central Rakhine</c:v>
                  </c:pt>
                  <c:pt idx="21">
                    <c:v>Kayin</c:v>
                  </c:pt>
                </c:lvl>
              </c:multiLvlStrCache>
            </c:multiLvlStrRef>
          </c:cat>
          <c:val>
            <c:numRef>
              <c:f>'Quarterly Dashboard'!$F$30:$F$56</c:f>
              <c:numCache>
                <c:formatCode>General</c:formatCode>
                <c:ptCount val="22"/>
                <c:pt idx="0">
                  <c:v>964</c:v>
                </c:pt>
                <c:pt idx="1">
                  <c:v>0</c:v>
                </c:pt>
                <c:pt idx="2">
                  <c:v>4844</c:v>
                </c:pt>
                <c:pt idx="3">
                  <c:v>0</c:v>
                </c:pt>
                <c:pt idx="4">
                  <c:v>170</c:v>
                </c:pt>
                <c:pt idx="5">
                  <c:v>260</c:v>
                </c:pt>
                <c:pt idx="6">
                  <c:v>0</c:v>
                </c:pt>
                <c:pt idx="7">
                  <c:v>0</c:v>
                </c:pt>
                <c:pt idx="8">
                  <c:v>0</c:v>
                </c:pt>
                <c:pt idx="9">
                  <c:v>0</c:v>
                </c:pt>
                <c:pt idx="10">
                  <c:v>0</c:v>
                </c:pt>
                <c:pt idx="11">
                  <c:v>0</c:v>
                </c:pt>
                <c:pt idx="12">
                  <c:v>0</c:v>
                </c:pt>
                <c:pt idx="13">
                  <c:v>0</c:v>
                </c:pt>
                <c:pt idx="14">
                  <c:v>2624</c:v>
                </c:pt>
                <c:pt idx="15">
                  <c:v>323</c:v>
                </c:pt>
                <c:pt idx="16">
                  <c:v>14886</c:v>
                </c:pt>
                <c:pt idx="17">
                  <c:v>49926</c:v>
                </c:pt>
                <c:pt idx="18">
                  <c:v>434</c:v>
                </c:pt>
                <c:pt idx="19">
                  <c:v>30582</c:v>
                </c:pt>
                <c:pt idx="20">
                  <c:v>129162</c:v>
                </c:pt>
                <c:pt idx="21">
                  <c:v>7144</c:v>
                </c:pt>
              </c:numCache>
            </c:numRef>
          </c:val>
          <c:extLst>
            <c:ext xmlns:c16="http://schemas.microsoft.com/office/drawing/2014/chart" uri="{C3380CC4-5D6E-409C-BE32-E72D297353CC}">
              <c16:uniqueId val="{00000002-186D-464E-B4E5-625EB4D2527A}"/>
            </c:ext>
          </c:extLst>
        </c:ser>
        <c:dLbls>
          <c:showLegendKey val="0"/>
          <c:showVal val="0"/>
          <c:showCatName val="0"/>
          <c:showSerName val="0"/>
          <c:showPercent val="0"/>
          <c:showBubbleSize val="0"/>
        </c:dLbls>
        <c:gapWidth val="100"/>
        <c:axId val="415868040"/>
        <c:axId val="415868432"/>
      </c:barChart>
      <c:catAx>
        <c:axId val="4158680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8432"/>
        <c:crosses val="autoZero"/>
        <c:auto val="1"/>
        <c:lblAlgn val="ctr"/>
        <c:lblOffset val="100"/>
        <c:noMultiLvlLbl val="0"/>
      </c:catAx>
      <c:valAx>
        <c:axId val="41586843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Nb of People</a:t>
                </a:r>
              </a:p>
            </c:rich>
          </c:tx>
          <c:layout>
            <c:manualLayout>
              <c:xMode val="edge"/>
              <c:yMode val="edge"/>
              <c:x val="0.91412593207319459"/>
              <c:y val="0.9647028148317734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8040"/>
        <c:crosses val="autoZero"/>
        <c:crossBetween val="between"/>
      </c:valAx>
      <c:spPr>
        <a:noFill/>
        <a:ln>
          <a:noFill/>
        </a:ln>
        <a:effectLst/>
      </c:spPr>
    </c:plotArea>
    <c:legend>
      <c:legendPos val="r"/>
      <c:layout>
        <c:manualLayout>
          <c:xMode val="edge"/>
          <c:yMode val="edge"/>
          <c:x val="0.7635998223399264"/>
          <c:y val="0.2294476557200536"/>
          <c:w val="0.23640020279019566"/>
          <c:h val="0.4500836725721571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85C2FF"/>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HRP!$H$15</c:f>
              <c:strCache>
                <c:ptCount val="1"/>
                <c:pt idx="0">
                  <c:v>% Reached</c:v>
                </c:pt>
              </c:strCache>
            </c:strRef>
          </c:tx>
          <c:spPr>
            <a:solidFill>
              <a:schemeClr val="tx1">
                <a:lumMod val="65000"/>
                <a:lumOff val="35000"/>
              </a:schemeClr>
            </a:solidFill>
            <a:ln>
              <a:noFill/>
            </a:ln>
            <a:effectLst/>
          </c:spPr>
          <c:invertIfNegative val="0"/>
          <c:cat>
            <c:multiLvlStrRef>
              <c:f>HRP!$C$16:$D$31</c:f>
              <c:multiLvlStrCache>
                <c:ptCount val="16"/>
                <c:lvl>
                  <c:pt idx="0">
                    <c:v> Central Rakhine </c:v>
                  </c:pt>
                  <c:pt idx="1">
                    <c:v> Northern Rakhine </c:v>
                  </c:pt>
                  <c:pt idx="2">
                    <c:v> Kachin </c:v>
                  </c:pt>
                  <c:pt idx="3">
                    <c:v> Shan (North) </c:v>
                  </c:pt>
                  <c:pt idx="4">
                    <c:v> Kayin </c:v>
                  </c:pt>
                  <c:pt idx="5">
                    <c:v> Chin </c:v>
                  </c:pt>
                  <c:pt idx="6">
                    <c:v> Total </c:v>
                  </c:pt>
                  <c:pt idx="7">
                    <c:v> Central Rakhine </c:v>
                  </c:pt>
                  <c:pt idx="8">
                    <c:v> Northern Rakhine </c:v>
                  </c:pt>
                  <c:pt idx="9">
                    <c:v> Kachin </c:v>
                  </c:pt>
                  <c:pt idx="10">
                    <c:v> Shan (North) </c:v>
                  </c:pt>
                  <c:pt idx="11">
                    <c:v> Kayin </c:v>
                  </c:pt>
                  <c:pt idx="12">
                    <c:v> Chin </c:v>
                  </c:pt>
                  <c:pt idx="13">
                    <c:v> Total </c:v>
                  </c:pt>
                  <c:pt idx="14">
                    <c:v> Central Rakhine </c:v>
                  </c:pt>
                  <c:pt idx="15">
                    <c:v> Northern Rakhine </c:v>
                  </c:pt>
                </c:lvl>
                <c:lvl>
                  <c:pt idx="0">
                    <c:v>Percentage of women, men, boys and girls benefitting from safe/improved drinking water, meeting demand for domestic purposes, at minimum/agreed standards</c:v>
                  </c:pt>
                  <c:pt idx="7">
                    <c:v>Percentage of targeted women, men, boys and girls benefitting from a functional excreta disposal system, reducing safety/public health/environmental risks</c:v>
                  </c:pt>
                  <c:pt idx="14">
                    <c:v>Percentage of targeted women, men, boys and girls benefitting from timely/adequate/tailored personal hygiene items and receiving appropriate/ community tailored messages that enable health seeking behavior</c:v>
                  </c:pt>
                </c:lvl>
              </c:multiLvlStrCache>
            </c:multiLvlStrRef>
          </c:cat>
          <c:val>
            <c:numRef>
              <c:f>HRP!$H$16:$H$31</c:f>
              <c:numCache>
                <c:formatCode>0%</c:formatCode>
                <c:ptCount val="16"/>
                <c:pt idx="0">
                  <c:v>1.3139790418469084</c:v>
                </c:pt>
                <c:pt idx="1">
                  <c:v>0</c:v>
                </c:pt>
                <c:pt idx="2">
                  <c:v>0.18708447147348337</c:v>
                </c:pt>
                <c:pt idx="3">
                  <c:v>0.26311708451796328</c:v>
                </c:pt>
                <c:pt idx="4">
                  <c:v>0.78230398598335527</c:v>
                </c:pt>
                <c:pt idx="5">
                  <c:v>0</c:v>
                </c:pt>
                <c:pt idx="6">
                  <c:v>0.42240345854374717</c:v>
                </c:pt>
                <c:pt idx="7">
                  <c:v>0.52074995951791625</c:v>
                </c:pt>
                <c:pt idx="8">
                  <c:v>0</c:v>
                </c:pt>
                <c:pt idx="9">
                  <c:v>0.10758645570272632</c:v>
                </c:pt>
                <c:pt idx="10">
                  <c:v>0.20625484621349185</c:v>
                </c:pt>
                <c:pt idx="11">
                  <c:v>0.50394218134034163</c:v>
                </c:pt>
                <c:pt idx="12">
                  <c:v>0</c:v>
                </c:pt>
                <c:pt idx="13">
                  <c:v>0.17898457283597652</c:v>
                </c:pt>
                <c:pt idx="14">
                  <c:v>0.48140137407758682</c:v>
                </c:pt>
                <c:pt idx="15">
                  <c:v>0</c:v>
                </c:pt>
              </c:numCache>
            </c:numRef>
          </c:val>
          <c:extLst>
            <c:ext xmlns:c16="http://schemas.microsoft.com/office/drawing/2014/chart" uri="{C3380CC4-5D6E-409C-BE32-E72D297353CC}">
              <c16:uniqueId val="{00000000-78ED-4C56-BA32-1282FB4F42D0}"/>
            </c:ext>
          </c:extLst>
        </c:ser>
        <c:ser>
          <c:idx val="1"/>
          <c:order val="1"/>
          <c:tx>
            <c:strRef>
              <c:f>HRP!$I$15</c:f>
              <c:strCache>
                <c:ptCount val="1"/>
                <c:pt idx="0">
                  <c:v>% Gap</c:v>
                </c:pt>
              </c:strCache>
            </c:strRef>
          </c:tx>
          <c:spPr>
            <a:solidFill>
              <a:schemeClr val="bg1">
                <a:lumMod val="75000"/>
              </a:schemeClr>
            </a:solidFill>
            <a:ln>
              <a:noFill/>
            </a:ln>
            <a:effectLst/>
          </c:spPr>
          <c:invertIfNegative val="0"/>
          <c:cat>
            <c:multiLvlStrRef>
              <c:f>HRP!$C$16:$D$31</c:f>
              <c:multiLvlStrCache>
                <c:ptCount val="16"/>
                <c:lvl>
                  <c:pt idx="0">
                    <c:v> Central Rakhine </c:v>
                  </c:pt>
                  <c:pt idx="1">
                    <c:v> Northern Rakhine </c:v>
                  </c:pt>
                  <c:pt idx="2">
                    <c:v> Kachin </c:v>
                  </c:pt>
                  <c:pt idx="3">
                    <c:v> Shan (North) </c:v>
                  </c:pt>
                  <c:pt idx="4">
                    <c:v> Kayin </c:v>
                  </c:pt>
                  <c:pt idx="5">
                    <c:v> Chin </c:v>
                  </c:pt>
                  <c:pt idx="6">
                    <c:v> Total </c:v>
                  </c:pt>
                  <c:pt idx="7">
                    <c:v> Central Rakhine </c:v>
                  </c:pt>
                  <c:pt idx="8">
                    <c:v> Northern Rakhine </c:v>
                  </c:pt>
                  <c:pt idx="9">
                    <c:v> Kachin </c:v>
                  </c:pt>
                  <c:pt idx="10">
                    <c:v> Shan (North) </c:v>
                  </c:pt>
                  <c:pt idx="11">
                    <c:v> Kayin </c:v>
                  </c:pt>
                  <c:pt idx="12">
                    <c:v> Chin </c:v>
                  </c:pt>
                  <c:pt idx="13">
                    <c:v> Total </c:v>
                  </c:pt>
                  <c:pt idx="14">
                    <c:v> Central Rakhine </c:v>
                  </c:pt>
                  <c:pt idx="15">
                    <c:v> Northern Rakhine </c:v>
                  </c:pt>
                </c:lvl>
                <c:lvl>
                  <c:pt idx="0">
                    <c:v>Percentage of women, men, boys and girls benefitting from safe/improved drinking water, meeting demand for domestic purposes, at minimum/agreed standards</c:v>
                  </c:pt>
                  <c:pt idx="7">
                    <c:v>Percentage of targeted women, men, boys and girls benefitting from a functional excreta disposal system, reducing safety/public health/environmental risks</c:v>
                  </c:pt>
                  <c:pt idx="14">
                    <c:v>Percentage of targeted women, men, boys and girls benefitting from timely/adequate/tailored personal hygiene items and receiving appropriate/ community tailored messages that enable health seeking behavior</c:v>
                  </c:pt>
                </c:lvl>
              </c:multiLvlStrCache>
            </c:multiLvlStrRef>
          </c:cat>
          <c:val>
            <c:numRef>
              <c:f>HRP!$I$16:$I$31</c:f>
              <c:numCache>
                <c:formatCode>0%</c:formatCode>
                <c:ptCount val="16"/>
                <c:pt idx="0">
                  <c:v>-0.31397904184690839</c:v>
                </c:pt>
                <c:pt idx="1">
                  <c:v>1</c:v>
                </c:pt>
                <c:pt idx="2">
                  <c:v>0.81291552852651661</c:v>
                </c:pt>
                <c:pt idx="3">
                  <c:v>0.73688291548203666</c:v>
                </c:pt>
                <c:pt idx="4">
                  <c:v>0.21769601401664473</c:v>
                </c:pt>
                <c:pt idx="5">
                  <c:v>1</c:v>
                </c:pt>
                <c:pt idx="6" formatCode="_(* #,##0_);_(* \(#,##0\);_(* &quot;-&quot;??_);_(@_)">
                  <c:v>0.57759654145625283</c:v>
                </c:pt>
                <c:pt idx="7">
                  <c:v>0.47925004048208375</c:v>
                </c:pt>
                <c:pt idx="8">
                  <c:v>1</c:v>
                </c:pt>
                <c:pt idx="9">
                  <c:v>0.89241354429727371</c:v>
                </c:pt>
                <c:pt idx="10">
                  <c:v>0.79374515378650812</c:v>
                </c:pt>
                <c:pt idx="11">
                  <c:v>0.49605781865965837</c:v>
                </c:pt>
                <c:pt idx="12">
                  <c:v>1</c:v>
                </c:pt>
                <c:pt idx="13">
                  <c:v>0.82101542716402354</c:v>
                </c:pt>
                <c:pt idx="14">
                  <c:v>0.51859862592241313</c:v>
                </c:pt>
                <c:pt idx="15">
                  <c:v>1</c:v>
                </c:pt>
              </c:numCache>
            </c:numRef>
          </c:val>
          <c:extLst>
            <c:ext xmlns:c16="http://schemas.microsoft.com/office/drawing/2014/chart" uri="{C3380CC4-5D6E-409C-BE32-E72D297353CC}">
              <c16:uniqueId val="{00000001-78ED-4C56-BA32-1282FB4F42D0}"/>
            </c:ext>
          </c:extLst>
        </c:ser>
        <c:dLbls>
          <c:showLegendKey val="0"/>
          <c:showVal val="0"/>
          <c:showCatName val="0"/>
          <c:showSerName val="0"/>
          <c:showPercent val="0"/>
          <c:showBubbleSize val="0"/>
        </c:dLbls>
        <c:gapWidth val="150"/>
        <c:overlap val="100"/>
        <c:axId val="391608632"/>
        <c:axId val="391605104"/>
      </c:barChart>
      <c:catAx>
        <c:axId val="39160863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1605104"/>
        <c:crosses val="autoZero"/>
        <c:auto val="1"/>
        <c:lblAlgn val="ctr"/>
        <c:lblOffset val="100"/>
        <c:noMultiLvlLbl val="0"/>
      </c:catAx>
      <c:valAx>
        <c:axId val="391605104"/>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91608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[20200720_Myanmar_WASH_4W_2020_Q2_All_Village_Consolidate.xlsx]Analysis!R_Geo</c:name>
    <c:fmtId val="33"/>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Number of Sites - Coverage/Gaps</a:t>
            </a:r>
          </a:p>
        </c:rich>
      </c:tx>
      <c:layout>
        <c:manualLayout>
          <c:xMode val="edge"/>
          <c:yMode val="edge"/>
          <c:x val="0.24044580033600649"/>
          <c:y val="5.06169790390930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4033474602027133E-2"/>
          <c:y val="0.18660326932633103"/>
          <c:w val="0.70386355380808219"/>
          <c:h val="0.61659333224571267"/>
        </c:manualLayout>
      </c:layout>
      <c:barChart>
        <c:barDir val="bar"/>
        <c:grouping val="clustered"/>
        <c:varyColors val="0"/>
        <c:ser>
          <c:idx val="0"/>
          <c:order val="0"/>
          <c:tx>
            <c:strRef>
              <c:f>Analysis!$I$189:$I$190</c:f>
              <c:strCache>
                <c:ptCount val="1"/>
                <c:pt idx="0">
                  <c:v>Covered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Analysis!$H$191</c:f>
              <c:strCache>
                <c:ptCount val="1"/>
                <c:pt idx="0">
                  <c:v>Village</c:v>
                </c:pt>
              </c:strCache>
            </c:strRef>
          </c:cat>
          <c:val>
            <c:numRef>
              <c:f>Analysis!$I$191</c:f>
              <c:numCache>
                <c:formatCode>General</c:formatCode>
                <c:ptCount val="1"/>
                <c:pt idx="0">
                  <c:v>126</c:v>
                </c:pt>
              </c:numCache>
            </c:numRef>
          </c:val>
          <c:extLst>
            <c:ext xmlns:c16="http://schemas.microsoft.com/office/drawing/2014/chart" uri="{C3380CC4-5D6E-409C-BE32-E72D297353CC}">
              <c16:uniqueId val="{00000000-BD5C-4B33-A72A-BB3EB2213EEB}"/>
            </c:ext>
          </c:extLst>
        </c:ser>
        <c:dLbls>
          <c:dLblPos val="outEnd"/>
          <c:showLegendKey val="0"/>
          <c:showVal val="1"/>
          <c:showCatName val="0"/>
          <c:showSerName val="0"/>
          <c:showPercent val="0"/>
          <c:showBubbleSize val="0"/>
        </c:dLbls>
        <c:gapWidth val="100"/>
        <c:axId val="417007224"/>
        <c:axId val="417013496"/>
      </c:barChart>
      <c:catAx>
        <c:axId val="41700722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417013496"/>
        <c:crosses val="autoZero"/>
        <c:auto val="1"/>
        <c:lblAlgn val="ctr"/>
        <c:lblOffset val="100"/>
        <c:noMultiLvlLbl val="0"/>
      </c:catAx>
      <c:valAx>
        <c:axId val="417013496"/>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crossAx val="417007224"/>
        <c:crosses val="autoZero"/>
        <c:crossBetween val="between"/>
      </c:valAx>
      <c:spPr>
        <a:noFill/>
        <a:ln>
          <a:noFill/>
        </a:ln>
        <a:effectLst/>
      </c:spPr>
    </c:plotArea>
    <c:legend>
      <c:legendPos val="r"/>
      <c:layout>
        <c:manualLayout>
          <c:xMode val="edge"/>
          <c:yMode val="edge"/>
          <c:x val="0.88825752779955003"/>
          <c:y val="0.38298215948169401"/>
          <c:w val="0.11174249534321064"/>
          <c:h val="9.861407451337715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r>
              <a:rPr lang="en-US" sz="1400" b="1" i="0" baseline="0">
                <a:effectLst/>
              </a:rPr>
              <a:t>Number of ppl Covered against 2020 HRP targets</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44546A"/>
              </a:solidFill>
              <a:latin typeface="+mn-lt"/>
              <a:ea typeface="+mn-ea"/>
              <a:cs typeface="+mn-cs"/>
            </a:defRPr>
          </a:pPr>
          <a:endParaRPr lang="en-US"/>
        </a:p>
      </c:txPr>
    </c:title>
    <c:autoTitleDeleted val="0"/>
    <c:plotArea>
      <c:layout>
        <c:manualLayout>
          <c:layoutTarget val="inner"/>
          <c:xMode val="edge"/>
          <c:yMode val="edge"/>
          <c:x val="0.48411962887625587"/>
          <c:y val="0.10167668696838546"/>
          <c:w val="0.46523678440230043"/>
          <c:h val="0.79980514266690172"/>
        </c:manualLayout>
      </c:layout>
      <c:barChart>
        <c:barDir val="bar"/>
        <c:grouping val="percentStacked"/>
        <c:varyColors val="0"/>
        <c:ser>
          <c:idx val="0"/>
          <c:order val="0"/>
          <c:tx>
            <c:strRef>
              <c:f>HRP!$E$56</c:f>
              <c:strCache>
                <c:ptCount val="1"/>
                <c:pt idx="0">
                  <c:v>Coverage</c:v>
                </c:pt>
              </c:strCache>
            </c:strRef>
          </c:tx>
          <c:spPr>
            <a:solidFill>
              <a:schemeClr val="accent6">
                <a:lumMod val="75000"/>
              </a:schemeClr>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82EC-4DD7-AC7E-DD0A62556135}"/>
              </c:ext>
            </c:extLst>
          </c:dPt>
          <c:dPt>
            <c:idx val="2"/>
            <c:invertIfNegative val="0"/>
            <c:bubble3D val="0"/>
            <c:spPr>
              <a:solidFill>
                <a:srgbClr val="0070C0"/>
              </a:solidFill>
              <a:ln>
                <a:noFill/>
              </a:ln>
              <a:effectLst/>
            </c:spPr>
            <c:extLst>
              <c:ext xmlns:c16="http://schemas.microsoft.com/office/drawing/2014/chart" uri="{C3380CC4-5D6E-409C-BE32-E72D297353CC}">
                <c16:uniqueId val="{00000003-82EC-4DD7-AC7E-DD0A62556135}"/>
              </c:ext>
            </c:extLst>
          </c:dPt>
          <c:dLbls>
            <c:dLbl>
              <c:idx val="0"/>
              <c:layout>
                <c:manualLayout>
                  <c:x val="1.9236634564733027E-2"/>
                  <c:y val="-2.47341519299688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EC-4DD7-AC7E-DD0A62556135}"/>
                </c:ext>
              </c:extLst>
            </c:dLbl>
            <c:dLbl>
              <c:idx val="1"/>
              <c:layout>
                <c:manualLayout>
                  <c:x val="3.0262156910700094E-2"/>
                  <c:y val="-3.22163806526436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EC-4DD7-AC7E-DD0A62556135}"/>
                </c:ext>
              </c:extLst>
            </c:dLbl>
            <c:dLbl>
              <c:idx val="2"/>
              <c:layout>
                <c:manualLayout>
                  <c:x val="3.1216471481786908E-2"/>
                  <c:y val="-2.47338915662298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EC-4DD7-AC7E-DD0A6255613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HRP!$C$57:$C$59</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HRP!$E$57:$E$59</c:f>
              <c:numCache>
                <c:formatCode>_(* #,##0_);_(* \(#,##0\);_(* "-"??_);_(@_)</c:formatCode>
                <c:ptCount val="3"/>
                <c:pt idx="0">
                  <c:v>41621</c:v>
                </c:pt>
                <c:pt idx="1">
                  <c:v>45023</c:v>
                </c:pt>
                <c:pt idx="2">
                  <c:v>113604</c:v>
                </c:pt>
              </c:numCache>
            </c:numRef>
          </c:val>
          <c:extLst>
            <c:ext xmlns:c16="http://schemas.microsoft.com/office/drawing/2014/chart" uri="{C3380CC4-5D6E-409C-BE32-E72D297353CC}">
              <c16:uniqueId val="{00000005-82EC-4DD7-AC7E-DD0A62556135}"/>
            </c:ext>
          </c:extLst>
        </c:ser>
        <c:ser>
          <c:idx val="1"/>
          <c:order val="1"/>
          <c:tx>
            <c:strRef>
              <c:f>HRP!$F$56</c:f>
              <c:strCache>
                <c:ptCount val="1"/>
                <c:pt idx="0">
                  <c:v>Gap</c:v>
                </c:pt>
              </c:strCache>
            </c:strRef>
          </c:tx>
          <c:spPr>
            <a:solidFill>
              <a:schemeClr val="accent1">
                <a:lumMod val="40000"/>
                <a:lumOff val="60000"/>
              </a:schemeClr>
            </a:solidFill>
            <a:ln>
              <a:noFill/>
            </a:ln>
            <a:effectLst/>
          </c:spPr>
          <c:invertIfNegative val="0"/>
          <c:dPt>
            <c:idx val="0"/>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7-82EC-4DD7-AC7E-DD0A62556135}"/>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9-82EC-4DD7-AC7E-DD0A6255613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HRP!$C$57:$C$59</c:f>
              <c:strCache>
                <c:ptCount val="3"/>
                <c:pt idx="0">
                  <c:v>benefitting from timely/adequate/tailored personal hygiene items and receiving appropriate/ community tailored messages that enable health seeking behavior</c:v>
                </c:pt>
                <c:pt idx="1">
                  <c:v>benefitting from a functional excreta disposal system, reducing safety/public health/environmental risks</c:v>
                </c:pt>
                <c:pt idx="2">
                  <c:v>benefitting from safe/improved drinking water, meeting demand for domestic purposes, at minimum/agreed standards</c:v>
                </c:pt>
              </c:strCache>
            </c:strRef>
          </c:cat>
          <c:val>
            <c:numRef>
              <c:f>HRP!$F$57:$F$59</c:f>
              <c:numCache>
                <c:formatCode>_(* #,##0_);_(* \(#,##0\);_(* "-"??_);_(@_)</c:formatCode>
                <c:ptCount val="3"/>
                <c:pt idx="0">
                  <c:v>221082</c:v>
                </c:pt>
                <c:pt idx="1">
                  <c:v>217680</c:v>
                </c:pt>
                <c:pt idx="2">
                  <c:v>149099</c:v>
                </c:pt>
              </c:numCache>
            </c:numRef>
          </c:val>
          <c:extLst>
            <c:ext xmlns:c16="http://schemas.microsoft.com/office/drawing/2014/chart" uri="{C3380CC4-5D6E-409C-BE32-E72D297353CC}">
              <c16:uniqueId val="{0000000A-82EC-4DD7-AC7E-DD0A62556135}"/>
            </c:ext>
          </c:extLst>
        </c:ser>
        <c:dLbls>
          <c:showLegendKey val="0"/>
          <c:showVal val="0"/>
          <c:showCatName val="0"/>
          <c:showSerName val="0"/>
          <c:showPercent val="0"/>
          <c:showBubbleSize val="0"/>
        </c:dLbls>
        <c:gapWidth val="150"/>
        <c:overlap val="100"/>
        <c:axId val="419840080"/>
        <c:axId val="419840472"/>
      </c:barChart>
      <c:catAx>
        <c:axId val="41984008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419840472"/>
        <c:crosses val="autoZero"/>
        <c:auto val="1"/>
        <c:lblAlgn val="ctr"/>
        <c:lblOffset val="100"/>
        <c:noMultiLvlLbl val="0"/>
      </c:catAx>
      <c:valAx>
        <c:axId val="419840472"/>
        <c:scaling>
          <c:orientation val="minMax"/>
          <c:min val="0"/>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984008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Latrine Coverage in Schools (50:1)</a:t>
            </a:r>
          </a:p>
        </c:rich>
      </c:tx>
      <c:layout>
        <c:manualLayout>
          <c:xMode val="edge"/>
          <c:yMode val="edge"/>
          <c:x val="0.14402088429020482"/>
          <c:y val="0"/>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1074152561316916"/>
          <c:y val="0.31605206885900688"/>
          <c:w val="0.49014312225503515"/>
          <c:h val="0.51307933115103388"/>
        </c:manualLayout>
      </c:layout>
      <c:pieChart>
        <c:varyColors val="1"/>
        <c:ser>
          <c:idx val="0"/>
          <c:order val="0"/>
          <c:dPt>
            <c:idx val="0"/>
            <c:bubble3D val="0"/>
            <c:spPr>
              <a:solidFill>
                <a:schemeClr val="accent2">
                  <a:lumMod val="75000"/>
                </a:schemeClr>
              </a:solidFill>
              <a:ln>
                <a:noFill/>
              </a:ln>
              <a:effectLst/>
            </c:spPr>
            <c:extLst>
              <c:ext xmlns:c16="http://schemas.microsoft.com/office/drawing/2014/chart" uri="{C3380CC4-5D6E-409C-BE32-E72D297353CC}">
                <c16:uniqueId val="{00000001-F2FC-4680-8196-110FDDFEEA5C}"/>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F2FC-4680-8196-110FDDFEEA5C}"/>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F2FC-4680-8196-110FDDFEEA5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(Analysis!$E$123,Analysis!$E$125)</c:f>
              <c:strCache>
                <c:ptCount val="2"/>
                <c:pt idx="0">
                  <c:v>Coverage</c:v>
                </c:pt>
                <c:pt idx="1">
                  <c:v>Gap</c:v>
                </c:pt>
              </c:strCache>
            </c:strRef>
          </c:cat>
          <c:val>
            <c:numRef>
              <c:f>(Analysis!$F$123,Analysis!$F$125)</c:f>
              <c:numCache>
                <c:formatCode>_(* #,##0_);_(* \(#,##0\);_(* "-"??_);_(@_)</c:formatCode>
                <c:ptCount val="2"/>
                <c:pt idx="0">
                  <c:v>97</c:v>
                </c:pt>
                <c:pt idx="1">
                  <c:v>41.300000000000011</c:v>
                </c:pt>
              </c:numCache>
            </c:numRef>
          </c:val>
          <c:extLst>
            <c:ext xmlns:c16="http://schemas.microsoft.com/office/drawing/2014/chart" uri="{C3380CC4-5D6E-409C-BE32-E72D297353CC}">
              <c16:uniqueId val="{00000004-F2FC-4680-8196-110FDDFEEA5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[20200720_Myanmar_WASH_4W_2020_Q2_All_Village_Consolidate.xlsx]Analysis!PivotTable2</c:name>
    <c:fmtId val="17"/>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 non-IDP sites with schools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bg1">
              <a:lumMod val="50000"/>
            </a:schemeClr>
          </a:solidFill>
          <a:ln>
            <a:noFill/>
          </a:ln>
          <a:effectLst/>
        </c:spPr>
      </c:pivotFmt>
      <c:pivotFmt>
        <c:idx val="2"/>
        <c:spPr>
          <a:solidFill>
            <a:schemeClr val="bg1">
              <a:lumMod val="85000"/>
            </a:schemeClr>
          </a:solidFill>
          <a:ln>
            <a:noFill/>
          </a:ln>
          <a:effectLst/>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bg1">
              <a:lumMod val="50000"/>
            </a:schemeClr>
          </a:solidFill>
          <a:ln>
            <a:noFill/>
          </a:ln>
          <a:effectLst/>
        </c:spPr>
      </c:pivotFmt>
      <c:pivotFmt>
        <c:idx val="5"/>
        <c:spPr>
          <a:solidFill>
            <a:schemeClr val="bg1">
              <a:lumMod val="85000"/>
            </a:schemeClr>
          </a:solidFill>
          <a:ln>
            <a:noFill/>
          </a:ln>
          <a:effectLst/>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rgbClr val="7030A0"/>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8"/>
        <c:spPr>
          <a:solidFill>
            <a:srgbClr val="D692D6"/>
          </a:solidFill>
          <a:ln>
            <a:noFill/>
          </a:ln>
          <a:effectLst/>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0"/>
        <c:spPr>
          <a:solidFill>
            <a:srgbClr val="7030A0"/>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1"/>
        <c:spPr>
          <a:solidFill>
            <a:srgbClr val="D692D6"/>
          </a:solidFill>
          <a:ln>
            <a:noFill/>
          </a:ln>
          <a:effectLst/>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s>
    <c:plotArea>
      <c:layout>
        <c:manualLayout>
          <c:layoutTarget val="inner"/>
          <c:xMode val="edge"/>
          <c:yMode val="edge"/>
          <c:x val="0.18228953372427684"/>
          <c:y val="0.27295917494008903"/>
          <c:w val="0.51615952809687449"/>
          <c:h val="0.5420609380349195"/>
        </c:manualLayout>
      </c:layout>
      <c:pieChart>
        <c:varyColors val="1"/>
        <c:ser>
          <c:idx val="0"/>
          <c:order val="0"/>
          <c:tx>
            <c:strRef>
              <c:f>Analysis!$D$285</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451D-4279-BFA3-D4C3608C52DF}"/>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451D-4279-BFA3-D4C3608C52DF}"/>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Analysis!$C$286:$C$287</c:f>
              <c:strCache>
                <c:ptCount val="2"/>
                <c:pt idx="0">
                  <c:v>Yes</c:v>
                </c:pt>
                <c:pt idx="1">
                  <c:v>No</c:v>
                </c:pt>
              </c:strCache>
            </c:strRef>
          </c:cat>
          <c:val>
            <c:numRef>
              <c:f>Analysis!$D$286:$D$287</c:f>
              <c:numCache>
                <c:formatCode>_(* #,##0_);_(* \(#,##0\);_(* "-"??_);_(@_)</c:formatCode>
                <c:ptCount val="2"/>
                <c:pt idx="0">
                  <c:v>39</c:v>
                </c:pt>
                <c:pt idx="1">
                  <c:v>136</c:v>
                </c:pt>
              </c:numCache>
            </c:numRef>
          </c:val>
          <c:extLst>
            <c:ext xmlns:c16="http://schemas.microsoft.com/office/drawing/2014/chart" uri="{C3380CC4-5D6E-409C-BE32-E72D297353CC}">
              <c16:uniqueId val="{00000000-87DA-4FC7-A511-A7CF4DC93F2D}"/>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People</a:t>
            </a:r>
            <a:r>
              <a:rPr lang="en-US" sz="1400" baseline="0"/>
              <a:t> a</a:t>
            </a:r>
            <a:r>
              <a:rPr lang="en-US" sz="1400"/>
              <a:t>ccess to functioning Latrine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9989773237804734"/>
          <c:y val="0.27725523567366578"/>
          <c:w val="0.63527954275985787"/>
          <c:h val="0.51417937992125995"/>
        </c:manualLayout>
      </c:layout>
      <c:pieChart>
        <c:varyColors val="1"/>
        <c:ser>
          <c:idx val="0"/>
          <c:order val="0"/>
          <c:tx>
            <c:strRef>
              <c:f>Analysis!$C$82</c:f>
              <c:strCache>
                <c:ptCount val="1"/>
                <c:pt idx="0">
                  <c:v> # in villages (6:1) </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1-87F1-4766-B034-EC56DC123520}"/>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87F1-4766-B034-EC56DC123520}"/>
              </c:ext>
            </c:extLst>
          </c:dPt>
          <c:dLbls>
            <c:dLbl>
              <c:idx val="0"/>
              <c:layout>
                <c:manualLayout>
                  <c:x val="-0.17310808347780249"/>
                  <c:y val="4.4081054587229121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15:layout>
                    <c:manualLayout>
                      <c:w val="0.22538610038610038"/>
                      <c:h val="0.14019097222222221"/>
                    </c:manualLayout>
                  </c15:layout>
                </c:ext>
                <c:ext xmlns:c16="http://schemas.microsoft.com/office/drawing/2014/chart" uri="{C3380CC4-5D6E-409C-BE32-E72D297353CC}">
                  <c16:uniqueId val="{00000001-87F1-4766-B034-EC56DC123520}"/>
                </c:ext>
              </c:extLst>
            </c:dLbl>
            <c:dLbl>
              <c:idx val="1"/>
              <c:layout>
                <c:manualLayout>
                  <c:x val="0.25442299103745358"/>
                  <c:y val="-0.1133036144905574"/>
                </c:manualLayout>
              </c:layout>
              <c:showLegendKey val="0"/>
              <c:showVal val="1"/>
              <c:showCatName val="0"/>
              <c:showSerName val="0"/>
              <c:showPercent val="1"/>
              <c:showBubbleSize val="0"/>
              <c:separator>
</c:separator>
              <c:extLst>
                <c:ext xmlns:c15="http://schemas.microsoft.com/office/drawing/2012/chart" uri="{CE6537A1-D6FC-4f65-9D91-7224C49458BB}">
                  <c15:layout>
                    <c:manualLayout>
                      <c:w val="0.24300214162418882"/>
                      <c:h val="0.2673611111111111"/>
                    </c:manualLayout>
                  </c15:layout>
                </c:ext>
                <c:ext xmlns:c16="http://schemas.microsoft.com/office/drawing/2014/chart" uri="{C3380CC4-5D6E-409C-BE32-E72D297353CC}">
                  <c16:uniqueId val="{00000003-87F1-4766-B034-EC56DC12352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Analysis!$B$83:$B$84</c:f>
              <c:strCache>
                <c:ptCount val="2"/>
                <c:pt idx="0">
                  <c:v> Accessed  </c:v>
                </c:pt>
                <c:pt idx="1">
                  <c:v> No access  </c:v>
                </c:pt>
              </c:strCache>
            </c:strRef>
          </c:cat>
          <c:val>
            <c:numRef>
              <c:f>Analysis!$C$83:$C$84</c:f>
              <c:numCache>
                <c:formatCode>_(* #,##0_);_(* \(#,##0\);_(* "-"??_);_(@_)</c:formatCode>
                <c:ptCount val="2"/>
                <c:pt idx="0">
                  <c:v>10898</c:v>
                </c:pt>
                <c:pt idx="1">
                  <c:v>12615</c:v>
                </c:pt>
              </c:numCache>
            </c:numRef>
          </c:val>
          <c:extLst>
            <c:ext xmlns:c16="http://schemas.microsoft.com/office/drawing/2014/chart" uri="{C3380CC4-5D6E-409C-BE32-E72D297353CC}">
              <c16:uniqueId val="{00000004-87F1-4766-B034-EC56DC12352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2">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[20200720_Myanmar_WASH_4W_2020_Q2_All_Village_Consolidate.xlsx]Analysis!PivotTable5</c:name>
    <c:fmtId val="17"/>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 of Students received appropriate</a:t>
            </a:r>
            <a:r>
              <a:rPr lang="en-US" sz="1200" baseline="0"/>
              <a:t> hygiene messages</a:t>
            </a:r>
            <a:endParaRPr lang="en-US" sz="1200"/>
          </a:p>
        </c:rich>
      </c:tx>
      <c:layout>
        <c:manualLayout>
          <c:xMode val="edge"/>
          <c:yMode val="edge"/>
          <c:x val="0.19213491815328135"/>
          <c:y val="0"/>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5942279090113737"/>
              <c:y val="1.6624015748031497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260761154855643"/>
              <c:y val="8.4922717993584137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260761154855643"/>
              <c:y val="8.4922717993584137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layout>
            <c:manualLayout>
              <c:x val="0.15942279090113737"/>
              <c:y val="1.6624015748031497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rgbClr val="7030A0"/>
          </a:solidFill>
          <a:ln>
            <a:noFill/>
          </a:ln>
          <a:effectLst/>
        </c:spPr>
        <c:dLbl>
          <c:idx val="0"/>
          <c:layout>
            <c:manualLayout>
              <c:x val="-0.13107775590551188"/>
              <c:y val="-1.4655924723198654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rgbClr val="D692D6"/>
          </a:solidFill>
          <a:ln>
            <a:noFill/>
          </a:ln>
          <a:effectLst/>
        </c:spPr>
        <c:dLbl>
          <c:idx val="0"/>
          <c:layout>
            <c:manualLayout>
              <c:x val="0.1528506853310003"/>
              <c:y val="-1.7338142129889208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0"/>
        <c:spPr>
          <a:solidFill>
            <a:srgbClr val="7030A0"/>
          </a:solidFill>
          <a:ln>
            <a:noFill/>
          </a:ln>
          <a:effectLst/>
        </c:spPr>
        <c:dLbl>
          <c:idx val="0"/>
          <c:layout>
            <c:manualLayout>
              <c:x val="-0.13107775590551188"/>
              <c:y val="-1.4655924723198654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1"/>
        <c:spPr>
          <a:solidFill>
            <a:srgbClr val="D692D6"/>
          </a:solidFill>
          <a:ln>
            <a:noFill/>
          </a:ln>
          <a:effectLst/>
        </c:spPr>
        <c:dLbl>
          <c:idx val="0"/>
          <c:layout>
            <c:manualLayout>
              <c:x val="0.1528506853310003"/>
              <c:y val="-1.7338142129889208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3"/>
        <c:spPr>
          <a:solidFill>
            <a:srgbClr val="7030A0"/>
          </a:solidFill>
          <a:ln>
            <a:noFill/>
          </a:ln>
          <a:effectLst/>
        </c:spPr>
        <c:dLbl>
          <c:idx val="0"/>
          <c:layout>
            <c:manualLayout>
              <c:x val="-0.24969563822572716"/>
              <c:y val="-2.0090722355357755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4"/>
        <c:spPr>
          <a:solidFill>
            <a:srgbClr val="D692D6"/>
          </a:solidFill>
          <a:ln>
            <a:noFill/>
          </a:ln>
          <a:effectLst/>
        </c:spPr>
        <c:dLbl>
          <c:idx val="0"/>
          <c:layout>
            <c:manualLayout>
              <c:x val="0.1528506853310003"/>
              <c:y val="-1.7338142129889208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13426394805342473"/>
          <c:y val="0.31746448134200622"/>
          <c:w val="0.51681644487579848"/>
          <c:h val="0.54462341663813763"/>
        </c:manualLayout>
      </c:layout>
      <c:pieChart>
        <c:varyColors val="1"/>
        <c:ser>
          <c:idx val="0"/>
          <c:order val="0"/>
          <c:tx>
            <c:strRef>
              <c:f>Analysis!$C$149</c:f>
              <c:strCache>
                <c:ptCount val="1"/>
                <c:pt idx="0">
                  <c:v>Total</c:v>
                </c:pt>
              </c:strCache>
            </c:strRef>
          </c:tx>
          <c:dPt>
            <c:idx val="0"/>
            <c:bubble3D val="0"/>
            <c:spPr>
              <a:solidFill>
                <a:srgbClr val="7030A0"/>
              </a:solidFill>
              <a:ln>
                <a:noFill/>
              </a:ln>
              <a:effectLst/>
            </c:spPr>
            <c:extLst>
              <c:ext xmlns:c16="http://schemas.microsoft.com/office/drawing/2014/chart" uri="{C3380CC4-5D6E-409C-BE32-E72D297353CC}">
                <c16:uniqueId val="{00000001-2DF6-4287-8FFB-D7A6EFAA1E5E}"/>
              </c:ext>
            </c:extLst>
          </c:dPt>
          <c:dPt>
            <c:idx val="1"/>
            <c:bubble3D val="0"/>
            <c:spPr>
              <a:solidFill>
                <a:srgbClr val="D692D6"/>
              </a:solidFill>
              <a:ln>
                <a:noFill/>
              </a:ln>
              <a:effectLst/>
            </c:spPr>
            <c:extLst>
              <c:ext xmlns:c16="http://schemas.microsoft.com/office/drawing/2014/chart" uri="{C3380CC4-5D6E-409C-BE32-E72D297353CC}">
                <c16:uniqueId val="{00000003-2DF6-4287-8FFB-D7A6EFAA1E5E}"/>
              </c:ext>
            </c:extLst>
          </c:dPt>
          <c:dLbls>
            <c:dLbl>
              <c:idx val="0"/>
              <c:layout>
                <c:manualLayout>
                  <c:x val="-0.24969563822572716"/>
                  <c:y val="-2.00907223553577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DF6-4287-8FFB-D7A6EFAA1E5E}"/>
                </c:ext>
              </c:extLst>
            </c:dLbl>
            <c:dLbl>
              <c:idx val="1"/>
              <c:layout>
                <c:manualLayout>
                  <c:x val="0.1528506853310003"/>
                  <c:y val="-1.733814212988920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DF6-4287-8FFB-D7A6EFAA1E5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Analysis!$B$150:$B$151</c:f>
              <c:strCache>
                <c:ptCount val="2"/>
                <c:pt idx="0">
                  <c:v>Boys</c:v>
                </c:pt>
                <c:pt idx="1">
                  <c:v>Girls</c:v>
                </c:pt>
              </c:strCache>
            </c:strRef>
          </c:cat>
          <c:val>
            <c:numRef>
              <c:f>Analysis!$C$150:$C$151</c:f>
              <c:numCache>
                <c:formatCode>General</c:formatCode>
                <c:ptCount val="2"/>
                <c:pt idx="0">
                  <c:v>3627</c:v>
                </c:pt>
                <c:pt idx="1">
                  <c:v>3673</c:v>
                </c:pt>
              </c:numCache>
            </c:numRef>
          </c:val>
          <c:extLst>
            <c:ext xmlns:c16="http://schemas.microsoft.com/office/drawing/2014/chart" uri="{C3380CC4-5D6E-409C-BE32-E72D297353CC}">
              <c16:uniqueId val="{00000004-2DF6-4287-8FFB-D7A6EFAA1E5E}"/>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School Drainage in non-IDP sites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1.7121815655396017E-2"/>
          <c:y val="0.18255764904386954"/>
          <c:w val="0.98287818434460383"/>
          <c:h val="0.63408245844269462"/>
        </c:manualLayout>
      </c:layout>
      <c:ofPieChart>
        <c:ofPieType val="pie"/>
        <c:varyColors val="1"/>
        <c:ser>
          <c:idx val="0"/>
          <c:order val="0"/>
          <c:dPt>
            <c:idx val="0"/>
            <c:bubble3D val="0"/>
            <c:spPr>
              <a:solidFill>
                <a:srgbClr val="E4B6E4"/>
              </a:solidFill>
              <a:ln>
                <a:noFill/>
              </a:ln>
              <a:effectLst/>
            </c:spPr>
            <c:extLst>
              <c:ext xmlns:c16="http://schemas.microsoft.com/office/drawing/2014/chart" uri="{C3380CC4-5D6E-409C-BE32-E72D297353CC}">
                <c16:uniqueId val="{00000001-4CFE-4E9A-9DC7-BCA313B3532D}"/>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4CFE-4E9A-9DC7-BCA313B3532D}"/>
              </c:ext>
            </c:extLst>
          </c:dPt>
          <c:dPt>
            <c:idx val="2"/>
            <c:bubble3D val="0"/>
            <c:spPr>
              <a:solidFill>
                <a:schemeClr val="accent2">
                  <a:lumMod val="75000"/>
                </a:schemeClr>
              </a:solidFill>
              <a:ln>
                <a:noFill/>
              </a:ln>
              <a:effectLst/>
            </c:spPr>
            <c:extLst>
              <c:ext xmlns:c16="http://schemas.microsoft.com/office/drawing/2014/chart" uri="{C3380CC4-5D6E-409C-BE32-E72D297353CC}">
                <c16:uniqueId val="{00000005-4CFE-4E9A-9DC7-BCA313B3532D}"/>
              </c:ext>
            </c:extLst>
          </c:dPt>
          <c:dPt>
            <c:idx val="3"/>
            <c:bubble3D val="0"/>
            <c:spPr>
              <a:solidFill>
                <a:schemeClr val="accent2">
                  <a:lumMod val="50000"/>
                </a:schemeClr>
              </a:solidFill>
              <a:ln>
                <a:noFill/>
              </a:ln>
              <a:effectLst/>
            </c:spPr>
            <c:extLst>
              <c:ext xmlns:c16="http://schemas.microsoft.com/office/drawing/2014/chart" uri="{C3380CC4-5D6E-409C-BE32-E72D297353CC}">
                <c16:uniqueId val="{00000007-4CFE-4E9A-9DC7-BCA313B3532D}"/>
              </c:ext>
            </c:extLst>
          </c:dPt>
          <c:dPt>
            <c:idx val="4"/>
            <c:bubble3D val="0"/>
            <c:spPr>
              <a:solidFill>
                <a:srgbClr val="7030A0"/>
              </a:solidFill>
              <a:ln>
                <a:noFill/>
              </a:ln>
              <a:effectLst/>
            </c:spPr>
            <c:extLst>
              <c:ext xmlns:c16="http://schemas.microsoft.com/office/drawing/2014/chart" uri="{C3380CC4-5D6E-409C-BE32-E72D297353CC}">
                <c16:uniqueId val="{00000009-4CFE-4E9A-9DC7-BCA313B3532D}"/>
              </c:ext>
            </c:extLst>
          </c:dPt>
          <c:dLbls>
            <c:dLbl>
              <c:idx val="0"/>
              <c:layout>
                <c:manualLayout>
                  <c:x val="8.4696089459405752E-2"/>
                  <c:y val="4.79139326334208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CFE-4E9A-9DC7-BCA313B3532D}"/>
                </c:ext>
              </c:extLst>
            </c:dLbl>
            <c:dLbl>
              <c:idx val="1"/>
              <c:layout>
                <c:manualLayout>
                  <c:x val="6.0032547406510574E-2"/>
                  <c:y val="-9.449885937155051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CFE-4E9A-9DC7-BCA313B3532D}"/>
                </c:ext>
              </c:extLst>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CFE-4E9A-9DC7-BCA313B3532D}"/>
                </c:ext>
              </c:extLst>
            </c:dLbl>
            <c:dLbl>
              <c:idx val="3"/>
              <c:layout>
                <c:manualLayout>
                  <c:x val="-8.1891243727303803E-2"/>
                  <c:y val="-3.5444109205976277E-3"/>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fld id="{681C728E-7085-4BDE-8881-35137157971A}" type="PERCENTAGE">
                      <a:rPr lang="en-US" baseline="0">
                        <a:solidFill>
                          <a:schemeClr val="bg1"/>
                        </a:solidFill>
                      </a:rPr>
                      <a:pPr>
                        <a:defRPr sz="1200">
                          <a:solidFill>
                            <a:schemeClr val="bg1"/>
                          </a:solidFill>
                        </a:defRPr>
                      </a:pPr>
                      <a:t>[PERCENTAGE]</a:t>
                    </a:fld>
                    <a:endParaRPr lang="en-US"/>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8.2555537498788814E-2"/>
                      <c:h val="0.1980698659574669"/>
                    </c:manualLayout>
                  </c15:layout>
                  <c15:dlblFieldTable/>
                  <c15:showDataLabelsRange val="0"/>
                </c:ext>
                <c:ext xmlns:c16="http://schemas.microsoft.com/office/drawing/2014/chart" uri="{C3380CC4-5D6E-409C-BE32-E72D297353CC}">
                  <c16:uniqueId val="{00000007-4CFE-4E9A-9DC7-BCA313B3532D}"/>
                </c:ext>
              </c:extLst>
            </c:dLbl>
            <c:dLbl>
              <c:idx val="4"/>
              <c:layout>
                <c:manualLayout>
                  <c:x val="-0.10592820750347388"/>
                  <c:y val="7.6005733658292579E-2"/>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r>
                      <a:rPr lang="en-US"/>
                      <a:t>Village With School</a:t>
                    </a:r>
                    <a:r>
                      <a:rPr lang="en-US" baseline="0"/>
                      <a:t>
</a:t>
                    </a:r>
                    <a:fld id="{0E71715D-DE55-4321-B78F-549DC05D3BE8}" type="PERCENTAGE">
                      <a:rPr lang="en-US" baseline="0"/>
                      <a:pPr>
                        <a:defRPr sz="1200">
                          <a:solidFill>
                            <a:schemeClr val="bg1"/>
                          </a:solidFill>
                        </a:defRPr>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0057142857142856"/>
                      <c:h val="0.40823412698412692"/>
                    </c:manualLayout>
                  </c15:layout>
                  <c15:dlblFieldTable/>
                  <c15:showDataLabelsRange val="0"/>
                </c:ext>
                <c:ext xmlns:c16="http://schemas.microsoft.com/office/drawing/2014/chart" uri="{C3380CC4-5D6E-409C-BE32-E72D297353CC}">
                  <c16:uniqueId val="{00000009-4CFE-4E9A-9DC7-BCA313B3532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Analysis!$I$96:$L$96</c:f>
              <c:strCache>
                <c:ptCount val="4"/>
                <c:pt idx="0">
                  <c:v> Village With No School </c:v>
                </c:pt>
                <c:pt idx="1">
                  <c:v> No drainage in school compound </c:v>
                </c:pt>
                <c:pt idx="2">
                  <c:v> Drainage in school compound </c:v>
                </c:pt>
                <c:pt idx="3">
                  <c:v> NA </c:v>
                </c:pt>
              </c:strCache>
            </c:strRef>
          </c:cat>
          <c:val>
            <c:numRef>
              <c:f>Analysis!$I$97:$L$97</c:f>
              <c:numCache>
                <c:formatCode>_(* #,##0_);_(* \(#,##0\);_(* "-"??_);_(@_)</c:formatCode>
                <c:ptCount val="4"/>
                <c:pt idx="0">
                  <c:v>87</c:v>
                </c:pt>
                <c:pt idx="1">
                  <c:v>16</c:v>
                </c:pt>
                <c:pt idx="2">
                  <c:v>7</c:v>
                </c:pt>
                <c:pt idx="3">
                  <c:v>16</c:v>
                </c:pt>
              </c:numCache>
            </c:numRef>
          </c:val>
          <c:extLst>
            <c:ext xmlns:c16="http://schemas.microsoft.com/office/drawing/2014/chart" uri="{C3380CC4-5D6E-409C-BE32-E72D297353CC}">
              <c16:uniqueId val="{0000000A-4CFE-4E9A-9DC7-BCA313B3532D}"/>
            </c:ext>
          </c:extLst>
        </c:ser>
        <c:dLbls>
          <c:showLegendKey val="0"/>
          <c:showVal val="0"/>
          <c:showCatName val="0"/>
          <c:showSerName val="0"/>
          <c:showPercent val="0"/>
          <c:showBubbleSize val="0"/>
          <c:showLeaderLines val="0"/>
        </c:dLbls>
        <c:gapWidth val="100"/>
        <c:splitType val="cust"/>
        <c:custSplit>
          <c:secondPiePt val="1"/>
          <c:secondPiePt val="2"/>
          <c:secondPiePt val="3"/>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 of people who</a:t>
            </a:r>
            <a:r>
              <a:rPr lang="en-US" baseline="0"/>
              <a:t> received appropriate hygiene messages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4">
                  <a:lumMod val="40000"/>
                  <a:lumOff val="60000"/>
                </a:schemeClr>
              </a:solidFill>
              <a:ln>
                <a:noFill/>
              </a:ln>
              <a:effectLst/>
            </c:spPr>
            <c:extLst>
              <c:ext xmlns:c16="http://schemas.microsoft.com/office/drawing/2014/chart" uri="{C3380CC4-5D6E-409C-BE32-E72D297353CC}">
                <c16:uniqueId val="{00000001-3345-4AA6-AC0C-54AB03A5ED6C}"/>
              </c:ext>
            </c:extLst>
          </c:dPt>
          <c:dPt>
            <c:idx val="1"/>
            <c:bubble3D val="0"/>
            <c:spPr>
              <a:solidFill>
                <a:schemeClr val="accent6">
                  <a:lumMod val="50000"/>
                </a:schemeClr>
              </a:solidFill>
              <a:ln>
                <a:noFill/>
              </a:ln>
              <a:effectLst/>
            </c:spPr>
            <c:extLst>
              <c:ext xmlns:c16="http://schemas.microsoft.com/office/drawing/2014/chart" uri="{C3380CC4-5D6E-409C-BE32-E72D297353CC}">
                <c16:uniqueId val="{00000003-3345-4AA6-AC0C-54AB03A5ED6C}"/>
              </c:ext>
            </c:extLst>
          </c:dPt>
          <c:dPt>
            <c:idx val="2"/>
            <c:bubble3D val="0"/>
            <c:spPr>
              <a:solidFill>
                <a:schemeClr val="accent6">
                  <a:lumMod val="75000"/>
                </a:schemeClr>
              </a:solidFill>
              <a:ln>
                <a:noFill/>
              </a:ln>
              <a:effectLst/>
            </c:spPr>
            <c:extLst>
              <c:ext xmlns:c16="http://schemas.microsoft.com/office/drawing/2014/chart" uri="{C3380CC4-5D6E-409C-BE32-E72D297353CC}">
                <c16:uniqueId val="{00000005-3345-4AA6-AC0C-54AB03A5ED6C}"/>
              </c:ext>
            </c:extLst>
          </c:dPt>
          <c:dPt>
            <c:idx val="3"/>
            <c:bubble3D val="0"/>
            <c:spPr>
              <a:solidFill>
                <a:schemeClr val="accent6">
                  <a:lumMod val="60000"/>
                  <a:lumOff val="40000"/>
                </a:schemeClr>
              </a:solidFill>
              <a:ln>
                <a:noFill/>
              </a:ln>
              <a:effectLst/>
            </c:spPr>
            <c:extLst>
              <c:ext xmlns:c16="http://schemas.microsoft.com/office/drawing/2014/chart" uri="{C3380CC4-5D6E-409C-BE32-E72D297353CC}">
                <c16:uniqueId val="{00000007-3345-4AA6-AC0C-54AB03A5ED6C}"/>
              </c:ext>
            </c:extLst>
          </c:dPt>
          <c:dPt>
            <c:idx val="4"/>
            <c:bubble3D val="0"/>
            <c:spPr>
              <a:solidFill>
                <a:schemeClr val="accent6">
                  <a:lumMod val="40000"/>
                  <a:lumOff val="60000"/>
                </a:schemeClr>
              </a:solidFill>
              <a:ln>
                <a:noFill/>
              </a:ln>
              <a:effectLst/>
            </c:spPr>
            <c:extLst>
              <c:ext xmlns:c16="http://schemas.microsoft.com/office/drawing/2014/chart" uri="{C3380CC4-5D6E-409C-BE32-E72D297353CC}">
                <c16:uniqueId val="{00000009-3345-4AA6-AC0C-54AB03A5ED6C}"/>
              </c:ext>
            </c:extLst>
          </c:dPt>
          <c:dPt>
            <c:idx val="5"/>
            <c:bubble3D val="0"/>
            <c:spPr>
              <a:solidFill>
                <a:schemeClr val="accent6">
                  <a:lumMod val="75000"/>
                </a:schemeClr>
              </a:solidFill>
              <a:ln>
                <a:noFill/>
              </a:ln>
              <a:effectLst/>
            </c:spPr>
            <c:extLst>
              <c:ext xmlns:c16="http://schemas.microsoft.com/office/drawing/2014/chart" uri="{C3380CC4-5D6E-409C-BE32-E72D297353CC}">
                <c16:uniqueId val="{0000000B-3345-4AA6-AC0C-54AB03A5ED6C}"/>
              </c:ext>
            </c:extLst>
          </c:dPt>
          <c:dLbls>
            <c:dLbl>
              <c:idx val="1"/>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3-3345-4AA6-AC0C-54AB03A5ED6C}"/>
                </c:ext>
              </c:extLst>
            </c:dLbl>
            <c:dLbl>
              <c:idx val="2"/>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5-3345-4AA6-AC0C-54AB03A5ED6C}"/>
                </c:ext>
              </c:extLst>
            </c:dLbl>
            <c:dLbl>
              <c:idx val="3"/>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7-3345-4AA6-AC0C-54AB03A5ED6C}"/>
                </c:ext>
              </c:extLst>
            </c:dLbl>
            <c:dLbl>
              <c:idx val="4"/>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9-3345-4AA6-AC0C-54AB03A5ED6C}"/>
                </c:ext>
              </c:extLst>
            </c:dLbl>
            <c:dLbl>
              <c:idx val="5"/>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B-3345-4AA6-AC0C-54AB03A5ED6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Analysis!$E$136:$I$136</c:f>
              <c:strCache>
                <c:ptCount val="5"/>
                <c:pt idx="0">
                  <c:v>No Reached</c:v>
                </c:pt>
                <c:pt idx="1">
                  <c:v>Men</c:v>
                </c:pt>
                <c:pt idx="2">
                  <c:v>Women</c:v>
                </c:pt>
                <c:pt idx="3">
                  <c:v>Boys</c:v>
                </c:pt>
                <c:pt idx="4">
                  <c:v>Girls</c:v>
                </c:pt>
              </c:strCache>
            </c:strRef>
          </c:cat>
          <c:val>
            <c:numRef>
              <c:f>Analysis!$E$137:$I$137</c:f>
              <c:numCache>
                <c:formatCode>General</c:formatCode>
                <c:ptCount val="5"/>
                <c:pt idx="0">
                  <c:v>127775</c:v>
                </c:pt>
                <c:pt idx="1">
                  <c:v>7173</c:v>
                </c:pt>
                <c:pt idx="2">
                  <c:v>8633</c:v>
                </c:pt>
                <c:pt idx="3">
                  <c:v>4570</c:v>
                </c:pt>
                <c:pt idx="4">
                  <c:v>4441</c:v>
                </c:pt>
              </c:numCache>
            </c:numRef>
          </c:val>
          <c:extLst>
            <c:ext xmlns:c16="http://schemas.microsoft.com/office/drawing/2014/chart" uri="{C3380CC4-5D6E-409C-BE32-E72D297353CC}">
              <c16:uniqueId val="{0000000C-3345-4AA6-AC0C-54AB03A5ED6C}"/>
            </c:ext>
          </c:extLst>
        </c:ser>
        <c:dLbls>
          <c:showLegendKey val="0"/>
          <c:showVal val="0"/>
          <c:showCatName val="0"/>
          <c:showSerName val="0"/>
          <c:showPercent val="0"/>
          <c:showBubbleSize val="0"/>
          <c:showLeaderLines val="1"/>
        </c:dLbls>
        <c:gapWidth val="100"/>
        <c:splitType val="cust"/>
        <c:custSplit>
          <c:secondPiePt val="1"/>
          <c:secondPiePt val="2"/>
          <c:secondPiePt val="3"/>
          <c:secondPiePt val="4"/>
        </c:custSplit>
        <c:secondPieSize val="75"/>
        <c:serLines>
          <c:spPr>
            <a:ln w="9525">
              <a:solidFill>
                <a:schemeClr val="tx2">
                  <a:lumMod val="60000"/>
                  <a:lumOff val="40000"/>
                </a:schemeClr>
              </a:solidFill>
              <a:prstDash val="dash"/>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6">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of PWD with adapted sanitation option at HH level</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Analysis!$P$123</c:f>
              <c:strCache>
                <c:ptCount val="1"/>
                <c:pt idx="0">
                  <c:v> # of PWD with adapted sanitation option at HH level</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1-5A75-43C9-9507-79ED60E0F3B7}"/>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3-5A75-43C9-9507-79ED60E0F3B7}"/>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5A75-43C9-9507-79ED60E0F3B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Analysis!$Q$122:$R$122</c:f>
              <c:strCache>
                <c:ptCount val="2"/>
                <c:pt idx="0">
                  <c:v> Yes </c:v>
                </c:pt>
                <c:pt idx="1">
                  <c:v>No</c:v>
                </c:pt>
              </c:strCache>
            </c:strRef>
          </c:cat>
          <c:val>
            <c:numRef>
              <c:f>Analysis!$Q$123:$R$123</c:f>
              <c:numCache>
                <c:formatCode>_(* #,##0_);_(* \(#,##0\);_(* "-"??_);_(@_)</c:formatCode>
                <c:ptCount val="2"/>
                <c:pt idx="0">
                  <c:v>254</c:v>
                </c:pt>
                <c:pt idx="1">
                  <c:v>212</c:v>
                </c:pt>
              </c:numCache>
            </c:numRef>
          </c:val>
          <c:extLst>
            <c:ext xmlns:c16="http://schemas.microsoft.com/office/drawing/2014/chart" uri="{C3380CC4-5D6E-409C-BE32-E72D297353CC}">
              <c16:uniqueId val="{00000004-5A75-43C9-9507-79ED60E0F3B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2">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With Partners' Support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Analysis!$O$145</c:f>
              <c:strCache>
                <c:ptCount val="1"/>
                <c:pt idx="0">
                  <c:v>Accessed</c:v>
                </c:pt>
              </c:strCache>
            </c:strRef>
          </c:tx>
          <c:spPr>
            <a:solidFill>
              <a:schemeClr val="accent6">
                <a:lumMod val="75000"/>
              </a:schemeClr>
            </a:solidFill>
            <a:ln>
              <a:noFill/>
            </a:ln>
            <a:effectLst/>
          </c:spPr>
          <c:invertIfNegative val="0"/>
          <c:dLbls>
            <c:dLbl>
              <c:idx val="1"/>
              <c:layout>
                <c:manualLayout>
                  <c:x val="0"/>
                  <c:y val="-3.1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62-4A07-9D4A-5A08BF01119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Analysis!$N$146:$N$148</c:f>
              <c:strCache>
                <c:ptCount val="3"/>
                <c:pt idx="0">
                  <c:v> # People with access to soap</c:v>
                </c:pt>
                <c:pt idx="1">
                  <c:v> # People with access to Sanity Pads</c:v>
                </c:pt>
                <c:pt idx="2">
                  <c:v># people reached by regular dedicated hygiene promotion</c:v>
                </c:pt>
              </c:strCache>
            </c:strRef>
          </c:cat>
          <c:val>
            <c:numRef>
              <c:f>Analysis!$O$146:$O$148</c:f>
              <c:numCache>
                <c:formatCode>_(* #,##0_);_(* \(#,##0\);_(* "-"??_);_(@_)</c:formatCode>
                <c:ptCount val="3"/>
                <c:pt idx="0">
                  <c:v>26321</c:v>
                </c:pt>
                <c:pt idx="1">
                  <c:v>1099</c:v>
                </c:pt>
                <c:pt idx="2">
                  <c:v>24817</c:v>
                </c:pt>
              </c:numCache>
            </c:numRef>
          </c:val>
          <c:extLst>
            <c:ext xmlns:c16="http://schemas.microsoft.com/office/drawing/2014/chart" uri="{C3380CC4-5D6E-409C-BE32-E72D297353CC}">
              <c16:uniqueId val="{00000000-F362-4A07-9D4A-5A08BF01119E}"/>
            </c:ext>
          </c:extLst>
        </c:ser>
        <c:ser>
          <c:idx val="1"/>
          <c:order val="1"/>
          <c:tx>
            <c:strRef>
              <c:f>Analysis!$P$145</c:f>
              <c:strCache>
                <c:ptCount val="1"/>
                <c:pt idx="0">
                  <c:v>No Access</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Analysis!$N$146:$N$148</c:f>
              <c:strCache>
                <c:ptCount val="3"/>
                <c:pt idx="0">
                  <c:v> # People with access to soap</c:v>
                </c:pt>
                <c:pt idx="1">
                  <c:v> # People with access to Sanity Pads</c:v>
                </c:pt>
                <c:pt idx="2">
                  <c:v># people reached by regular dedicated hygiene promotion</c:v>
                </c:pt>
              </c:strCache>
            </c:strRef>
          </c:cat>
          <c:val>
            <c:numRef>
              <c:f>Analysis!$P$146:$P$148</c:f>
              <c:numCache>
                <c:formatCode>_(* #,##0_);_(* \(#,##0\);_(* "-"??_);_(@_)</c:formatCode>
                <c:ptCount val="3"/>
                <c:pt idx="0">
                  <c:v>126271</c:v>
                </c:pt>
                <c:pt idx="1">
                  <c:v>44678.6</c:v>
                </c:pt>
                <c:pt idx="2">
                  <c:v>127775</c:v>
                </c:pt>
              </c:numCache>
            </c:numRef>
          </c:val>
          <c:extLst>
            <c:ext xmlns:c16="http://schemas.microsoft.com/office/drawing/2014/chart" uri="{C3380CC4-5D6E-409C-BE32-E72D297353CC}">
              <c16:uniqueId val="{00000001-F362-4A07-9D4A-5A08BF01119E}"/>
            </c:ext>
          </c:extLst>
        </c:ser>
        <c:dLbls>
          <c:dLblPos val="ctr"/>
          <c:showLegendKey val="0"/>
          <c:showVal val="1"/>
          <c:showCatName val="0"/>
          <c:showSerName val="0"/>
          <c:showPercent val="0"/>
          <c:showBubbleSize val="0"/>
        </c:dLbls>
        <c:gapWidth val="50"/>
        <c:overlap val="100"/>
        <c:axId val="1382135663"/>
        <c:axId val="1382398879"/>
      </c:barChart>
      <c:catAx>
        <c:axId val="1382135663"/>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82398879"/>
        <c:crosses val="autoZero"/>
        <c:auto val="1"/>
        <c:lblAlgn val="ctr"/>
        <c:lblOffset val="100"/>
        <c:noMultiLvlLbl val="0"/>
      </c:catAx>
      <c:valAx>
        <c:axId val="1382398879"/>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821356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6">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Access to Functioning Latrine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1054401644581159"/>
          <c:y val="0.21516191168752388"/>
          <c:w val="0.39963337140878941"/>
          <c:h val="0.60300038388522614"/>
        </c:manualLayout>
      </c:layout>
      <c:pieChart>
        <c:varyColors val="1"/>
        <c:ser>
          <c:idx val="0"/>
          <c:order val="0"/>
          <c:tx>
            <c:strRef>
              <c:f>Analysis!$C$82</c:f>
              <c:strCache>
                <c:ptCount val="1"/>
                <c:pt idx="0">
                  <c:v> # in villages (6:1) </c:v>
                </c:pt>
              </c:strCache>
            </c:strRef>
          </c:tx>
          <c:dPt>
            <c:idx val="0"/>
            <c:bubble3D val="0"/>
            <c:spPr>
              <a:solidFill>
                <a:schemeClr val="accent2">
                  <a:lumMod val="75000"/>
                </a:schemeClr>
              </a:solidFill>
              <a:ln>
                <a:noFill/>
              </a:ln>
              <a:effectLst/>
            </c:spPr>
            <c:extLst>
              <c:ext xmlns:c16="http://schemas.microsoft.com/office/drawing/2014/chart" uri="{C3380CC4-5D6E-409C-BE32-E72D297353CC}">
                <c16:uniqueId val="{00000003-F265-40B2-A2CF-8E2569335AF8}"/>
              </c:ext>
            </c:extLst>
          </c:dPt>
          <c:dPt>
            <c:idx val="1"/>
            <c:bubble3D val="0"/>
            <c:spPr>
              <a:solidFill>
                <a:schemeClr val="accent2">
                  <a:lumMod val="40000"/>
                  <a:lumOff val="60000"/>
                </a:schemeClr>
              </a:solidFill>
              <a:ln>
                <a:noFill/>
              </a:ln>
              <a:effectLst/>
            </c:spPr>
            <c:extLst>
              <c:ext xmlns:c16="http://schemas.microsoft.com/office/drawing/2014/chart" uri="{C3380CC4-5D6E-409C-BE32-E72D297353CC}">
                <c16:uniqueId val="{0000000D-F265-40B2-A2CF-8E2569335AF8}"/>
              </c:ext>
            </c:extLst>
          </c:dPt>
          <c:dLbls>
            <c:dLbl>
              <c:idx val="0"/>
              <c:layout>
                <c:manualLayout>
                  <c:x val="-0.15998788108501694"/>
                  <c:y val="1.4010710902936175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265-40B2-A2CF-8E2569335AF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Analysis!$B$83:$B$84</c:f>
              <c:strCache>
                <c:ptCount val="2"/>
                <c:pt idx="0">
                  <c:v> Accessed  </c:v>
                </c:pt>
                <c:pt idx="1">
                  <c:v> No access  </c:v>
                </c:pt>
              </c:strCache>
            </c:strRef>
          </c:cat>
          <c:val>
            <c:numRef>
              <c:f>Analysis!$C$83:$C$84</c:f>
              <c:numCache>
                <c:formatCode>_(* #,##0_);_(* \(#,##0\);_(* "-"??_);_(@_)</c:formatCode>
                <c:ptCount val="2"/>
                <c:pt idx="0">
                  <c:v>10898</c:v>
                </c:pt>
                <c:pt idx="1">
                  <c:v>12615</c:v>
                </c:pt>
              </c:numCache>
            </c:numRef>
          </c:val>
          <c:extLst>
            <c:ext xmlns:c16="http://schemas.microsoft.com/office/drawing/2014/chart" uri="{C3380CC4-5D6E-409C-BE32-E72D297353CC}">
              <c16:uniqueId val="{00000000-A6C3-4C9D-924E-545947A62E9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Access to Water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22312861337701326"/>
          <c:y val="0.15214764740726994"/>
          <c:w val="0.51414265617453336"/>
          <c:h val="0.51414219143857642"/>
        </c:manualLayout>
      </c:layout>
      <c:pieChart>
        <c:varyColors val="1"/>
        <c:ser>
          <c:idx val="0"/>
          <c:order val="0"/>
          <c:dPt>
            <c:idx val="0"/>
            <c:bubble3D val="0"/>
            <c:spPr>
              <a:solidFill>
                <a:srgbClr val="0070C0"/>
              </a:solidFill>
              <a:ln>
                <a:noFill/>
              </a:ln>
              <a:effectLst/>
            </c:spPr>
            <c:extLst>
              <c:ext xmlns:c16="http://schemas.microsoft.com/office/drawing/2014/chart" uri="{C3380CC4-5D6E-409C-BE32-E72D297353CC}">
                <c16:uniqueId val="{00000001-694A-428E-B9DC-A36AB6D43C49}"/>
              </c:ext>
            </c:extLst>
          </c:dPt>
          <c:dPt>
            <c:idx val="1"/>
            <c:bubble3D val="0"/>
            <c:spPr>
              <a:solidFill>
                <a:schemeClr val="accent1">
                  <a:lumMod val="20000"/>
                  <a:lumOff val="80000"/>
                </a:schemeClr>
              </a:solidFill>
              <a:ln>
                <a:noFill/>
              </a:ln>
              <a:effectLst/>
            </c:spPr>
            <c:extLst>
              <c:ext xmlns:c16="http://schemas.microsoft.com/office/drawing/2014/chart" uri="{C3380CC4-5D6E-409C-BE32-E72D297353CC}">
                <c16:uniqueId val="{00000003-694A-428E-B9DC-A36AB6D43C49}"/>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694A-428E-B9DC-A36AB6D43C49}"/>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3-694A-428E-B9DC-A36AB6D43C4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Analysis!$M$35:$M$36</c:f>
              <c:strCache>
                <c:ptCount val="2"/>
                <c:pt idx="0">
                  <c:v># people access to sufficient quantity of safe drinking water</c:v>
                </c:pt>
                <c:pt idx="1">
                  <c:v># People accessed to unimproved water sources</c:v>
                </c:pt>
              </c:strCache>
            </c:strRef>
          </c:cat>
          <c:val>
            <c:numRef>
              <c:f>Analysis!$N$35:$N$36</c:f>
              <c:numCache>
                <c:formatCode>_(* #,##0_);_(* \(#,##0\);_(* "-"??_);_(@_)</c:formatCode>
                <c:ptCount val="2"/>
                <c:pt idx="0">
                  <c:v>97870</c:v>
                </c:pt>
                <c:pt idx="1">
                  <c:v>91210</c:v>
                </c:pt>
              </c:numCache>
            </c:numRef>
          </c:val>
          <c:extLst>
            <c:ext xmlns:c16="http://schemas.microsoft.com/office/drawing/2014/chart" uri="{C3380CC4-5D6E-409C-BE32-E72D297353CC}">
              <c16:uniqueId val="{00000006-694A-428E-B9DC-A36AB6D43C4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7.9251186217374724E-3"/>
          <c:y val="0.68998328981534451"/>
          <c:w val="0.98068555794837242"/>
          <c:h val="0.298537120653800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[20200720_Myanmar_WASH_4W_2020_Q2_All_Village_Consolidate.xlsx]Analysis!W_R_C_G_V</c:name>
    <c:fmtId val="56"/>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 % People access to safe/improved drinking water, meeting demand for domestic purposes</a:t>
            </a:r>
            <a:endParaRPr lang="en-US" sz="1200">
              <a:effectLs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Analysis!$C$54</c:f>
              <c:strCache>
                <c:ptCount val="1"/>
                <c:pt idx="0">
                  <c:v>Accessed</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Analysis!$B$55:$B$59</c:f>
              <c:strCache>
                <c:ptCount val="5"/>
                <c:pt idx="0">
                  <c:v>Kyauktaw</c:v>
                </c:pt>
                <c:pt idx="1">
                  <c:v>Minbya</c:v>
                </c:pt>
                <c:pt idx="2">
                  <c:v>Myebon</c:v>
                </c:pt>
                <c:pt idx="3">
                  <c:v>Pauktaw</c:v>
                </c:pt>
                <c:pt idx="4">
                  <c:v>Sittwe</c:v>
                </c:pt>
              </c:strCache>
            </c:strRef>
          </c:cat>
          <c:val>
            <c:numRef>
              <c:f>Analysis!$C$55:$C$59</c:f>
              <c:numCache>
                <c:formatCode>0%</c:formatCode>
                <c:ptCount val="5"/>
                <c:pt idx="0">
                  <c:v>0.737441791340533</c:v>
                </c:pt>
                <c:pt idx="1">
                  <c:v>1</c:v>
                </c:pt>
                <c:pt idx="2">
                  <c:v>1</c:v>
                </c:pt>
                <c:pt idx="3">
                  <c:v>1</c:v>
                </c:pt>
                <c:pt idx="4">
                  <c:v>0.70496193342776203</c:v>
                </c:pt>
              </c:numCache>
            </c:numRef>
          </c:val>
          <c:extLst>
            <c:ext xmlns:c16="http://schemas.microsoft.com/office/drawing/2014/chart" uri="{C3380CC4-5D6E-409C-BE32-E72D297353CC}">
              <c16:uniqueId val="{00000000-7497-4C1B-A96F-D66BC34494AE}"/>
            </c:ext>
          </c:extLst>
        </c:ser>
        <c:ser>
          <c:idx val="1"/>
          <c:order val="1"/>
          <c:tx>
            <c:strRef>
              <c:f>Analysis!$D$54</c:f>
              <c:strCache>
                <c:ptCount val="1"/>
                <c:pt idx="0">
                  <c:v>No Access</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Analysis!$B$55:$B$59</c:f>
              <c:strCache>
                <c:ptCount val="5"/>
                <c:pt idx="0">
                  <c:v>Kyauktaw</c:v>
                </c:pt>
                <c:pt idx="1">
                  <c:v>Minbya</c:v>
                </c:pt>
                <c:pt idx="2">
                  <c:v>Myebon</c:v>
                </c:pt>
                <c:pt idx="3">
                  <c:v>Pauktaw</c:v>
                </c:pt>
                <c:pt idx="4">
                  <c:v>Sittwe</c:v>
                </c:pt>
              </c:strCache>
            </c:strRef>
          </c:cat>
          <c:val>
            <c:numRef>
              <c:f>Analysis!$D$55:$D$59</c:f>
              <c:numCache>
                <c:formatCode>0%</c:formatCode>
                <c:ptCount val="5"/>
                <c:pt idx="0">
                  <c:v>0.262558208659467</c:v>
                </c:pt>
                <c:pt idx="1">
                  <c:v>0</c:v>
                </c:pt>
                <c:pt idx="2">
                  <c:v>0</c:v>
                </c:pt>
                <c:pt idx="3">
                  <c:v>0</c:v>
                </c:pt>
                <c:pt idx="4">
                  <c:v>0.29503806657223797</c:v>
                </c:pt>
              </c:numCache>
            </c:numRef>
          </c:val>
          <c:extLst>
            <c:ext xmlns:c16="http://schemas.microsoft.com/office/drawing/2014/chart" uri="{C3380CC4-5D6E-409C-BE32-E72D297353CC}">
              <c16:uniqueId val="{00000001-7497-4C1B-A96F-D66BC34494AE}"/>
            </c:ext>
          </c:extLst>
        </c:ser>
        <c:dLbls>
          <c:dLblPos val="ctr"/>
          <c:showLegendKey val="0"/>
          <c:showVal val="1"/>
          <c:showCatName val="0"/>
          <c:showSerName val="0"/>
          <c:showPercent val="0"/>
          <c:showBubbleSize val="0"/>
        </c:dLbls>
        <c:gapWidth val="50"/>
        <c:overlap val="100"/>
        <c:axId val="414767120"/>
        <c:axId val="414769864"/>
      </c:barChart>
      <c:catAx>
        <c:axId val="4147671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14769864"/>
        <c:crosses val="autoZero"/>
        <c:auto val="1"/>
        <c:lblAlgn val="ctr"/>
        <c:lblOffset val="100"/>
        <c:noMultiLvlLbl val="0"/>
      </c:catAx>
      <c:valAx>
        <c:axId val="41476986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1476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Cumulative Funding Received/Gap as of 2020-Q2(US$)</a:t>
            </a:r>
            <a:endParaRPr lang="en-US" sz="16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'[5]Rakhine Analysis 2'!$C$2</c:f>
              <c:strCache>
                <c:ptCount val="1"/>
                <c:pt idx="0">
                  <c:v>Camps</c:v>
                </c:pt>
              </c:strCache>
            </c:strRef>
          </c:tx>
          <c:spPr>
            <a:solidFill>
              <a:schemeClr val="tx2">
                <a:lumMod val="60000"/>
                <a:lumOff val="40000"/>
              </a:schemeClr>
            </a:solidFill>
            <a:ln>
              <a:noFill/>
            </a:ln>
            <a:effectLst/>
          </c:spPr>
          <c:invertIfNegative val="0"/>
          <c:dLbls>
            <c:dLbl>
              <c:idx val="0"/>
              <c:layout>
                <c:manualLayout>
                  <c:x val="-1.8215448645785809E-2"/>
                  <c:y val="-1.57841229123322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28-4CBF-A50C-DAEDD3E8314F}"/>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'[5]Rakhine Analysis 2'!$C$3</c:f>
              <c:numCache>
                <c:formatCode>General</c:formatCode>
                <c:ptCount val="1"/>
                <c:pt idx="0">
                  <c:v>6141359.6574982088</c:v>
                </c:pt>
              </c:numCache>
            </c:numRef>
          </c:val>
          <c:extLst>
            <c:ext xmlns:c16="http://schemas.microsoft.com/office/drawing/2014/chart" uri="{C3380CC4-5D6E-409C-BE32-E72D297353CC}">
              <c16:uniqueId val="{00000001-1428-4CBF-A50C-DAEDD3E8314F}"/>
            </c:ext>
          </c:extLst>
        </c:ser>
        <c:ser>
          <c:idx val="1"/>
          <c:order val="1"/>
          <c:tx>
            <c:strRef>
              <c:f>'[5]Rakhine Analysis 2'!$D$2</c:f>
              <c:strCache>
                <c:ptCount val="1"/>
                <c:pt idx="0">
                  <c:v>Non-IDP Camps</c:v>
                </c:pt>
              </c:strCache>
            </c:strRef>
          </c:tx>
          <c:spPr>
            <a:solidFill>
              <a:schemeClr val="tx2">
                <a:lumMod val="40000"/>
                <a:lumOff val="60000"/>
              </a:schemeClr>
            </a:solidFill>
            <a:ln>
              <a:noFill/>
            </a:ln>
            <a:effectLst/>
          </c:spPr>
          <c:invertIfNegative val="0"/>
          <c:dLbls>
            <c:dLbl>
              <c:idx val="0"/>
              <c:layout>
                <c:manualLayout>
                  <c:x val="5.9917570690765773E-3"/>
                  <c:y val="-1.7039395679375992E-2"/>
                </c:manualLayout>
              </c:layout>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28-4CBF-A50C-DAEDD3E8314F}"/>
                </c:ext>
              </c:extLst>
            </c:dLbl>
            <c:numFmt formatCode="&quot;$&quot;#,##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'[5]Rakhine Analysis 2'!$D$3</c:f>
              <c:numCache>
                <c:formatCode>General</c:formatCode>
                <c:ptCount val="1"/>
                <c:pt idx="0">
                  <c:v>3007836.6307325601</c:v>
                </c:pt>
              </c:numCache>
            </c:numRef>
          </c:val>
          <c:extLst>
            <c:ext xmlns:c16="http://schemas.microsoft.com/office/drawing/2014/chart" uri="{C3380CC4-5D6E-409C-BE32-E72D297353CC}">
              <c16:uniqueId val="{00000003-1428-4CBF-A50C-DAEDD3E8314F}"/>
            </c:ext>
          </c:extLst>
        </c:ser>
        <c:ser>
          <c:idx val="2"/>
          <c:order val="2"/>
          <c:tx>
            <c:strRef>
              <c:f>'[5]Rakhine Analysis 2'!$E$2</c:f>
              <c:strCache>
                <c:ptCount val="1"/>
                <c:pt idx="0">
                  <c:v>Gap</c:v>
                </c:pt>
              </c:strCache>
            </c:strRef>
          </c:tx>
          <c:spPr>
            <a:solidFill>
              <a:schemeClr val="bg1">
                <a:lumMod val="85000"/>
              </a:schemeClr>
            </a:solidFill>
            <a:ln>
              <a:no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'[5]Rakhine Analysis 2'!$E$3</c:f>
              <c:numCache>
                <c:formatCode>General</c:formatCode>
                <c:ptCount val="1"/>
                <c:pt idx="0">
                  <c:v>20296214.265230548</c:v>
                </c:pt>
              </c:numCache>
            </c:numRef>
          </c:val>
          <c:extLst>
            <c:ext xmlns:c16="http://schemas.microsoft.com/office/drawing/2014/chart" uri="{C3380CC4-5D6E-409C-BE32-E72D297353CC}">
              <c16:uniqueId val="{00000004-1428-4CBF-A50C-DAEDD3E8314F}"/>
            </c:ext>
          </c:extLst>
        </c:ser>
        <c:dLbls>
          <c:dLblPos val="ctr"/>
          <c:showLegendKey val="0"/>
          <c:showVal val="1"/>
          <c:showCatName val="0"/>
          <c:showSerName val="0"/>
          <c:showPercent val="0"/>
          <c:showBubbleSize val="0"/>
        </c:dLbls>
        <c:gapWidth val="50"/>
        <c:overlap val="100"/>
        <c:axId val="140520544"/>
        <c:axId val="92133488"/>
      </c:barChart>
      <c:catAx>
        <c:axId val="140520544"/>
        <c:scaling>
          <c:orientation val="minMax"/>
        </c:scaling>
        <c:delete val="1"/>
        <c:axPos val="l"/>
        <c:numFmt formatCode="General" sourceLinked="1"/>
        <c:majorTickMark val="none"/>
        <c:minorTickMark val="none"/>
        <c:tickLblPos val="nextTo"/>
        <c:crossAx val="92133488"/>
        <c:crosses val="autoZero"/>
        <c:auto val="1"/>
        <c:lblAlgn val="ctr"/>
        <c:lblOffset val="100"/>
        <c:noMultiLvlLbl val="0"/>
      </c:catAx>
      <c:valAx>
        <c:axId val="921334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52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Rakhine Funding Splits INGO, LNGO</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bg1">
              <a:lumMod val="50000"/>
            </a:schemeClr>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bg1">
              <a:lumMod val="65000"/>
            </a:schemeClr>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solidFill>
            <a:schemeClr val="bg1">
              <a:lumMod val="65000"/>
            </a:schemeClr>
          </a:solidFill>
          <a:ln>
            <a:noFill/>
          </a:ln>
          <a:effectLst/>
        </c:spPr>
        <c:dLbl>
          <c:idx val="0"/>
          <c:layout>
            <c:manualLayout>
              <c:x val="-2.2636003615344239E-2"/>
              <c:y val="-1.957559493624059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6"/>
        <c:spPr>
          <a:solidFill>
            <a:schemeClr val="bg1">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bg1">
              <a:lumMod val="6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bg1">
              <a:lumMod val="8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bg1">
              <a:lumMod val="65000"/>
            </a:schemeClr>
          </a:solidFill>
          <a:ln>
            <a:noFill/>
          </a:ln>
          <a:effectLst/>
        </c:spPr>
        <c:dLbl>
          <c:idx val="0"/>
          <c:layout>
            <c:manualLayout>
              <c:x val="-4.5925927265264722E-3"/>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bg1">
              <a:lumMod val="85000"/>
            </a:schemeClr>
          </a:solidFill>
          <a:ln>
            <a:noFill/>
          </a:ln>
          <a:effectLst/>
        </c:spPr>
        <c:dLbl>
          <c:idx val="0"/>
          <c:layout>
            <c:manualLayout>
              <c:x val="3.4444445448948542E-2"/>
              <c:y val="-6.0162677190098248E-17"/>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bg1">
              <a:lumMod val="6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bg1">
              <a:lumMod val="8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bg1">
              <a:lumMod val="6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bg1">
              <a:lumMod val="8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bg1">
              <a:lumMod val="6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bg1">
              <a:lumMod val="8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v>INGO</c:v>
          </c:tx>
          <c:spPr>
            <a:solidFill>
              <a:schemeClr val="bg1">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0.93168462554104758</c:v>
              </c:pt>
            </c:numLit>
          </c:val>
          <c:extLst>
            <c:ext xmlns:c16="http://schemas.microsoft.com/office/drawing/2014/chart" uri="{C3380CC4-5D6E-409C-BE32-E72D297353CC}">
              <c16:uniqueId val="{00000000-9F7F-4946-BE03-BCB28B36D226}"/>
            </c:ext>
          </c:extLst>
        </c:ser>
        <c:ser>
          <c:idx val="1"/>
          <c:order val="1"/>
          <c:tx>
            <c:v>LNGO</c:v>
          </c:tx>
          <c:spPr>
            <a:solidFill>
              <a:schemeClr val="bg1">
                <a:lumMod val="6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4.1235668592301308E-2</c:v>
              </c:pt>
            </c:numLit>
          </c:val>
          <c:extLst>
            <c:ext xmlns:c16="http://schemas.microsoft.com/office/drawing/2014/chart" uri="{C3380CC4-5D6E-409C-BE32-E72D297353CC}">
              <c16:uniqueId val="{00000001-9F7F-4946-BE03-BCB28B36D226}"/>
            </c:ext>
          </c:extLst>
        </c:ser>
        <c:ser>
          <c:idx val="2"/>
          <c:order val="2"/>
          <c:tx>
            <c:v>GOV</c:v>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dLbl>
              <c:idx val="0"/>
              <c:layout>
                <c:manualLayout>
                  <c:x val="3.5185185185185187E-2"/>
                  <c:y val="-6.6425120772946863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7F-4946-BE03-BCB28B36D2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2.7910336035267495E-3</c:v>
              </c:pt>
            </c:numLit>
          </c:val>
          <c:extLst>
            <c:ext xmlns:c16="http://schemas.microsoft.com/office/drawing/2014/chart" uri="{C3380CC4-5D6E-409C-BE32-E72D297353CC}">
              <c16:uniqueId val="{00000003-9F7F-4946-BE03-BCB28B36D226}"/>
            </c:ext>
          </c:extLst>
        </c:ser>
        <c:ser>
          <c:idx val="3"/>
          <c:order val="3"/>
          <c:tx>
            <c:v>INGO/LNGO</c:v>
          </c:tx>
          <c:spPr>
            <a:solidFill>
              <a:schemeClr val="bg1">
                <a:lumMod val="85000"/>
              </a:schemeClr>
            </a:solidFill>
            <a:ln>
              <a:noFill/>
            </a:ln>
            <a:effectLst/>
          </c:spPr>
          <c:invertIfNegative val="0"/>
          <c:dLbls>
            <c:dLbl>
              <c:idx val="0"/>
              <c:layout>
                <c:manualLayout>
                  <c:x val="-2.0370370370370507E-2"/>
                  <c:y val="-0.175120772946859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7F-4946-BE03-BCB28B36D226}"/>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2.4149534358559075E-2</c:v>
              </c:pt>
            </c:numLit>
          </c:val>
          <c:extLst>
            <c:ext xmlns:c16="http://schemas.microsoft.com/office/drawing/2014/chart" uri="{C3380CC4-5D6E-409C-BE32-E72D297353CC}">
              <c16:uniqueId val="{00000005-9F7F-4946-BE03-BCB28B36D226}"/>
            </c:ext>
          </c:extLst>
        </c:ser>
        <c:ser>
          <c:idx val="4"/>
          <c:order val="4"/>
          <c:tx>
            <c:v>UN</c:v>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dLbl>
              <c:idx val="0"/>
              <c:layout>
                <c:manualLayout>
                  <c:x val="3.7037037037037038E-3"/>
                  <c:y val="0.2173913043478260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7F-4946-BE03-BCB28B36D226}"/>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1"/>
              <c:pt idx="0">
                <c:v>Total</c:v>
              </c:pt>
            </c:strLit>
          </c:cat>
          <c:val>
            <c:numLit>
              <c:formatCode>General</c:formatCode>
              <c:ptCount val="1"/>
              <c:pt idx="0">
                <c:v>1.3913790456518527E-4</c:v>
              </c:pt>
            </c:numLit>
          </c:val>
          <c:extLst>
            <c:ext xmlns:c16="http://schemas.microsoft.com/office/drawing/2014/chart" uri="{C3380CC4-5D6E-409C-BE32-E72D297353CC}">
              <c16:uniqueId val="{00000007-9F7F-4946-BE03-BCB28B36D226}"/>
            </c:ext>
          </c:extLst>
        </c:ser>
        <c:dLbls>
          <c:dLblPos val="ctr"/>
          <c:showLegendKey val="0"/>
          <c:showVal val="1"/>
          <c:showCatName val="0"/>
          <c:showSerName val="0"/>
          <c:showPercent val="0"/>
          <c:showBubbleSize val="0"/>
        </c:dLbls>
        <c:gapWidth val="150"/>
        <c:overlap val="100"/>
        <c:axId val="364369400"/>
        <c:axId val="364369792"/>
      </c:barChart>
      <c:catAx>
        <c:axId val="364369400"/>
        <c:scaling>
          <c:orientation val="minMax"/>
        </c:scaling>
        <c:delete val="1"/>
        <c:axPos val="l"/>
        <c:numFmt formatCode="General" sourceLinked="1"/>
        <c:majorTickMark val="none"/>
        <c:minorTickMark val="none"/>
        <c:tickLblPos val="nextTo"/>
        <c:crossAx val="364369792"/>
        <c:crosses val="autoZero"/>
        <c:auto val="1"/>
        <c:lblAlgn val="ctr"/>
        <c:lblOffset val="100"/>
        <c:noMultiLvlLbl val="0"/>
      </c:catAx>
      <c:valAx>
        <c:axId val="364369792"/>
        <c:scaling>
          <c:orientation val="minMax"/>
          <c:min val="0"/>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6436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[20200720_Myanmar_WASH_4W_2020_Q2_All_Village_Consolidate.xlsx]By Site!PivotTable1</c:name>
    <c:fmtId val="4"/>
  </c:pivotSource>
  <c:chart>
    <c:title>
      <c:tx>
        <c:strRef>
          <c:f>'By Site'!$B$34</c:f>
          <c:strCache>
            <c:ptCount val="1"/>
            <c:pt idx="0">
              <c:v>2020_Q2</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ivotFmts>
      <c:pivotFmt>
        <c:idx val="0"/>
      </c:pivotFmt>
      <c:pivotFmt>
        <c:idx val="1"/>
      </c:pivotFmt>
      <c:pivotFmt>
        <c:idx val="2"/>
        <c:spPr>
          <a:solidFill>
            <a:schemeClr val="tx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lumMod val="75000"/>
            </a:schemeClr>
          </a:solidFill>
          <a:ln>
            <a:noFill/>
          </a:ln>
          <a:effectLst/>
        </c:spPr>
        <c:marker>
          <c:symbol val="none"/>
        </c:marker>
      </c:pivotFmt>
      <c:pivotFmt>
        <c:idx val="4"/>
        <c:spPr>
          <a:solidFill>
            <a:schemeClr val="accent2">
              <a:lumMod val="75000"/>
            </a:schemeClr>
          </a:solidFill>
          <a:ln>
            <a:noFill/>
          </a:ln>
          <a:effectLst/>
        </c:spPr>
        <c:marker>
          <c:symbol val="none"/>
        </c:marker>
      </c:pivotFmt>
      <c:pivotFmt>
        <c:idx val="5"/>
        <c:spPr>
          <a:solidFill>
            <a:srgbClr val="0070C0"/>
          </a:solidFill>
          <a:ln>
            <a:noFill/>
          </a:ln>
          <a:effectLst/>
        </c:spPr>
        <c:marker>
          <c:symbol val="none"/>
        </c:marke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7"/>
        <c:spPr>
          <a:solidFill>
            <a:schemeClr val="accent6">
              <a:lumMod val="50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0070C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2539750826490748"/>
          <c:y val="0.11493115019255251"/>
          <c:w val="0.61261601843615388"/>
          <c:h val="0.82620867752909466"/>
        </c:manualLayout>
      </c:layout>
      <c:barChart>
        <c:barDir val="bar"/>
        <c:grouping val="clustered"/>
        <c:varyColors val="0"/>
        <c:ser>
          <c:idx val="0"/>
          <c:order val="0"/>
          <c:tx>
            <c:strRef>
              <c:f>'By Site'!$B$34</c:f>
              <c:strCache>
                <c:ptCount val="1"/>
                <c:pt idx="0">
                  <c:v>Total Population</c:v>
                </c:pt>
              </c:strCache>
            </c:strRef>
          </c:tx>
          <c:spPr>
            <a:solidFill>
              <a:schemeClr val="tx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'By Site'!$B$34</c:f>
              <c:strCache>
                <c:ptCount val="25"/>
                <c:pt idx="0">
                  <c:v>Baw Du Pha Village</c:v>
                </c:pt>
                <c:pt idx="1">
                  <c:v>Bu May Ohn Daw Chay</c:v>
                </c:pt>
                <c:pt idx="2">
                  <c:v>Chaung New Min Gan</c:v>
                </c:pt>
                <c:pt idx="3">
                  <c:v>Dar Paing Ywar Haung</c:v>
                </c:pt>
                <c:pt idx="4">
                  <c:v>Dar Paing Ywar Thit</c:v>
                </c:pt>
                <c:pt idx="5">
                  <c:v>Kan Pyin Ywa Haung</c:v>
                </c:pt>
                <c:pt idx="6">
                  <c:v>Kan Pyin Ywar Thit</c:v>
                </c:pt>
                <c:pt idx="7">
                  <c:v>Kha Tin Paik</c:v>
                </c:pt>
                <c:pt idx="8">
                  <c:v>Koe Saung (1) village</c:v>
                </c:pt>
                <c:pt idx="9">
                  <c:v>Kyan Taw</c:v>
                </c:pt>
                <c:pt idx="10">
                  <c:v>Kyar Ma Thauk</c:v>
                </c:pt>
                <c:pt idx="11">
                  <c:v>Kyauk Tan Chay</c:v>
                </c:pt>
                <c:pt idx="12">
                  <c:v>Kyauk Tan Gyi</c:v>
                </c:pt>
                <c:pt idx="13">
                  <c:v>Maung Ni Pyin</c:v>
                </c:pt>
                <c:pt idx="14">
                  <c:v>Ohn Ye Paw</c:v>
                </c:pt>
                <c:pt idx="15">
                  <c:v>Pyar Lay Chaung Ywar Haung</c:v>
                </c:pt>
                <c:pt idx="16">
                  <c:v>Pyin Shey Ku lar</c:v>
                </c:pt>
                <c:pt idx="17">
                  <c:v>Sa Ma Nya Village</c:v>
                </c:pt>
                <c:pt idx="18">
                  <c:v>Thein Tan</c:v>
                </c:pt>
                <c:pt idx="19">
                  <c:v>Thet Kay Pyin</c:v>
                </c:pt>
                <c:pt idx="20">
                  <c:v>Thin Ga Net</c:v>
                </c:pt>
                <c:pt idx="21">
                  <c:v>Thin Pone Tan</c:v>
                </c:pt>
                <c:pt idx="22">
                  <c:v>Thone Saung</c:v>
                </c:pt>
                <c:pt idx="23">
                  <c:v>Yae Chan Pyin</c:v>
                </c:pt>
                <c:pt idx="24">
                  <c:v>Ywar Thar Yar</c:v>
                </c:pt>
              </c:strCache>
            </c:strRef>
          </c:cat>
          <c:val>
            <c:numRef>
              <c:f>'By Site'!$B$34</c:f>
              <c:numCache>
                <c:formatCode>General</c:formatCode>
                <c:ptCount val="25"/>
                <c:pt idx="0">
                  <c:v>1435</c:v>
                </c:pt>
                <c:pt idx="1">
                  <c:v>4476</c:v>
                </c:pt>
                <c:pt idx="2">
                  <c:v>1083</c:v>
                </c:pt>
                <c:pt idx="3">
                  <c:v>1867</c:v>
                </c:pt>
                <c:pt idx="4">
                  <c:v>3768</c:v>
                </c:pt>
                <c:pt idx="5">
                  <c:v>373</c:v>
                </c:pt>
                <c:pt idx="6">
                  <c:v>481</c:v>
                </c:pt>
                <c:pt idx="7">
                  <c:v>2168</c:v>
                </c:pt>
                <c:pt idx="8">
                  <c:v>715</c:v>
                </c:pt>
                <c:pt idx="9">
                  <c:v>656</c:v>
                </c:pt>
                <c:pt idx="10">
                  <c:v>1117</c:v>
                </c:pt>
                <c:pt idx="11">
                  <c:v>741</c:v>
                </c:pt>
                <c:pt idx="12">
                  <c:v>978</c:v>
                </c:pt>
                <c:pt idx="13">
                  <c:v>1027</c:v>
                </c:pt>
                <c:pt idx="14">
                  <c:v>369</c:v>
                </c:pt>
                <c:pt idx="15">
                  <c:v>370</c:v>
                </c:pt>
                <c:pt idx="16">
                  <c:v>1369</c:v>
                </c:pt>
                <c:pt idx="17">
                  <c:v>1750</c:v>
                </c:pt>
                <c:pt idx="18">
                  <c:v>658</c:v>
                </c:pt>
                <c:pt idx="19">
                  <c:v>12993</c:v>
                </c:pt>
                <c:pt idx="20">
                  <c:v>1901</c:v>
                </c:pt>
                <c:pt idx="21">
                  <c:v>1574</c:v>
                </c:pt>
                <c:pt idx="22">
                  <c:v>454</c:v>
                </c:pt>
                <c:pt idx="23">
                  <c:v>1529</c:v>
                </c:pt>
                <c:pt idx="24">
                  <c:v>1473</c:v>
                </c:pt>
              </c:numCache>
            </c:numRef>
          </c:val>
          <c:extLst>
            <c:ext xmlns:c16="http://schemas.microsoft.com/office/drawing/2014/chart" uri="{C3380CC4-5D6E-409C-BE32-E72D297353CC}">
              <c16:uniqueId val="{00000000-92B1-419D-9658-6A092474F164}"/>
            </c:ext>
          </c:extLst>
        </c:ser>
        <c:ser>
          <c:idx val="1"/>
          <c:order val="1"/>
          <c:tx>
            <c:strRef>
              <c:f>'By Site'!$B$34</c:f>
              <c:strCache>
                <c:ptCount val="1"/>
                <c:pt idx="0">
                  <c:v># of People adopt basic personal and community hygiene practices</c:v>
                </c:pt>
              </c:strCache>
            </c:strRef>
          </c:tx>
          <c:spPr>
            <a:solidFill>
              <a:schemeClr val="accent6">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'By Site'!$B$34</c:f>
              <c:strCache>
                <c:ptCount val="25"/>
                <c:pt idx="0">
                  <c:v>Baw Du Pha Village</c:v>
                </c:pt>
                <c:pt idx="1">
                  <c:v>Bu May Ohn Daw Chay</c:v>
                </c:pt>
                <c:pt idx="2">
                  <c:v>Chaung New Min Gan</c:v>
                </c:pt>
                <c:pt idx="3">
                  <c:v>Dar Paing Ywar Haung</c:v>
                </c:pt>
                <c:pt idx="4">
                  <c:v>Dar Paing Ywar Thit</c:v>
                </c:pt>
                <c:pt idx="5">
                  <c:v>Kan Pyin Ywa Haung</c:v>
                </c:pt>
                <c:pt idx="6">
                  <c:v>Kan Pyin Ywar Thit</c:v>
                </c:pt>
                <c:pt idx="7">
                  <c:v>Kha Tin Paik</c:v>
                </c:pt>
                <c:pt idx="8">
                  <c:v>Koe Saung (1) village</c:v>
                </c:pt>
                <c:pt idx="9">
                  <c:v>Kyan Taw</c:v>
                </c:pt>
                <c:pt idx="10">
                  <c:v>Kyar Ma Thauk</c:v>
                </c:pt>
                <c:pt idx="11">
                  <c:v>Kyauk Tan Chay</c:v>
                </c:pt>
                <c:pt idx="12">
                  <c:v>Kyauk Tan Gyi</c:v>
                </c:pt>
                <c:pt idx="13">
                  <c:v>Maung Ni Pyin</c:v>
                </c:pt>
                <c:pt idx="14">
                  <c:v>Ohn Ye Paw</c:v>
                </c:pt>
                <c:pt idx="15">
                  <c:v>Pyar Lay Chaung Ywar Haung</c:v>
                </c:pt>
                <c:pt idx="16">
                  <c:v>Pyin Shey Ku lar</c:v>
                </c:pt>
                <c:pt idx="17">
                  <c:v>Sa Ma Nya Village</c:v>
                </c:pt>
                <c:pt idx="18">
                  <c:v>Thein Tan</c:v>
                </c:pt>
                <c:pt idx="19">
                  <c:v>Thet Kay Pyin</c:v>
                </c:pt>
                <c:pt idx="20">
                  <c:v>Thin Ga Net</c:v>
                </c:pt>
                <c:pt idx="21">
                  <c:v>Thin Pone Tan</c:v>
                </c:pt>
                <c:pt idx="22">
                  <c:v>Thone Saung</c:v>
                </c:pt>
                <c:pt idx="23">
                  <c:v>Yae Chan Pyin</c:v>
                </c:pt>
                <c:pt idx="24">
                  <c:v>Ywar Thar Yar</c:v>
                </c:pt>
              </c:strCache>
            </c:strRef>
          </c:cat>
          <c:val>
            <c:numRef>
              <c:f>'By Site'!$B$34</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AA6C-47F1-9AB0-98C69D3B90AD}"/>
            </c:ext>
          </c:extLst>
        </c:ser>
        <c:ser>
          <c:idx val="2"/>
          <c:order val="2"/>
          <c:tx>
            <c:strRef>
              <c:f>'By Site'!$B$34</c:f>
              <c:strCache>
                <c:ptCount val="1"/>
                <c:pt idx="0">
                  <c:v># of people access to functioning  sanitation facilities</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'By Site'!$B$34</c:f>
              <c:strCache>
                <c:ptCount val="25"/>
                <c:pt idx="0">
                  <c:v>Baw Du Pha Village</c:v>
                </c:pt>
                <c:pt idx="1">
                  <c:v>Bu May Ohn Daw Chay</c:v>
                </c:pt>
                <c:pt idx="2">
                  <c:v>Chaung New Min Gan</c:v>
                </c:pt>
                <c:pt idx="3">
                  <c:v>Dar Paing Ywar Haung</c:v>
                </c:pt>
                <c:pt idx="4">
                  <c:v>Dar Paing Ywar Thit</c:v>
                </c:pt>
                <c:pt idx="5">
                  <c:v>Kan Pyin Ywa Haung</c:v>
                </c:pt>
                <c:pt idx="6">
                  <c:v>Kan Pyin Ywar Thit</c:v>
                </c:pt>
                <c:pt idx="7">
                  <c:v>Kha Tin Paik</c:v>
                </c:pt>
                <c:pt idx="8">
                  <c:v>Koe Saung (1) village</c:v>
                </c:pt>
                <c:pt idx="9">
                  <c:v>Kyan Taw</c:v>
                </c:pt>
                <c:pt idx="10">
                  <c:v>Kyar Ma Thauk</c:v>
                </c:pt>
                <c:pt idx="11">
                  <c:v>Kyauk Tan Chay</c:v>
                </c:pt>
                <c:pt idx="12">
                  <c:v>Kyauk Tan Gyi</c:v>
                </c:pt>
                <c:pt idx="13">
                  <c:v>Maung Ni Pyin</c:v>
                </c:pt>
                <c:pt idx="14">
                  <c:v>Ohn Ye Paw</c:v>
                </c:pt>
                <c:pt idx="15">
                  <c:v>Pyar Lay Chaung Ywar Haung</c:v>
                </c:pt>
                <c:pt idx="16">
                  <c:v>Pyin Shey Ku lar</c:v>
                </c:pt>
                <c:pt idx="17">
                  <c:v>Sa Ma Nya Village</c:v>
                </c:pt>
                <c:pt idx="18">
                  <c:v>Thein Tan</c:v>
                </c:pt>
                <c:pt idx="19">
                  <c:v>Thet Kay Pyin</c:v>
                </c:pt>
                <c:pt idx="20">
                  <c:v>Thin Ga Net</c:v>
                </c:pt>
                <c:pt idx="21">
                  <c:v>Thin Pone Tan</c:v>
                </c:pt>
                <c:pt idx="22">
                  <c:v>Thone Saung</c:v>
                </c:pt>
                <c:pt idx="23">
                  <c:v>Yae Chan Pyin</c:v>
                </c:pt>
                <c:pt idx="24">
                  <c:v>Ywar Thar Yar</c:v>
                </c:pt>
              </c:strCache>
            </c:strRef>
          </c:cat>
          <c:val>
            <c:numRef>
              <c:f>'By Site'!$B$34</c:f>
              <c:numCache>
                <c:formatCode>General</c:formatCode>
                <c:ptCount val="25"/>
                <c:pt idx="0">
                  <c:v>791.99999999999989</c:v>
                </c:pt>
                <c:pt idx="1">
                  <c:v>1302.0000000000002</c:v>
                </c:pt>
                <c:pt idx="2">
                  <c:v>672</c:v>
                </c:pt>
                <c:pt idx="3">
                  <c:v>1260</c:v>
                </c:pt>
                <c:pt idx="4">
                  <c:v>1194</c:v>
                </c:pt>
                <c:pt idx="5">
                  <c:v>264</c:v>
                </c:pt>
                <c:pt idx="6">
                  <c:v>402</c:v>
                </c:pt>
                <c:pt idx="7">
                  <c:v>1296</c:v>
                </c:pt>
                <c:pt idx="8">
                  <c:v>715</c:v>
                </c:pt>
                <c:pt idx="9">
                  <c:v>468</c:v>
                </c:pt>
                <c:pt idx="10">
                  <c:v>1117</c:v>
                </c:pt>
                <c:pt idx="11">
                  <c:v>738</c:v>
                </c:pt>
                <c:pt idx="12">
                  <c:v>708</c:v>
                </c:pt>
                <c:pt idx="13">
                  <c:v>396</c:v>
                </c:pt>
                <c:pt idx="14">
                  <c:v>348</c:v>
                </c:pt>
                <c:pt idx="15">
                  <c:v>370</c:v>
                </c:pt>
                <c:pt idx="16">
                  <c:v>1314</c:v>
                </c:pt>
                <c:pt idx="17">
                  <c:v>1188</c:v>
                </c:pt>
                <c:pt idx="18">
                  <c:v>588</c:v>
                </c:pt>
                <c:pt idx="19">
                  <c:v>1308</c:v>
                </c:pt>
                <c:pt idx="20">
                  <c:v>0</c:v>
                </c:pt>
                <c:pt idx="21">
                  <c:v>816</c:v>
                </c:pt>
                <c:pt idx="22">
                  <c:v>454</c:v>
                </c:pt>
                <c:pt idx="23">
                  <c:v>1116</c:v>
                </c:pt>
                <c:pt idx="24">
                  <c:v>474</c:v>
                </c:pt>
              </c:numCache>
            </c:numRef>
          </c:val>
          <c:extLst>
            <c:ext xmlns:c16="http://schemas.microsoft.com/office/drawing/2014/chart" uri="{C3380CC4-5D6E-409C-BE32-E72D297353CC}">
              <c16:uniqueId val="{00000002-AA6C-47F1-9AB0-98C69D3B90AD}"/>
            </c:ext>
          </c:extLst>
        </c:ser>
        <c:ser>
          <c:idx val="3"/>
          <c:order val="3"/>
          <c:tx>
            <c:strRef>
              <c:f>'By Site'!$B$34</c:f>
              <c:strCache>
                <c:ptCount val="1"/>
                <c:pt idx="0">
                  <c:v># of people Equitable and continuous access to sufficient quantity of domestic water</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'By Site'!$B$34</c:f>
              <c:strCache>
                <c:ptCount val="25"/>
                <c:pt idx="0">
                  <c:v>Baw Du Pha Village</c:v>
                </c:pt>
                <c:pt idx="1">
                  <c:v>Bu May Ohn Daw Chay</c:v>
                </c:pt>
                <c:pt idx="2">
                  <c:v>Chaung New Min Gan</c:v>
                </c:pt>
                <c:pt idx="3">
                  <c:v>Dar Paing Ywar Haung</c:v>
                </c:pt>
                <c:pt idx="4">
                  <c:v>Dar Paing Ywar Thit</c:v>
                </c:pt>
                <c:pt idx="5">
                  <c:v>Kan Pyin Ywa Haung</c:v>
                </c:pt>
                <c:pt idx="6">
                  <c:v>Kan Pyin Ywar Thit</c:v>
                </c:pt>
                <c:pt idx="7">
                  <c:v>Kha Tin Paik</c:v>
                </c:pt>
                <c:pt idx="8">
                  <c:v>Koe Saung (1) village</c:v>
                </c:pt>
                <c:pt idx="9">
                  <c:v>Kyan Taw</c:v>
                </c:pt>
                <c:pt idx="10">
                  <c:v>Kyar Ma Thauk</c:v>
                </c:pt>
                <c:pt idx="11">
                  <c:v>Kyauk Tan Chay</c:v>
                </c:pt>
                <c:pt idx="12">
                  <c:v>Kyauk Tan Gyi</c:v>
                </c:pt>
                <c:pt idx="13">
                  <c:v>Maung Ni Pyin</c:v>
                </c:pt>
                <c:pt idx="14">
                  <c:v>Ohn Ye Paw</c:v>
                </c:pt>
                <c:pt idx="15">
                  <c:v>Pyar Lay Chaung Ywar Haung</c:v>
                </c:pt>
                <c:pt idx="16">
                  <c:v>Pyin Shey Ku lar</c:v>
                </c:pt>
                <c:pt idx="17">
                  <c:v>Sa Ma Nya Village</c:v>
                </c:pt>
                <c:pt idx="18">
                  <c:v>Thein Tan</c:v>
                </c:pt>
                <c:pt idx="19">
                  <c:v>Thet Kay Pyin</c:v>
                </c:pt>
                <c:pt idx="20">
                  <c:v>Thin Ga Net</c:v>
                </c:pt>
                <c:pt idx="21">
                  <c:v>Thin Pone Tan</c:v>
                </c:pt>
                <c:pt idx="22">
                  <c:v>Thone Saung</c:v>
                </c:pt>
                <c:pt idx="23">
                  <c:v>Yae Chan Pyin</c:v>
                </c:pt>
                <c:pt idx="24">
                  <c:v>Ywar Thar Yar</c:v>
                </c:pt>
              </c:strCache>
            </c:strRef>
          </c:cat>
          <c:val>
            <c:numRef>
              <c:f>'By Site'!$B$34</c:f>
              <c:numCache>
                <c:formatCode>General</c:formatCode>
                <c:ptCount val="25"/>
                <c:pt idx="0">
                  <c:v>1435</c:v>
                </c:pt>
                <c:pt idx="1">
                  <c:v>4476</c:v>
                </c:pt>
                <c:pt idx="2">
                  <c:v>1083</c:v>
                </c:pt>
                <c:pt idx="3">
                  <c:v>1867</c:v>
                </c:pt>
                <c:pt idx="4">
                  <c:v>3768</c:v>
                </c:pt>
                <c:pt idx="5">
                  <c:v>373</c:v>
                </c:pt>
                <c:pt idx="6">
                  <c:v>481</c:v>
                </c:pt>
                <c:pt idx="7">
                  <c:v>2168</c:v>
                </c:pt>
                <c:pt idx="8">
                  <c:v>715</c:v>
                </c:pt>
                <c:pt idx="9">
                  <c:v>656</c:v>
                </c:pt>
                <c:pt idx="10">
                  <c:v>1117</c:v>
                </c:pt>
                <c:pt idx="11">
                  <c:v>741</c:v>
                </c:pt>
                <c:pt idx="12">
                  <c:v>978</c:v>
                </c:pt>
                <c:pt idx="13">
                  <c:v>1027</c:v>
                </c:pt>
                <c:pt idx="14">
                  <c:v>369</c:v>
                </c:pt>
                <c:pt idx="15">
                  <c:v>370</c:v>
                </c:pt>
                <c:pt idx="16">
                  <c:v>1369</c:v>
                </c:pt>
                <c:pt idx="17">
                  <c:v>1750</c:v>
                </c:pt>
                <c:pt idx="18">
                  <c:v>658</c:v>
                </c:pt>
                <c:pt idx="19">
                  <c:v>12993</c:v>
                </c:pt>
                <c:pt idx="20">
                  <c:v>0</c:v>
                </c:pt>
                <c:pt idx="21">
                  <c:v>1574</c:v>
                </c:pt>
                <c:pt idx="22">
                  <c:v>454</c:v>
                </c:pt>
                <c:pt idx="23">
                  <c:v>1529</c:v>
                </c:pt>
                <c:pt idx="24">
                  <c:v>1473</c:v>
                </c:pt>
              </c:numCache>
            </c:numRef>
          </c:val>
          <c:extLst>
            <c:ext xmlns:c16="http://schemas.microsoft.com/office/drawing/2014/chart" uri="{C3380CC4-5D6E-409C-BE32-E72D297353CC}">
              <c16:uniqueId val="{00000003-AA6C-47F1-9AB0-98C69D3B90AD}"/>
            </c:ext>
          </c:extLst>
        </c:ser>
        <c:dLbls>
          <c:showLegendKey val="0"/>
          <c:showVal val="0"/>
          <c:showCatName val="0"/>
          <c:showSerName val="0"/>
          <c:showPercent val="0"/>
          <c:showBubbleSize val="0"/>
        </c:dLbls>
        <c:gapWidth val="100"/>
        <c:axId val="354334472"/>
        <c:axId val="354340352"/>
      </c:barChart>
      <c:catAx>
        <c:axId val="35433447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54340352"/>
        <c:crosses val="autoZero"/>
        <c:auto val="1"/>
        <c:lblAlgn val="ctr"/>
        <c:lblOffset val="100"/>
        <c:noMultiLvlLbl val="0"/>
      </c:catAx>
      <c:valAx>
        <c:axId val="354340352"/>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Nb of People</a:t>
                </a:r>
              </a:p>
            </c:rich>
          </c:tx>
          <c:layout>
            <c:manualLayout>
              <c:xMode val="edge"/>
              <c:yMode val="edge"/>
              <c:x val="0.8665541111587558"/>
              <c:y val="0.9546071163545147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crossAx val="354334472"/>
        <c:crosses val="autoZero"/>
        <c:crossBetween val="between"/>
      </c:valAx>
      <c:spPr>
        <a:noFill/>
        <a:ln>
          <a:noFill/>
        </a:ln>
        <a:effectLst/>
      </c:spPr>
    </c:plotArea>
    <c:legend>
      <c:legendPos val="r"/>
      <c:layout>
        <c:manualLayout>
          <c:xMode val="edge"/>
          <c:yMode val="edge"/>
          <c:x val="0.80171567357265161"/>
          <c:y val="0.18479079148282593"/>
          <c:w val="0.19828432642734836"/>
          <c:h val="0.5650200776787922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[20200720_Myanmar_WASH_4W_2020_Q2_All_Village_Consolidate.xlsx]Tracking Dashboard!PivotTable1</c:name>
    <c:fmtId val="3"/>
  </c:pivotSource>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t>Tracking Quarterly Achievement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en-US"/>
        </a:p>
      </c:txPr>
    </c:title>
    <c:autoTitleDeleted val="0"/>
    <c:pivotFmts>
      <c:pivotFmt>
        <c:idx val="0"/>
      </c:pivotFmt>
      <c:pivotFmt>
        <c:idx val="1"/>
        <c:spPr>
          <a:solidFill>
            <a:srgbClr val="0070C0"/>
          </a:solidFill>
          <a:ln>
            <a:noFill/>
          </a:ln>
          <a:effectLst/>
        </c:spPr>
        <c:marker>
          <c:symbol val="none"/>
        </c:marker>
      </c:pivotFmt>
      <c:pivotFmt>
        <c:idx val="2"/>
        <c:spPr>
          <a:solidFill>
            <a:schemeClr val="accent2">
              <a:lumMod val="75000"/>
            </a:schemeClr>
          </a:solidFill>
          <a:ln>
            <a:noFill/>
          </a:ln>
          <a:effectLst/>
        </c:spPr>
        <c:marker>
          <c:symbol val="none"/>
        </c:marker>
      </c:pivotFmt>
      <c:pivotFmt>
        <c:idx val="3"/>
        <c:spPr>
          <a:solidFill>
            <a:schemeClr val="accent6">
              <a:lumMod val="75000"/>
            </a:schemeClr>
          </a:solidFill>
          <a:ln>
            <a:noFill/>
          </a:ln>
          <a:effectLst/>
        </c:spPr>
        <c:marker>
          <c:symbol val="none"/>
        </c:marker>
      </c:pivotFmt>
      <c:pivotFmt>
        <c:idx val="4"/>
      </c:pivotFmt>
      <c:pivotFmt>
        <c:idx val="5"/>
        <c:spPr>
          <a:solidFill>
            <a:schemeClr val="accent6">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0070C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tx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1813904458850057"/>
          <c:y val="6.1073498743170695E-2"/>
          <c:w val="0.62467518940594613"/>
          <c:h val="0.90227339407347507"/>
        </c:manualLayout>
      </c:layout>
      <c:barChart>
        <c:barDir val="bar"/>
        <c:grouping val="clustered"/>
        <c:varyColors val="0"/>
        <c:ser>
          <c:idx val="0"/>
          <c:order val="0"/>
          <c:tx>
            <c:strRef>
              <c:f>'Tracking Dashboard'!$M$4</c:f>
              <c:strCache>
                <c:ptCount val="1"/>
                <c:pt idx="0">
                  <c:v>  Total PoP </c:v>
                </c:pt>
              </c:strCache>
            </c:strRef>
          </c:tx>
          <c:spPr>
            <a:solidFill>
              <a:schemeClr val="tx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'Tracking Dashboard'!$L$5:$L$7</c:f>
              <c:strCache>
                <c:ptCount val="2"/>
                <c:pt idx="0">
                  <c:v>2020_Q1</c:v>
                </c:pt>
                <c:pt idx="1">
                  <c:v>2020_Q2</c:v>
                </c:pt>
              </c:strCache>
            </c:strRef>
          </c:cat>
          <c:val>
            <c:numRef>
              <c:f>'Tracking Dashboard'!$M$5:$M$7</c:f>
              <c:numCache>
                <c:formatCode>General</c:formatCode>
                <c:ptCount val="2"/>
                <c:pt idx="0">
                  <c:v>14096</c:v>
                </c:pt>
                <c:pt idx="1">
                  <c:v>5926</c:v>
                </c:pt>
              </c:numCache>
            </c:numRef>
          </c:val>
          <c:extLst>
            <c:ext xmlns:c16="http://schemas.microsoft.com/office/drawing/2014/chart" uri="{C3380CC4-5D6E-409C-BE32-E72D297353CC}">
              <c16:uniqueId val="{00000000-FFE7-4630-AA87-8BB156FFBC38}"/>
            </c:ext>
          </c:extLst>
        </c:ser>
        <c:ser>
          <c:idx val="1"/>
          <c:order val="1"/>
          <c:tx>
            <c:strRef>
              <c:f>'Tracking Dashboard'!$N$4</c:f>
              <c:strCache>
                <c:ptCount val="1"/>
                <c:pt idx="0">
                  <c:v># of People adopt basic personal and community hygiene practices</c:v>
                </c:pt>
              </c:strCache>
            </c:strRef>
          </c:tx>
          <c:spPr>
            <a:solidFill>
              <a:schemeClr val="accent6">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'Tracking Dashboard'!$L$5:$L$7</c:f>
              <c:strCache>
                <c:ptCount val="2"/>
                <c:pt idx="0">
                  <c:v>2020_Q1</c:v>
                </c:pt>
                <c:pt idx="1">
                  <c:v>2020_Q2</c:v>
                </c:pt>
              </c:strCache>
            </c:strRef>
          </c:cat>
          <c:val>
            <c:numRef>
              <c:f>'Tracking Dashboard'!$N$5:$N$7</c:f>
              <c:numCache>
                <c:formatCode>General</c:formatCode>
                <c:ptCount val="2"/>
                <c:pt idx="0">
                  <c:v>1275</c:v>
                </c:pt>
                <c:pt idx="1">
                  <c:v>1044</c:v>
                </c:pt>
              </c:numCache>
            </c:numRef>
          </c:val>
          <c:extLst>
            <c:ext xmlns:c16="http://schemas.microsoft.com/office/drawing/2014/chart" uri="{C3380CC4-5D6E-409C-BE32-E72D297353CC}">
              <c16:uniqueId val="{00000001-FFE7-4630-AA87-8BB156FFBC38}"/>
            </c:ext>
          </c:extLst>
        </c:ser>
        <c:ser>
          <c:idx val="2"/>
          <c:order val="2"/>
          <c:tx>
            <c:strRef>
              <c:f>'Tracking Dashboard'!$O$4</c:f>
              <c:strCache>
                <c:ptCount val="1"/>
                <c:pt idx="0">
                  <c:v># of people access to functioning  sanitation facilities</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'Tracking Dashboard'!$L$5:$L$7</c:f>
              <c:strCache>
                <c:ptCount val="2"/>
                <c:pt idx="0">
                  <c:v>2020_Q1</c:v>
                </c:pt>
                <c:pt idx="1">
                  <c:v>2020_Q2</c:v>
                </c:pt>
              </c:strCache>
            </c:strRef>
          </c:cat>
          <c:val>
            <c:numRef>
              <c:f>'Tracking Dashboard'!$O$5:$O$7</c:f>
              <c:numCache>
                <c:formatCode>General</c:formatCode>
                <c:ptCount val="2"/>
                <c:pt idx="0">
                  <c:v>2529</c:v>
                </c:pt>
                <c:pt idx="1">
                  <c:v>2394</c:v>
                </c:pt>
              </c:numCache>
            </c:numRef>
          </c:val>
          <c:extLst>
            <c:ext xmlns:c16="http://schemas.microsoft.com/office/drawing/2014/chart" uri="{C3380CC4-5D6E-409C-BE32-E72D297353CC}">
              <c16:uniqueId val="{00000002-FFE7-4630-AA87-8BB156FFBC38}"/>
            </c:ext>
          </c:extLst>
        </c:ser>
        <c:ser>
          <c:idx val="3"/>
          <c:order val="3"/>
          <c:tx>
            <c:strRef>
              <c:f>'Tracking Dashboard'!$P$4</c:f>
              <c:strCache>
                <c:ptCount val="1"/>
                <c:pt idx="0">
                  <c:v># of people Equitable and continuous access to sufficient quantity of domestic water</c:v>
                </c:pt>
              </c:strCache>
            </c:strRef>
          </c:tx>
          <c:spPr>
            <a:solidFill>
              <a:srgbClr val="0070C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'Tracking Dashboard'!$L$5:$L$7</c:f>
              <c:strCache>
                <c:ptCount val="2"/>
                <c:pt idx="0">
                  <c:v>2020_Q1</c:v>
                </c:pt>
                <c:pt idx="1">
                  <c:v>2020_Q2</c:v>
                </c:pt>
              </c:strCache>
            </c:strRef>
          </c:cat>
          <c:val>
            <c:numRef>
              <c:f>'Tracking Dashboard'!$P$5:$P$7</c:f>
              <c:numCache>
                <c:formatCode>General</c:formatCode>
                <c:ptCount val="2"/>
                <c:pt idx="0">
                  <c:v>0</c:v>
                </c:pt>
                <c:pt idx="1">
                  <c:v>3054</c:v>
                </c:pt>
              </c:numCache>
            </c:numRef>
          </c:val>
          <c:extLst>
            <c:ext xmlns:c16="http://schemas.microsoft.com/office/drawing/2014/chart" uri="{C3380CC4-5D6E-409C-BE32-E72D297353CC}">
              <c16:uniqueId val="{00000000-9116-4F02-8F60-3C03EBF393F4}"/>
            </c:ext>
          </c:extLst>
        </c:ser>
        <c:dLbls>
          <c:showLegendKey val="0"/>
          <c:showVal val="0"/>
          <c:showCatName val="0"/>
          <c:showSerName val="0"/>
          <c:showPercent val="0"/>
          <c:showBubbleSize val="0"/>
        </c:dLbls>
        <c:gapWidth val="100"/>
        <c:axId val="354336040"/>
        <c:axId val="354339176"/>
      </c:barChart>
      <c:catAx>
        <c:axId val="3543360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54339176"/>
        <c:crosses val="autoZero"/>
        <c:auto val="1"/>
        <c:lblAlgn val="ctr"/>
        <c:lblOffset val="100"/>
        <c:noMultiLvlLbl val="0"/>
      </c:catAx>
      <c:valAx>
        <c:axId val="354339176"/>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54336040"/>
        <c:crosses val="autoZero"/>
        <c:crossBetween val="between"/>
      </c:valAx>
      <c:spPr>
        <a:noFill/>
        <a:ln>
          <a:noFill/>
        </a:ln>
        <a:effectLst/>
      </c:spPr>
    </c:plotArea>
    <c:legend>
      <c:legendPos val="r"/>
      <c:layout>
        <c:manualLayout>
          <c:xMode val="edge"/>
          <c:yMode val="edge"/>
          <c:x val="0.71163694784788678"/>
          <c:y val="0.42922885394612681"/>
          <c:w val="0.28836305215211328"/>
          <c:h val="0.258309584413730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0" i="0" baseline="0">
                <a:effectLst/>
              </a:rPr>
              <a:t>WASH in Temporary Learning Spaces Rakhine</a:t>
            </a:r>
            <a:endParaRPr lang="en-US" sz="1200" b="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Analysis!$C$261</c:f>
              <c:strCache>
                <c:ptCount val="1"/>
                <c:pt idx="0">
                  <c:v>Rakhine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6">
                  <a:lumMod val="5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E8F-4A87-832A-A9C7772CDEF5}"/>
              </c:ext>
            </c:extLst>
          </c:dPt>
          <c:dPt>
            <c:idx val="1"/>
            <c:invertIfNegative val="0"/>
            <c:bubble3D val="0"/>
            <c:spPr>
              <a:solidFill>
                <a:schemeClr val="accent6">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6920-47D8-A18A-4927C641013C}"/>
              </c:ext>
            </c:extLst>
          </c:dPt>
          <c:dPt>
            <c:idx val="2"/>
            <c:invertIfNegative val="0"/>
            <c:bubble3D val="0"/>
            <c:spPr>
              <a:solidFill>
                <a:schemeClr val="accent2">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2359-413F-AD86-E76121A85E4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Analysis!$D$259:$H$259</c15:sqref>
                  </c15:fullRef>
                </c:ext>
              </c:extLst>
              <c:f>(Analysis!$D$259:$E$259,Analysis!$G$259:$H$259)</c:f>
              <c:strCache>
                <c:ptCount val="4"/>
                <c:pt idx="0">
                  <c:v> # of hand washing stations with sufficient soap</c:v>
                </c:pt>
                <c:pt idx="1">
                  <c:v> # of hand washing stations for school</c:v>
                </c:pt>
                <c:pt idx="2">
                  <c:v> # of latrines in schools</c:v>
                </c:pt>
                <c:pt idx="3">
                  <c:v># Water points in School</c:v>
                </c:pt>
              </c:strCache>
            </c:strRef>
          </c:cat>
          <c:val>
            <c:numRef>
              <c:extLst>
                <c:ext xmlns:c15="http://schemas.microsoft.com/office/drawing/2012/chart" uri="{02D57815-91ED-43cb-92C2-25804820EDAC}">
                  <c15:fullRef>
                    <c15:sqref>Analysis!$D$261:$H$261</c15:sqref>
                  </c15:fullRef>
                </c:ext>
              </c:extLst>
              <c:f>(Analysis!$D$261:$E$261,Analysis!$G$261:$H$261)</c:f>
              <c:numCache>
                <c:formatCode>_(* #,##0_);_(* \(#,##0\);_(* "-"??_);_(@_)</c:formatCode>
                <c:ptCount val="4"/>
                <c:pt idx="0">
                  <c:v>0</c:v>
                </c:pt>
                <c:pt idx="1">
                  <c:v>10</c:v>
                </c:pt>
                <c:pt idx="2">
                  <c:v>121</c:v>
                </c:pt>
                <c:pt idx="3">
                  <c:v>20</c:v>
                </c:pt>
              </c:numCache>
            </c:numRef>
          </c:val>
          <c:extLst>
            <c:ext xmlns:c15="http://schemas.microsoft.com/office/drawing/2012/chart" uri="{02D57815-91ED-43cb-92C2-25804820EDAC}">
              <c15:categoryFilterExceptions>
                <c15:categoryFilterException>
                  <c15:sqref>Analysis!$F$261</c15:sqref>
                  <c15:spPr xmlns:c15="http://schemas.microsoft.com/office/drawing/2012/chart">
                    <a:solidFill>
                      <a:schemeClr val="accent6">
                        <a:lumMod val="20000"/>
                        <a:lumOff val="80000"/>
                      </a:schemeClr>
                    </a:solidFill>
                    <a:ln>
                      <a:noFill/>
                    </a:ln>
                    <a:effectLst>
                      <a:outerShdw blurRad="57150" dist="19050" dir="5400000" algn="ctr" rotWithShape="0">
                        <a:srgbClr val="000000">
                          <a:alpha val="63000"/>
                        </a:srgbClr>
                      </a:outerShdw>
                    </a:effectLst>
                  </c15:spPr>
                  <c15:invertIfNegative val="0"/>
                  <c15:bubble3D val="0"/>
                </c15:categoryFilterException>
              </c15:categoryFilterExceptions>
            </c:ext>
            <c:ext xmlns:c16="http://schemas.microsoft.com/office/drawing/2014/chart" uri="{C3380CC4-5D6E-409C-BE32-E72D297353CC}">
              <c16:uniqueId val="{00000004-AE8F-4A87-832A-A9C7772CDEF5}"/>
            </c:ext>
          </c:extLst>
        </c:ser>
        <c:dLbls>
          <c:dLblPos val="outEnd"/>
          <c:showLegendKey val="0"/>
          <c:showVal val="1"/>
          <c:showCatName val="0"/>
          <c:showSerName val="0"/>
          <c:showPercent val="0"/>
          <c:showBubbleSize val="0"/>
        </c:dLbls>
        <c:gapWidth val="115"/>
        <c:overlap val="-20"/>
        <c:axId val="395514816"/>
        <c:axId val="395517952"/>
      </c:barChart>
      <c:catAx>
        <c:axId val="39551481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517952"/>
        <c:crosses val="autoZero"/>
        <c:auto val="1"/>
        <c:lblAlgn val="ctr"/>
        <c:lblOffset val="100"/>
        <c:noMultiLvlLbl val="0"/>
      </c:catAx>
      <c:valAx>
        <c:axId val="395517952"/>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51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[20200720_Myanmar_WASH_4W_2020_Q2_All_Village_Consolidate.xlsx]Analysis!R_Geo</c:name>
    <c:fmtId val="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Rakhine - Number of Non-IDP Sites - Coverage/Gaps </a:t>
            </a:r>
          </a:p>
        </c:rich>
      </c:tx>
      <c:layout>
        <c:manualLayout>
          <c:xMode val="edge"/>
          <c:yMode val="edge"/>
          <c:x val="0.37496606587236875"/>
          <c:y val="3.1160771860866059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1540226698995605"/>
          <c:y val="0.1709895472032491"/>
          <c:w val="0.7162328642427549"/>
          <c:h val="0.59374132694776072"/>
        </c:manualLayout>
      </c:layout>
      <c:barChart>
        <c:barDir val="bar"/>
        <c:grouping val="clustered"/>
        <c:varyColors val="0"/>
        <c:ser>
          <c:idx val="0"/>
          <c:order val="0"/>
          <c:tx>
            <c:strRef>
              <c:f>Analysis!$I$189:$I$190</c:f>
              <c:strCache>
                <c:ptCount val="1"/>
                <c:pt idx="0">
                  <c:v>Covered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Analysis!$H$191</c:f>
              <c:strCache>
                <c:ptCount val="1"/>
                <c:pt idx="0">
                  <c:v>Village</c:v>
                </c:pt>
              </c:strCache>
            </c:strRef>
          </c:cat>
          <c:val>
            <c:numRef>
              <c:f>Analysis!$I$191</c:f>
              <c:numCache>
                <c:formatCode>General</c:formatCode>
                <c:ptCount val="1"/>
                <c:pt idx="0">
                  <c:v>126</c:v>
                </c:pt>
              </c:numCache>
            </c:numRef>
          </c:val>
          <c:extLst>
            <c:ext xmlns:c16="http://schemas.microsoft.com/office/drawing/2014/chart" uri="{C3380CC4-5D6E-409C-BE32-E72D297353CC}">
              <c16:uniqueId val="{00000000-4072-4BFF-9FC1-55C1B1ECB3C1}"/>
            </c:ext>
          </c:extLst>
        </c:ser>
        <c:dLbls>
          <c:showLegendKey val="0"/>
          <c:showVal val="0"/>
          <c:showCatName val="0"/>
          <c:showSerName val="0"/>
          <c:showPercent val="0"/>
          <c:showBubbleSize val="0"/>
        </c:dLbls>
        <c:gapWidth val="100"/>
        <c:axId val="395622536"/>
        <c:axId val="395628024"/>
      </c:barChart>
      <c:catAx>
        <c:axId val="39562253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628024"/>
        <c:crosses val="autoZero"/>
        <c:auto val="1"/>
        <c:lblAlgn val="ctr"/>
        <c:lblOffset val="100"/>
        <c:noMultiLvlLbl val="0"/>
      </c:catAx>
      <c:valAx>
        <c:axId val="395628024"/>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395622536"/>
        <c:crosses val="autoZero"/>
        <c:crossBetween val="between"/>
      </c:valAx>
      <c:spPr>
        <a:noFill/>
        <a:ln>
          <a:noFill/>
        </a:ln>
        <a:effectLst/>
      </c:spPr>
    </c:plotArea>
    <c:legend>
      <c:legendPos val="r"/>
      <c:layout>
        <c:manualLayout>
          <c:xMode val="edge"/>
          <c:yMode val="edge"/>
          <c:x val="0.86163218289379784"/>
          <c:y val="0.40916787328661758"/>
          <c:w val="9.099910705379545E-2"/>
          <c:h val="8.00334032153514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[20200720_Myanmar_WASH_4W_2020_Q2_All_Village_Consolidate.xlsx]Analysis!W_R_C_G_V</c:name>
    <c:fmtId val="44"/>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b="1" i="0" baseline="0">
                <a:effectLst/>
              </a:rPr>
              <a:t> % People access to safe/improved drinking water, meeting demand for domestic purposes</a:t>
            </a:r>
            <a:endParaRPr lang="en-US" sz="1200">
              <a:effectLs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rgbClr val="0070C0"/>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0070C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Analysis!$C$54</c:f>
              <c:strCache>
                <c:ptCount val="1"/>
                <c:pt idx="0">
                  <c:v>Accessed</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Analysis!$B$55:$B$59</c:f>
              <c:strCache>
                <c:ptCount val="5"/>
                <c:pt idx="0">
                  <c:v>Kyauktaw</c:v>
                </c:pt>
                <c:pt idx="1">
                  <c:v>Minbya</c:v>
                </c:pt>
                <c:pt idx="2">
                  <c:v>Myebon</c:v>
                </c:pt>
                <c:pt idx="3">
                  <c:v>Pauktaw</c:v>
                </c:pt>
                <c:pt idx="4">
                  <c:v>Sittwe</c:v>
                </c:pt>
              </c:strCache>
            </c:strRef>
          </c:cat>
          <c:val>
            <c:numRef>
              <c:f>Analysis!$C$55:$C$59</c:f>
              <c:numCache>
                <c:formatCode>0%</c:formatCode>
                <c:ptCount val="5"/>
                <c:pt idx="0">
                  <c:v>0.737441791340533</c:v>
                </c:pt>
                <c:pt idx="1">
                  <c:v>1</c:v>
                </c:pt>
                <c:pt idx="2">
                  <c:v>1</c:v>
                </c:pt>
                <c:pt idx="3">
                  <c:v>1</c:v>
                </c:pt>
                <c:pt idx="4">
                  <c:v>0.70496193342776203</c:v>
                </c:pt>
              </c:numCache>
            </c:numRef>
          </c:val>
          <c:extLst>
            <c:ext xmlns:c16="http://schemas.microsoft.com/office/drawing/2014/chart" uri="{C3380CC4-5D6E-409C-BE32-E72D297353CC}">
              <c16:uniqueId val="{00000000-801B-4899-AB7B-B3EA77915599}"/>
            </c:ext>
          </c:extLst>
        </c:ser>
        <c:ser>
          <c:idx val="1"/>
          <c:order val="1"/>
          <c:tx>
            <c:strRef>
              <c:f>Analysis!$D$54</c:f>
              <c:strCache>
                <c:ptCount val="1"/>
                <c:pt idx="0">
                  <c:v>No Access</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Analysis!$B$55:$B$59</c:f>
              <c:strCache>
                <c:ptCount val="5"/>
                <c:pt idx="0">
                  <c:v>Kyauktaw</c:v>
                </c:pt>
                <c:pt idx="1">
                  <c:v>Minbya</c:v>
                </c:pt>
                <c:pt idx="2">
                  <c:v>Myebon</c:v>
                </c:pt>
                <c:pt idx="3">
                  <c:v>Pauktaw</c:v>
                </c:pt>
                <c:pt idx="4">
                  <c:v>Sittwe</c:v>
                </c:pt>
              </c:strCache>
            </c:strRef>
          </c:cat>
          <c:val>
            <c:numRef>
              <c:f>Analysis!$D$55:$D$59</c:f>
              <c:numCache>
                <c:formatCode>0%</c:formatCode>
                <c:ptCount val="5"/>
                <c:pt idx="0">
                  <c:v>0.262558208659467</c:v>
                </c:pt>
                <c:pt idx="1">
                  <c:v>0</c:v>
                </c:pt>
                <c:pt idx="2">
                  <c:v>0</c:v>
                </c:pt>
                <c:pt idx="3">
                  <c:v>0</c:v>
                </c:pt>
                <c:pt idx="4">
                  <c:v>0.29503806657223797</c:v>
                </c:pt>
              </c:numCache>
            </c:numRef>
          </c:val>
          <c:extLst>
            <c:ext xmlns:c16="http://schemas.microsoft.com/office/drawing/2014/chart" uri="{C3380CC4-5D6E-409C-BE32-E72D297353CC}">
              <c16:uniqueId val="{00000001-801B-4899-AB7B-B3EA77915599}"/>
            </c:ext>
          </c:extLst>
        </c:ser>
        <c:dLbls>
          <c:dLblPos val="ctr"/>
          <c:showLegendKey val="0"/>
          <c:showVal val="1"/>
          <c:showCatName val="0"/>
          <c:showSerName val="0"/>
          <c:showPercent val="0"/>
          <c:showBubbleSize val="0"/>
        </c:dLbls>
        <c:gapWidth val="150"/>
        <c:overlap val="100"/>
        <c:axId val="414767120"/>
        <c:axId val="414769864"/>
      </c:barChart>
      <c:catAx>
        <c:axId val="41476712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14769864"/>
        <c:crosses val="autoZero"/>
        <c:auto val="1"/>
        <c:lblAlgn val="ctr"/>
        <c:lblOffset val="100"/>
        <c:noMultiLvlLbl val="0"/>
      </c:catAx>
      <c:valAx>
        <c:axId val="41476986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1476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[20200720_Myanmar_WASH_4W_2020_Q2_All_Village_Consolidate.xlsx]Analysis!K_L_CG_N</c:name>
    <c:fmtId val="44"/>
  </c:pivotSource>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200"/>
              <a:t>Latrine Coverage VS GAP in Villages</a:t>
            </a:r>
          </a:p>
          <a:p>
            <a:pPr>
              <a:defRPr sz="1200"/>
            </a:pPr>
            <a:r>
              <a:rPr lang="en-US" sz="1200"/>
              <a:t>in Rakhine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2">
              <a:lumMod val="75000"/>
            </a:schemeClr>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lumMod val="75000"/>
            </a:schemeClr>
          </a:solidFill>
          <a:ln>
            <a:noFill/>
          </a:ln>
          <a:effectLst/>
        </c:spPr>
        <c:marker>
          <c:symbol val="none"/>
        </c:marker>
      </c:pivotFmt>
      <c:pivotFmt>
        <c:idx val="3"/>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lumMod val="40000"/>
              <a:lumOff val="60000"/>
            </a:schemeClr>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Analysis!$C$102</c:f>
              <c:strCache>
                <c:ptCount val="1"/>
                <c:pt idx="0">
                  <c:v>  % Latrine Coverage</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Analysis!$B$103:$B$111</c:f>
              <c:strCache>
                <c:ptCount val="9"/>
                <c:pt idx="0">
                  <c:v>Kyauktaw</c:v>
                </c:pt>
                <c:pt idx="1">
                  <c:v>Minbya</c:v>
                </c:pt>
                <c:pt idx="2">
                  <c:v>Myebon</c:v>
                </c:pt>
                <c:pt idx="3">
                  <c:v>Myitkyina</c:v>
                </c:pt>
                <c:pt idx="4">
                  <c:v>Pauktaw</c:v>
                </c:pt>
                <c:pt idx="5">
                  <c:v>Sittwe</c:v>
                </c:pt>
                <c:pt idx="6">
                  <c:v>Sumprabum</c:v>
                </c:pt>
                <c:pt idx="7">
                  <c:v>Waingmaw</c:v>
                </c:pt>
                <c:pt idx="8">
                  <c:v>Injangyang</c:v>
                </c:pt>
              </c:strCache>
            </c:strRef>
          </c:cat>
          <c:val>
            <c:numRef>
              <c:f>Analysis!$C$103:$C$111</c:f>
              <c:numCache>
                <c:formatCode>0%</c:formatCode>
                <c:ptCount val="9"/>
                <c:pt idx="0">
                  <c:v>0.42851481224611115</c:v>
                </c:pt>
                <c:pt idx="1">
                  <c:v>0.51311941673677042</c:v>
                </c:pt>
                <c:pt idx="2">
                  <c:v>1</c:v>
                </c:pt>
                <c:pt idx="3">
                  <c:v>0.62240663900414939</c:v>
                </c:pt>
                <c:pt idx="4">
                  <c:v>0.12483745123537061</c:v>
                </c:pt>
                <c:pt idx="5">
                  <c:v>0.28496813031161472</c:v>
                </c:pt>
                <c:pt idx="6">
                  <c:v>0</c:v>
                </c:pt>
                <c:pt idx="7">
                  <c:v>0.27171757239190797</c:v>
                </c:pt>
                <c:pt idx="8">
                  <c:v>0</c:v>
                </c:pt>
              </c:numCache>
            </c:numRef>
          </c:val>
          <c:extLst>
            <c:ext xmlns:c16="http://schemas.microsoft.com/office/drawing/2014/chart" uri="{C3380CC4-5D6E-409C-BE32-E72D297353CC}">
              <c16:uniqueId val="{00000000-9C64-449A-9CF4-9D86FE4832EB}"/>
            </c:ext>
          </c:extLst>
        </c:ser>
        <c:ser>
          <c:idx val="1"/>
          <c:order val="1"/>
          <c:tx>
            <c:strRef>
              <c:f>Analysis!$D$102</c:f>
              <c:strCache>
                <c:ptCount val="1"/>
                <c:pt idx="0">
                  <c:v>  % Latrine GAP</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Analysis!$B$103:$B$111</c:f>
              <c:strCache>
                <c:ptCount val="9"/>
                <c:pt idx="0">
                  <c:v>Kyauktaw</c:v>
                </c:pt>
                <c:pt idx="1">
                  <c:v>Minbya</c:v>
                </c:pt>
                <c:pt idx="2">
                  <c:v>Myebon</c:v>
                </c:pt>
                <c:pt idx="3">
                  <c:v>Myitkyina</c:v>
                </c:pt>
                <c:pt idx="4">
                  <c:v>Pauktaw</c:v>
                </c:pt>
                <c:pt idx="5">
                  <c:v>Sittwe</c:v>
                </c:pt>
                <c:pt idx="6">
                  <c:v>Sumprabum</c:v>
                </c:pt>
                <c:pt idx="7">
                  <c:v>Waingmaw</c:v>
                </c:pt>
                <c:pt idx="8">
                  <c:v>Injangyang</c:v>
                </c:pt>
              </c:strCache>
            </c:strRef>
          </c:cat>
          <c:val>
            <c:numRef>
              <c:f>Analysis!$D$103:$D$111</c:f>
              <c:numCache>
                <c:formatCode>0%</c:formatCode>
                <c:ptCount val="9"/>
                <c:pt idx="0">
                  <c:v>0.5714851877538889</c:v>
                </c:pt>
                <c:pt idx="1">
                  <c:v>0.48688058326322958</c:v>
                </c:pt>
                <c:pt idx="2">
                  <c:v>0</c:v>
                </c:pt>
                <c:pt idx="3">
                  <c:v>0.37759336099585061</c:v>
                </c:pt>
                <c:pt idx="4">
                  <c:v>0.8751625487646294</c:v>
                </c:pt>
                <c:pt idx="5">
                  <c:v>0.71503186968838528</c:v>
                </c:pt>
                <c:pt idx="6">
                  <c:v>1</c:v>
                </c:pt>
                <c:pt idx="7">
                  <c:v>0.72828242760809203</c:v>
                </c:pt>
                <c:pt idx="8">
                  <c:v>1</c:v>
                </c:pt>
              </c:numCache>
            </c:numRef>
          </c:val>
          <c:extLst>
            <c:ext xmlns:c16="http://schemas.microsoft.com/office/drawing/2014/chart" uri="{C3380CC4-5D6E-409C-BE32-E72D297353CC}">
              <c16:uniqueId val="{00000001-9C64-449A-9CF4-9D86FE4832EB}"/>
            </c:ext>
          </c:extLst>
        </c:ser>
        <c:dLbls>
          <c:dLblPos val="ctr"/>
          <c:showLegendKey val="0"/>
          <c:showVal val="1"/>
          <c:showCatName val="0"/>
          <c:showSerName val="0"/>
          <c:showPercent val="0"/>
          <c:showBubbleSize val="0"/>
        </c:dLbls>
        <c:gapWidth val="80"/>
        <c:overlap val="100"/>
        <c:axId val="414769080"/>
        <c:axId val="414771040"/>
      </c:barChart>
      <c:catAx>
        <c:axId val="4147690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2"/>
                </a:solidFill>
                <a:latin typeface="+mn-lt"/>
                <a:ea typeface="+mn-ea"/>
                <a:cs typeface="+mn-cs"/>
              </a:defRPr>
            </a:pPr>
            <a:endParaRPr lang="en-US"/>
          </a:p>
        </c:txPr>
        <c:crossAx val="414771040"/>
        <c:crosses val="autoZero"/>
        <c:auto val="1"/>
        <c:lblAlgn val="ctr"/>
        <c:lblOffset val="100"/>
        <c:noMultiLvlLbl val="0"/>
      </c:catAx>
      <c:valAx>
        <c:axId val="41477104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14769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[20200720_Myanmar_WASH_4W_2020_Q2_All_Village_Consolidate.xlsx]Analysis!R_H_CG_V</c:name>
    <c:fmtId val="49"/>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b="1" i="0" baseline="0">
                <a:effectLst/>
              </a:rPr>
              <a:t>Hygiene Coverage VS GAP in Villages </a:t>
            </a:r>
          </a:p>
          <a:p>
            <a:pPr>
              <a:defRPr sz="1400"/>
            </a:pPr>
            <a:r>
              <a:rPr lang="en-US" sz="1400" b="1" i="0" baseline="0">
                <a:effectLst/>
              </a:rPr>
              <a:t>in Rakhine</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solidFill>
            <a:schemeClr val="accent6">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Analysis!$C$166</c:f>
              <c:strCache>
                <c:ptCount val="1"/>
                <c:pt idx="0">
                  <c:v>  % Hygiene Coverage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Analysis!$B$167:$B$171</c:f>
              <c:strCache>
                <c:ptCount val="5"/>
                <c:pt idx="0">
                  <c:v>Kyauktaw</c:v>
                </c:pt>
                <c:pt idx="1">
                  <c:v>Minbya</c:v>
                </c:pt>
                <c:pt idx="2">
                  <c:v>Myebon</c:v>
                </c:pt>
                <c:pt idx="3">
                  <c:v>Pauktaw</c:v>
                </c:pt>
                <c:pt idx="4">
                  <c:v>Sittwe</c:v>
                </c:pt>
              </c:strCache>
            </c:strRef>
          </c:cat>
          <c:val>
            <c:numRef>
              <c:f>Analysis!$C$167:$C$171</c:f>
              <c:numCache>
                <c:formatCode>0%</c:formatCode>
                <c:ptCount val="5"/>
                <c:pt idx="0">
                  <c:v>0</c:v>
                </c:pt>
                <c:pt idx="1">
                  <c:v>0</c:v>
                </c:pt>
                <c:pt idx="2">
                  <c:v>1</c:v>
                </c:pt>
                <c:pt idx="3">
                  <c:v>0.27932379713914174</c:v>
                </c:pt>
                <c:pt idx="4">
                  <c:v>0.28558781869688388</c:v>
                </c:pt>
              </c:numCache>
            </c:numRef>
          </c:val>
          <c:extLst>
            <c:ext xmlns:c16="http://schemas.microsoft.com/office/drawing/2014/chart" uri="{C3380CC4-5D6E-409C-BE32-E72D297353CC}">
              <c16:uniqueId val="{00000000-40A2-448B-BDAB-C901EA89DC43}"/>
            </c:ext>
          </c:extLst>
        </c:ser>
        <c:ser>
          <c:idx val="1"/>
          <c:order val="1"/>
          <c:tx>
            <c:strRef>
              <c:f>Analysis!$D$166</c:f>
              <c:strCache>
                <c:ptCount val="1"/>
                <c:pt idx="0">
                  <c:v>  % Hygiene Gap</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Analysis!$B$167:$B$171</c:f>
              <c:strCache>
                <c:ptCount val="5"/>
                <c:pt idx="0">
                  <c:v>Kyauktaw</c:v>
                </c:pt>
                <c:pt idx="1">
                  <c:v>Minbya</c:v>
                </c:pt>
                <c:pt idx="2">
                  <c:v>Myebon</c:v>
                </c:pt>
                <c:pt idx="3">
                  <c:v>Pauktaw</c:v>
                </c:pt>
                <c:pt idx="4">
                  <c:v>Sittwe</c:v>
                </c:pt>
              </c:strCache>
            </c:strRef>
          </c:cat>
          <c:val>
            <c:numRef>
              <c:f>Analysis!$D$167:$D$171</c:f>
              <c:numCache>
                <c:formatCode>0%</c:formatCode>
                <c:ptCount val="5"/>
                <c:pt idx="0">
                  <c:v>1</c:v>
                </c:pt>
                <c:pt idx="1">
                  <c:v>1</c:v>
                </c:pt>
                <c:pt idx="2">
                  <c:v>0</c:v>
                </c:pt>
                <c:pt idx="3">
                  <c:v>0.72067620286085821</c:v>
                </c:pt>
                <c:pt idx="4">
                  <c:v>0.71441218130311612</c:v>
                </c:pt>
              </c:numCache>
            </c:numRef>
          </c:val>
          <c:extLst>
            <c:ext xmlns:c16="http://schemas.microsoft.com/office/drawing/2014/chart" uri="{C3380CC4-5D6E-409C-BE32-E72D297353CC}">
              <c16:uniqueId val="{00000001-40A2-448B-BDAB-C901EA89DC43}"/>
            </c:ext>
          </c:extLst>
        </c:ser>
        <c:dLbls>
          <c:dLblPos val="ctr"/>
          <c:showLegendKey val="0"/>
          <c:showVal val="1"/>
          <c:showCatName val="0"/>
          <c:showSerName val="0"/>
          <c:showPercent val="0"/>
          <c:showBubbleSize val="0"/>
        </c:dLbls>
        <c:gapWidth val="150"/>
        <c:overlap val="100"/>
        <c:axId val="415867648"/>
        <c:axId val="415867256"/>
      </c:barChart>
      <c:catAx>
        <c:axId val="4158676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2"/>
                </a:solidFill>
                <a:latin typeface="+mn-lt"/>
                <a:ea typeface="+mn-ea"/>
                <a:cs typeface="+mn-cs"/>
              </a:defRPr>
            </a:pPr>
            <a:endParaRPr lang="en-US"/>
          </a:p>
        </c:txPr>
        <c:crossAx val="415867256"/>
        <c:crosses val="autoZero"/>
        <c:auto val="1"/>
        <c:lblAlgn val="ctr"/>
        <c:lblOffset val="100"/>
        <c:noMultiLvlLbl val="0"/>
      </c:catAx>
      <c:valAx>
        <c:axId val="41586725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crossAx val="415867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[20200720_Myanmar_WASH_4W_2020_Q2_All_Village_Consolidate.xlsx]Analysis!PivotTable2</c:name>
    <c:fmtId val="12"/>
  </c:pivotSource>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 village with school</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rgbClr val="7030A0"/>
          </a:solidFill>
          <a:ln>
            <a:noFill/>
          </a:ln>
          <a:effectLst/>
        </c:spPr>
      </c:pivotFmt>
      <c:pivotFmt>
        <c:idx val="2"/>
        <c:spPr>
          <a:solidFill>
            <a:srgbClr val="E4B6E4"/>
          </a:solidFill>
          <a:ln>
            <a:noFill/>
          </a:ln>
          <a:effectLst/>
        </c:spPr>
      </c:pivotFmt>
    </c:pivotFmts>
    <c:plotArea>
      <c:layout>
        <c:manualLayout>
          <c:layoutTarget val="inner"/>
          <c:xMode val="edge"/>
          <c:yMode val="edge"/>
          <c:x val="0.30256167979002624"/>
          <c:y val="0.19226669582968794"/>
          <c:w val="0.41987685914260719"/>
          <c:h val="0.69979476523767858"/>
        </c:manualLayout>
      </c:layout>
      <c:pieChart>
        <c:varyColors val="1"/>
        <c:ser>
          <c:idx val="0"/>
          <c:order val="0"/>
          <c:tx>
            <c:strRef>
              <c:f>Analysis!$D$285</c:f>
              <c:strCache>
                <c:ptCount val="1"/>
                <c:pt idx="0">
                  <c:v>Total</c:v>
                </c:pt>
              </c:strCache>
            </c:strRef>
          </c:tx>
          <c:dPt>
            <c:idx val="0"/>
            <c:bubble3D val="0"/>
            <c:spPr>
              <a:solidFill>
                <a:srgbClr val="7030A0"/>
              </a:solidFill>
              <a:ln>
                <a:noFill/>
              </a:ln>
              <a:effectLst/>
            </c:spPr>
            <c:extLst>
              <c:ext xmlns:c16="http://schemas.microsoft.com/office/drawing/2014/chart" uri="{C3380CC4-5D6E-409C-BE32-E72D297353CC}">
                <c16:uniqueId val="{00000001-AD6D-4237-846D-0BB2B7C55C83}"/>
              </c:ext>
            </c:extLst>
          </c:dPt>
          <c:dPt>
            <c:idx val="1"/>
            <c:bubble3D val="0"/>
            <c:spPr>
              <a:solidFill>
                <a:srgbClr val="E4B6E4"/>
              </a:solidFill>
              <a:ln>
                <a:noFill/>
              </a:ln>
              <a:effectLst/>
            </c:spPr>
            <c:extLst>
              <c:ext xmlns:c16="http://schemas.microsoft.com/office/drawing/2014/chart" uri="{C3380CC4-5D6E-409C-BE32-E72D297353CC}">
                <c16:uniqueId val="{00000002-AD6D-4237-846D-0BB2B7C55C8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Analysis!$C$286:$C$287</c:f>
              <c:strCache>
                <c:ptCount val="2"/>
                <c:pt idx="0">
                  <c:v>Yes</c:v>
                </c:pt>
                <c:pt idx="1">
                  <c:v>No</c:v>
                </c:pt>
              </c:strCache>
            </c:strRef>
          </c:cat>
          <c:val>
            <c:numRef>
              <c:f>Analysis!$D$286:$D$287</c:f>
              <c:numCache>
                <c:formatCode>_(* #,##0_);_(* \(#,##0\);_(* "-"??_);_(@_)</c:formatCode>
                <c:ptCount val="2"/>
                <c:pt idx="0">
                  <c:v>39</c:v>
                </c:pt>
                <c:pt idx="1">
                  <c:v>136</c:v>
                </c:pt>
              </c:numCache>
            </c:numRef>
          </c:val>
          <c:extLst>
            <c:ext xmlns:c16="http://schemas.microsoft.com/office/drawing/2014/chart" uri="{C3380CC4-5D6E-409C-BE32-E72D297353CC}">
              <c16:uniqueId val="{00000000-AD6D-4237-846D-0BB2B7C55C83}"/>
            </c:ext>
          </c:extLst>
        </c:ser>
        <c:dLbls>
          <c:showLegendKey val="0"/>
          <c:showVal val="0"/>
          <c:showCatName val="0"/>
          <c:showSerName val="0"/>
          <c:showPercent val="0"/>
          <c:showBubbleSize val="0"/>
          <c:showLeaderLines val="1"/>
        </c:dLbls>
        <c:firstSliceAng val="0"/>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withinLinear" id="15">
  <a:schemeClr val="accent2"/>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6.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33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4.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5.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2" Type="http://schemas.openxmlformats.org/officeDocument/2006/relationships/chart" Target="../charts/chart4.xml"/><Relationship Id="rId16" Type="http://schemas.openxmlformats.org/officeDocument/2006/relationships/chart" Target="../charts/chart18.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oneCellAnchor>
    <xdr:from>
      <xdr:col>1</xdr:col>
      <xdr:colOff>3463</xdr:colOff>
      <xdr:row>73</xdr:row>
      <xdr:rowOff>562841</xdr:rowOff>
    </xdr:from>
    <xdr:ext cx="7246792" cy="2009775"/>
    <xdr:pic>
      <xdr:nvPicPr>
        <xdr:cNvPr id="2" name="Picture 1">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41" t="75523" r="23568" b="3741"/>
        <a:stretch/>
      </xdr:blipFill>
      <xdr:spPr bwMode="auto">
        <a:xfrm>
          <a:off x="470188" y="47321066"/>
          <a:ext cx="7246792" cy="20097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199608</xdr:colOff>
      <xdr:row>53</xdr:row>
      <xdr:rowOff>117315</xdr:rowOff>
    </xdr:from>
    <xdr:to>
      <xdr:col>13</xdr:col>
      <xdr:colOff>139390</xdr:colOff>
      <xdr:row>65</xdr:row>
      <xdr:rowOff>18585</xdr:rowOff>
    </xdr:to>
    <xdr:graphicFrame macro="">
      <xdr:nvGraphicFramePr>
        <xdr:cNvPr id="20" name="Chart 19">
          <a:extLst>
            <a:ext uri="{FF2B5EF4-FFF2-40B4-BE49-F238E27FC236}">
              <a16:creationId xmlns:a16="http://schemas.microsoft.com/office/drawing/2014/main" id="{00000000-0008-0000-07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190501</xdr:colOff>
      <xdr:row>10</xdr:row>
      <xdr:rowOff>114827</xdr:rowOff>
    </xdr:from>
    <xdr:to>
      <xdr:col>22</xdr:col>
      <xdr:colOff>688975</xdr:colOff>
      <xdr:row>45</xdr:row>
      <xdr:rowOff>89957</xdr:rowOff>
    </xdr:to>
    <xdr:graphicFrame macro="">
      <xdr:nvGraphicFramePr>
        <xdr:cNvPr id="10" name="Chart 9">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862012</xdr:colOff>
      <xdr:row>211</xdr:row>
      <xdr:rowOff>142875</xdr:rowOff>
    </xdr:from>
    <xdr:to>
      <xdr:col>14</xdr:col>
      <xdr:colOff>873247</xdr:colOff>
      <xdr:row>220</xdr:row>
      <xdr:rowOff>111064</xdr:rowOff>
    </xdr:to>
    <mc:AlternateContent xmlns:mc="http://schemas.openxmlformats.org/markup-compatibility/2006" xmlns:a14="http://schemas.microsoft.com/office/drawing/2010/main">
      <mc:Choice Requires="a14">
        <xdr:graphicFrame macro="">
          <xdr:nvGraphicFramePr>
            <xdr:cNvPr id="3" name="State">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15411450" y="62793563"/>
              <a:ext cx="1830300" cy="15525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1028333</xdr:colOff>
      <xdr:row>71</xdr:row>
      <xdr:rowOff>13902</xdr:rowOff>
    </xdr:from>
    <xdr:to>
      <xdr:col>6</xdr:col>
      <xdr:colOff>48173</xdr:colOff>
      <xdr:row>84</xdr:row>
      <xdr:rowOff>24602</xdr:rowOff>
    </xdr:to>
    <xdr:graphicFrame macro="">
      <xdr:nvGraphicFramePr>
        <xdr:cNvPr id="8" name="Chart 7">
          <a:extLst>
            <a:ext uri="{FF2B5EF4-FFF2-40B4-BE49-F238E27FC236}">
              <a16:creationId xmlns:a16="http://schemas.microsoft.com/office/drawing/2014/main" id="{00000000-0008-0000-08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450351</xdr:colOff>
      <xdr:row>264</xdr:row>
      <xdr:rowOff>170273</xdr:rowOff>
    </xdr:from>
    <xdr:to>
      <xdr:col>7</xdr:col>
      <xdr:colOff>177337</xdr:colOff>
      <xdr:row>278</xdr:row>
      <xdr:rowOff>113123</xdr:rowOff>
    </xdr:to>
    <xdr:graphicFrame macro="">
      <xdr:nvGraphicFramePr>
        <xdr:cNvPr id="50" name="Chart 49">
          <a:extLst>
            <a:ext uri="{FF2B5EF4-FFF2-40B4-BE49-F238E27FC236}">
              <a16:creationId xmlns:a16="http://schemas.microsoft.com/office/drawing/2014/main" id="{00000000-0008-0000-08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36295</xdr:colOff>
      <xdr:row>182</xdr:row>
      <xdr:rowOff>187471</xdr:rowOff>
    </xdr:from>
    <xdr:to>
      <xdr:col>6</xdr:col>
      <xdr:colOff>4188</xdr:colOff>
      <xdr:row>200</xdr:row>
      <xdr:rowOff>32220</xdr:rowOff>
    </xdr:to>
    <xdr:graphicFrame macro="">
      <xdr:nvGraphicFramePr>
        <xdr:cNvPr id="55" name="Chart 54">
          <a:extLst>
            <a:ext uri="{FF2B5EF4-FFF2-40B4-BE49-F238E27FC236}">
              <a16:creationId xmlns:a16="http://schemas.microsoft.com/office/drawing/2014/main" id="{00000000-0008-0000-08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858795</xdr:colOff>
      <xdr:row>46</xdr:row>
      <xdr:rowOff>99719</xdr:rowOff>
    </xdr:from>
    <xdr:to>
      <xdr:col>9</xdr:col>
      <xdr:colOff>716812</xdr:colOff>
      <xdr:row>62</xdr:row>
      <xdr:rowOff>115823</xdr:rowOff>
    </xdr:to>
    <xdr:graphicFrame macro="">
      <xdr:nvGraphicFramePr>
        <xdr:cNvPr id="26" name="Chart 25">
          <a:extLst>
            <a:ext uri="{FF2B5EF4-FFF2-40B4-BE49-F238E27FC236}">
              <a16:creationId xmlns:a16="http://schemas.microsoft.com/office/drawing/2014/main" id="{00000000-0008-0000-08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204996</xdr:colOff>
      <xdr:row>97</xdr:row>
      <xdr:rowOff>155515</xdr:rowOff>
    </xdr:from>
    <xdr:to>
      <xdr:col>8</xdr:col>
      <xdr:colOff>1209353</xdr:colOff>
      <xdr:row>111</xdr:row>
      <xdr:rowOff>128427</xdr:rowOff>
    </xdr:to>
    <xdr:graphicFrame macro="">
      <xdr:nvGraphicFramePr>
        <xdr:cNvPr id="53" name="Chart 52">
          <a:extLst>
            <a:ext uri="{FF2B5EF4-FFF2-40B4-BE49-F238E27FC236}">
              <a16:creationId xmlns:a16="http://schemas.microsoft.com/office/drawing/2014/main" id="{00000000-0008-0000-0800-00003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303640</xdr:colOff>
      <xdr:row>161</xdr:row>
      <xdr:rowOff>121782</xdr:rowOff>
    </xdr:from>
    <xdr:to>
      <xdr:col>9</xdr:col>
      <xdr:colOff>684319</xdr:colOff>
      <xdr:row>178</xdr:row>
      <xdr:rowOff>148692</xdr:rowOff>
    </xdr:to>
    <xdr:graphicFrame macro="">
      <xdr:nvGraphicFramePr>
        <xdr:cNvPr id="59" name="Chart 58">
          <a:extLst>
            <a:ext uri="{FF2B5EF4-FFF2-40B4-BE49-F238E27FC236}">
              <a16:creationId xmlns:a16="http://schemas.microsoft.com/office/drawing/2014/main" id="{00000000-0008-0000-0800-00003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15</xdr:col>
      <xdr:colOff>293327</xdr:colOff>
      <xdr:row>211</xdr:row>
      <xdr:rowOff>160627</xdr:rowOff>
    </xdr:from>
    <xdr:to>
      <xdr:col>16</xdr:col>
      <xdr:colOff>948048</xdr:colOff>
      <xdr:row>224</xdr:row>
      <xdr:rowOff>34260</xdr:rowOff>
    </xdr:to>
    <mc:AlternateContent xmlns:mc="http://schemas.openxmlformats.org/markup-compatibility/2006" xmlns:a14="http://schemas.microsoft.com/office/drawing/2010/main">
      <mc:Choice Requires="a14">
        <xdr:graphicFrame macro="">
          <xdr:nvGraphicFramePr>
            <xdr:cNvPr id="21" name="Type of accommodation">
              <a:extLst>
                <a:ext uri="{FF2B5EF4-FFF2-40B4-BE49-F238E27FC236}">
                  <a16:creationId xmlns:a16="http://schemas.microsoft.com/office/drawing/2014/main" id="{00000000-0008-0000-0800-000015000000}"/>
                </a:ext>
              </a:extLst>
            </xdr:cNvPr>
            <xdr:cNvGraphicFramePr/>
          </xdr:nvGraphicFramePr>
          <xdr:xfrm>
            <a:off x="0" y="0"/>
            <a:ext cx="0" cy="0"/>
          </xdr:xfrm>
          <a:graphic>
            <a:graphicData uri="http://schemas.microsoft.com/office/drawing/2010/slicer">
              <sle:slicer xmlns:sle="http://schemas.microsoft.com/office/drawing/2010/slicer" name="Type of accommodation"/>
            </a:graphicData>
          </a:graphic>
        </xdr:graphicFrame>
      </mc:Choice>
      <mc:Fallback xmlns="">
        <xdr:sp macro="" textlink="">
          <xdr:nvSpPr>
            <xdr:cNvPr id="0" name=""/>
            <xdr:cNvSpPr>
              <a:spLocks noTextEdit="1"/>
            </xdr:cNvSpPr>
          </xdr:nvSpPr>
          <xdr:spPr>
            <a:xfrm>
              <a:off x="16139463" y="66835627"/>
              <a:ext cx="1830964" cy="245441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4</xdr:col>
      <xdr:colOff>246151</xdr:colOff>
      <xdr:row>279</xdr:row>
      <xdr:rowOff>117724</xdr:rowOff>
    </xdr:from>
    <xdr:to>
      <xdr:col>6</xdr:col>
      <xdr:colOff>612544</xdr:colOff>
      <xdr:row>293</xdr:row>
      <xdr:rowOff>58434</xdr:rowOff>
    </xdr:to>
    <xdr:graphicFrame macro="">
      <xdr:nvGraphicFramePr>
        <xdr:cNvPr id="65" name="Chart 64">
          <a:extLst>
            <a:ext uri="{FF2B5EF4-FFF2-40B4-BE49-F238E27FC236}">
              <a16:creationId xmlns:a16="http://schemas.microsoft.com/office/drawing/2014/main" id="{A65B861A-2F65-49FE-BCC4-94FD95CC2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528691</xdr:colOff>
      <xdr:row>80</xdr:row>
      <xdr:rowOff>46446</xdr:rowOff>
    </xdr:from>
    <xdr:to>
      <xdr:col>15</xdr:col>
      <xdr:colOff>177658</xdr:colOff>
      <xdr:row>92</xdr:row>
      <xdr:rowOff>156893</xdr:rowOff>
    </xdr:to>
    <xdr:graphicFrame macro="">
      <xdr:nvGraphicFramePr>
        <xdr:cNvPr id="5" name="Chart 4">
          <a:extLst>
            <a:ext uri="{FF2B5EF4-FFF2-40B4-BE49-F238E27FC236}">
              <a16:creationId xmlns:a16="http://schemas.microsoft.com/office/drawing/2014/main" id="{A3CDD157-CD7C-4BC7-9267-0D16EEF652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223816</xdr:colOff>
      <xdr:row>114</xdr:row>
      <xdr:rowOff>112122</xdr:rowOff>
    </xdr:from>
    <xdr:to>
      <xdr:col>10</xdr:col>
      <xdr:colOff>797456</xdr:colOff>
      <xdr:row>126</xdr:row>
      <xdr:rowOff>145172</xdr:rowOff>
    </xdr:to>
    <xdr:graphicFrame macro="">
      <xdr:nvGraphicFramePr>
        <xdr:cNvPr id="7" name="Chart 6">
          <a:extLst>
            <a:ext uri="{FF2B5EF4-FFF2-40B4-BE49-F238E27FC236}">
              <a16:creationId xmlns:a16="http://schemas.microsoft.com/office/drawing/2014/main" id="{A591B72E-8E29-4CE6-8829-F87476CDFF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725926</xdr:colOff>
      <xdr:row>145</xdr:row>
      <xdr:rowOff>173968</xdr:rowOff>
    </xdr:from>
    <xdr:to>
      <xdr:col>6</xdr:col>
      <xdr:colOff>405930</xdr:colOff>
      <xdr:row>159</xdr:row>
      <xdr:rowOff>115824</xdr:rowOff>
    </xdr:to>
    <xdr:graphicFrame macro="">
      <xdr:nvGraphicFramePr>
        <xdr:cNvPr id="9" name="Chart 8">
          <a:extLst>
            <a:ext uri="{FF2B5EF4-FFF2-40B4-BE49-F238E27FC236}">
              <a16:creationId xmlns:a16="http://schemas.microsoft.com/office/drawing/2014/main" id="{8FA9050C-C9CE-47DE-98AF-DAEB79AF5C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1109004</xdr:colOff>
      <xdr:row>131</xdr:row>
      <xdr:rowOff>24213</xdr:rowOff>
    </xdr:from>
    <xdr:to>
      <xdr:col>9</xdr:col>
      <xdr:colOff>6671</xdr:colOff>
      <xdr:row>145</xdr:row>
      <xdr:rowOff>13460</xdr:rowOff>
    </xdr:to>
    <xdr:graphicFrame macro="">
      <xdr:nvGraphicFramePr>
        <xdr:cNvPr id="2" name="Chart 1">
          <a:extLst>
            <a:ext uri="{FF2B5EF4-FFF2-40B4-BE49-F238E27FC236}">
              <a16:creationId xmlns:a16="http://schemas.microsoft.com/office/drawing/2014/main" id="{59185517-18D5-4F5B-AE70-F0B02F977F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242047</xdr:colOff>
      <xdr:row>112</xdr:row>
      <xdr:rowOff>147918</xdr:rowOff>
    </xdr:from>
    <xdr:to>
      <xdr:col>22</xdr:col>
      <xdr:colOff>1075765</xdr:colOff>
      <xdr:row>126</xdr:row>
      <xdr:rowOff>129988</xdr:rowOff>
    </xdr:to>
    <xdr:graphicFrame macro="">
      <xdr:nvGraphicFramePr>
        <xdr:cNvPr id="4" name="Chart 3">
          <a:extLst>
            <a:ext uri="{FF2B5EF4-FFF2-40B4-BE49-F238E27FC236}">
              <a16:creationId xmlns:a16="http://schemas.microsoft.com/office/drawing/2014/main" id="{B66E439D-77D1-4918-AF92-57EC301D0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62752</xdr:colOff>
      <xdr:row>79</xdr:row>
      <xdr:rowOff>49307</xdr:rowOff>
    </xdr:from>
    <xdr:to>
      <xdr:col>19</xdr:col>
      <xdr:colOff>770964</xdr:colOff>
      <xdr:row>93</xdr:row>
      <xdr:rowOff>31377</xdr:rowOff>
    </xdr:to>
    <xdr:graphicFrame macro="">
      <xdr:nvGraphicFramePr>
        <xdr:cNvPr id="6" name="Chart 5">
          <a:extLst>
            <a:ext uri="{FF2B5EF4-FFF2-40B4-BE49-F238E27FC236}">
              <a16:creationId xmlns:a16="http://schemas.microsoft.com/office/drawing/2014/main" id="{A54C2601-7B13-4C2D-B2BA-8876BD98CD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860612</xdr:colOff>
      <xdr:row>148</xdr:row>
      <xdr:rowOff>67235</xdr:rowOff>
    </xdr:from>
    <xdr:to>
      <xdr:col>16</xdr:col>
      <xdr:colOff>1398494</xdr:colOff>
      <xdr:row>162</xdr:row>
      <xdr:rowOff>67235</xdr:rowOff>
    </xdr:to>
    <xdr:graphicFrame macro="">
      <xdr:nvGraphicFramePr>
        <xdr:cNvPr id="11" name="Chart 10">
          <a:extLst>
            <a:ext uri="{FF2B5EF4-FFF2-40B4-BE49-F238E27FC236}">
              <a16:creationId xmlns:a16="http://schemas.microsoft.com/office/drawing/2014/main" id="{D0C7D443-227B-4F7B-BA76-A0F498D181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304800</xdr:colOff>
      <xdr:row>28</xdr:row>
      <xdr:rowOff>76200</xdr:rowOff>
    </xdr:from>
    <xdr:to>
      <xdr:col>17</xdr:col>
      <xdr:colOff>1210236</xdr:colOff>
      <xdr:row>42</xdr:row>
      <xdr:rowOff>76200</xdr:rowOff>
    </xdr:to>
    <xdr:graphicFrame macro="">
      <xdr:nvGraphicFramePr>
        <xdr:cNvPr id="10" name="Chart 9">
          <a:extLst>
            <a:ext uri="{FF2B5EF4-FFF2-40B4-BE49-F238E27FC236}">
              <a16:creationId xmlns:a16="http://schemas.microsoft.com/office/drawing/2014/main" id="{E3D84015-3929-4203-990C-E53C82BEBA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1165411</xdr:colOff>
      <xdr:row>29</xdr:row>
      <xdr:rowOff>112060</xdr:rowOff>
    </xdr:from>
    <xdr:to>
      <xdr:col>8</xdr:col>
      <xdr:colOff>421340</xdr:colOff>
      <xdr:row>43</xdr:row>
      <xdr:rowOff>129989</xdr:rowOff>
    </xdr:to>
    <xdr:graphicFrame macro="">
      <xdr:nvGraphicFramePr>
        <xdr:cNvPr id="12" name="Chart 11">
          <a:extLst>
            <a:ext uri="{FF2B5EF4-FFF2-40B4-BE49-F238E27FC236}">
              <a16:creationId xmlns:a16="http://schemas.microsoft.com/office/drawing/2014/main" id="{5E66DD97-336E-45C3-8E35-C0DDE3EE47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12</xdr:col>
      <xdr:colOff>884144</xdr:colOff>
      <xdr:row>221</xdr:row>
      <xdr:rowOff>68917</xdr:rowOff>
    </xdr:from>
    <xdr:to>
      <xdr:col>14</xdr:col>
      <xdr:colOff>875179</xdr:colOff>
      <xdr:row>225</xdr:row>
      <xdr:rowOff>179295</xdr:rowOff>
    </xdr:to>
    <mc:AlternateContent xmlns:mc="http://schemas.openxmlformats.org/markup-compatibility/2006" xmlns:a14="http://schemas.microsoft.com/office/drawing/2010/main">
      <mc:Choice Requires="a14">
        <xdr:graphicFrame macro="">
          <xdr:nvGraphicFramePr>
            <xdr:cNvPr id="13" name="Covered">
              <a:extLst>
                <a:ext uri="{FF2B5EF4-FFF2-40B4-BE49-F238E27FC236}">
                  <a16:creationId xmlns:a16="http://schemas.microsoft.com/office/drawing/2014/main" id="{F4FABD60-45C3-419F-BD4C-9C4BB1596E6A}"/>
                </a:ext>
              </a:extLst>
            </xdr:cNvPr>
            <xdr:cNvGraphicFramePr/>
          </xdr:nvGraphicFramePr>
          <xdr:xfrm>
            <a:off x="0" y="0"/>
            <a:ext cx="0" cy="0"/>
          </xdr:xfrm>
          <a:graphic>
            <a:graphicData uri="http://schemas.microsoft.com/office/drawing/2010/slicer">
              <sle:slicer xmlns:sle="http://schemas.microsoft.com/office/drawing/2010/slicer" name="Covered"/>
            </a:graphicData>
          </a:graphic>
        </xdr:graphicFrame>
      </mc:Choice>
      <mc:Fallback xmlns="">
        <xdr:sp macro="" textlink="">
          <xdr:nvSpPr>
            <xdr:cNvPr id="0" name=""/>
            <xdr:cNvSpPr>
              <a:spLocks noTextEdit="1"/>
            </xdr:cNvSpPr>
          </xdr:nvSpPr>
          <xdr:spPr>
            <a:xfrm>
              <a:off x="16023291" y="44309741"/>
              <a:ext cx="1828800" cy="9172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8</xdr:col>
      <xdr:colOff>500062</xdr:colOff>
      <xdr:row>0</xdr:row>
      <xdr:rowOff>64820</xdr:rowOff>
    </xdr:from>
    <xdr:to>
      <xdr:col>24</xdr:col>
      <xdr:colOff>107156</xdr:colOff>
      <xdr:row>95</xdr:row>
      <xdr:rowOff>130969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38100</xdr:rowOff>
    </xdr:from>
    <xdr:to>
      <xdr:col>0</xdr:col>
      <xdr:colOff>1828800</xdr:colOff>
      <xdr:row>9</xdr:row>
      <xdr:rowOff>2963</xdr:rowOff>
    </xdr:to>
    <mc:AlternateContent xmlns:mc="http://schemas.openxmlformats.org/markup-compatibility/2006" xmlns:a14="http://schemas.microsoft.com/office/drawing/2010/main">
      <mc:Choice Requires="a14">
        <xdr:graphicFrame macro="">
          <xdr:nvGraphicFramePr>
            <xdr:cNvPr id="4" name="State 1">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microsoft.com/office/drawing/2010/slicer">
              <sle:slicer xmlns:sle="http://schemas.microsoft.com/office/drawing/2010/slicer" name="State 1"/>
            </a:graphicData>
          </a:graphic>
        </xdr:graphicFrame>
      </mc:Choice>
      <mc:Fallback xmlns="">
        <xdr:sp macro="" textlink="">
          <xdr:nvSpPr>
            <xdr:cNvPr id="0" name=""/>
            <xdr:cNvSpPr>
              <a:spLocks noTextEdit="1"/>
            </xdr:cNvSpPr>
          </xdr:nvSpPr>
          <xdr:spPr>
            <a:xfrm>
              <a:off x="0" y="38100"/>
              <a:ext cx="1828800" cy="146473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1257300</xdr:colOff>
      <xdr:row>0</xdr:row>
      <xdr:rowOff>9525</xdr:rowOff>
    </xdr:from>
    <xdr:to>
      <xdr:col>8</xdr:col>
      <xdr:colOff>302101</xdr:colOff>
      <xdr:row>25</xdr:row>
      <xdr:rowOff>147743</xdr:rowOff>
    </xdr:to>
    <mc:AlternateContent xmlns:mc="http://schemas.openxmlformats.org/markup-compatibility/2006" xmlns:a14="http://schemas.microsoft.com/office/drawing/2010/main">
      <mc:Choice Requires="a14">
        <xdr:graphicFrame macro="">
          <xdr:nvGraphicFramePr>
            <xdr:cNvPr id="5" name="Township">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microsoft.com/office/drawing/2010/slicer">
              <sle:slicer xmlns:sle="http://schemas.microsoft.com/office/drawing/2010/slicer" name="Township"/>
            </a:graphicData>
          </a:graphic>
        </xdr:graphicFrame>
      </mc:Choice>
      <mc:Fallback xmlns="">
        <xdr:sp macro="" textlink="">
          <xdr:nvSpPr>
            <xdr:cNvPr id="0" name=""/>
            <xdr:cNvSpPr>
              <a:spLocks noTextEdit="1"/>
            </xdr:cNvSpPr>
          </xdr:nvSpPr>
          <xdr:spPr>
            <a:xfrm>
              <a:off x="4897967" y="9525"/>
              <a:ext cx="1822450" cy="515514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397933</xdr:colOff>
      <xdr:row>0</xdr:row>
      <xdr:rowOff>114566</xdr:rowOff>
    </xdr:from>
    <xdr:to>
      <xdr:col>27</xdr:col>
      <xdr:colOff>156528</xdr:colOff>
      <xdr:row>9</xdr:row>
      <xdr:rowOff>73291</xdr:rowOff>
    </xdr:to>
    <mc:AlternateContent xmlns:mc="http://schemas.openxmlformats.org/markup-compatibility/2006" xmlns:a14="http://schemas.microsoft.com/office/drawing/2010/main">
      <mc:Choice Requires="a14">
        <xdr:graphicFrame macro="">
          <xdr:nvGraphicFramePr>
            <xdr:cNvPr id="7" name="Reporting Period">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microsoft.com/office/drawing/2010/slicer">
              <sle:slicer xmlns:sle="http://schemas.microsoft.com/office/drawing/2010/slicer" name="Reporting Period"/>
            </a:graphicData>
          </a:graphic>
        </xdr:graphicFrame>
      </mc:Choice>
      <mc:Fallback xmlns="">
        <xdr:sp macro="" textlink="">
          <xdr:nvSpPr>
            <xdr:cNvPr id="0" name=""/>
            <xdr:cNvSpPr>
              <a:spLocks noTextEdit="1"/>
            </xdr:cNvSpPr>
          </xdr:nvSpPr>
          <xdr:spPr>
            <a:xfrm>
              <a:off x="17650089" y="114566"/>
              <a:ext cx="1834092" cy="176133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9</xdr:row>
      <xdr:rowOff>105833</xdr:rowOff>
    </xdr:from>
    <xdr:to>
      <xdr:col>2</xdr:col>
      <xdr:colOff>184256</xdr:colOff>
      <xdr:row>24</xdr:row>
      <xdr:rowOff>118745</xdr:rowOff>
    </xdr:to>
    <mc:AlternateContent xmlns:mc="http://schemas.openxmlformats.org/markup-compatibility/2006" xmlns:a14="http://schemas.microsoft.com/office/drawing/2010/main">
      <mc:Choice Requires="a14">
        <xdr:graphicFrame macro="">
          <xdr:nvGraphicFramePr>
            <xdr:cNvPr id="3" name="WASH project agency">
              <a:extLst>
                <a:ext uri="{FF2B5EF4-FFF2-40B4-BE49-F238E27FC236}">
                  <a16:creationId xmlns:a16="http://schemas.microsoft.com/office/drawing/2014/main" id="{A0F92203-03F6-4917-8104-9294848FC898}"/>
                </a:ext>
              </a:extLst>
            </xdr:cNvPr>
            <xdr:cNvGraphicFramePr/>
          </xdr:nvGraphicFramePr>
          <xdr:xfrm>
            <a:off x="0" y="0"/>
            <a:ext cx="0" cy="0"/>
          </xdr:xfrm>
          <a:graphic>
            <a:graphicData uri="http://schemas.microsoft.com/office/drawing/2010/slicer">
              <sle:slicer xmlns:sle="http://schemas.microsoft.com/office/drawing/2010/slicer" name="WASH project agency"/>
            </a:graphicData>
          </a:graphic>
        </xdr:graphicFrame>
      </mc:Choice>
      <mc:Fallback xmlns="">
        <xdr:sp macro="" textlink="">
          <xdr:nvSpPr>
            <xdr:cNvPr id="0" name=""/>
            <xdr:cNvSpPr>
              <a:spLocks noTextEdit="1"/>
            </xdr:cNvSpPr>
          </xdr:nvSpPr>
          <xdr:spPr>
            <a:xfrm>
              <a:off x="0" y="1915583"/>
              <a:ext cx="4169832" cy="30374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1902884</xdr:colOff>
      <xdr:row>0</xdr:row>
      <xdr:rowOff>0</xdr:rowOff>
    </xdr:from>
    <xdr:to>
      <xdr:col>2</xdr:col>
      <xdr:colOff>145734</xdr:colOff>
      <xdr:row>9</xdr:row>
      <xdr:rowOff>0</xdr:rowOff>
    </xdr:to>
    <mc:AlternateContent xmlns:mc="http://schemas.openxmlformats.org/markup-compatibility/2006" xmlns:a14="http://schemas.microsoft.com/office/drawing/2010/main">
      <mc:Choice Requires="a14">
        <xdr:graphicFrame macro="">
          <xdr:nvGraphicFramePr>
            <xdr:cNvPr id="6" name="Location Type">
              <a:extLst>
                <a:ext uri="{FF2B5EF4-FFF2-40B4-BE49-F238E27FC236}">
                  <a16:creationId xmlns:a16="http://schemas.microsoft.com/office/drawing/2014/main" id="{CC18EE75-28CB-47C4-BE2D-19C566AC9B5F}"/>
                </a:ext>
              </a:extLst>
            </xdr:cNvPr>
            <xdr:cNvGraphicFramePr/>
          </xdr:nvGraphicFramePr>
          <xdr:xfrm>
            <a:off x="0" y="0"/>
            <a:ext cx="0" cy="0"/>
          </xdr:xfrm>
          <a:graphic>
            <a:graphicData uri="http://schemas.microsoft.com/office/drawing/2010/slicer">
              <sle:slicer xmlns:sle="http://schemas.microsoft.com/office/drawing/2010/slicer" name="Location Type"/>
            </a:graphicData>
          </a:graphic>
        </xdr:graphicFrame>
      </mc:Choice>
      <mc:Fallback xmlns="">
        <xdr:sp macro="" textlink="">
          <xdr:nvSpPr>
            <xdr:cNvPr id="0" name=""/>
            <xdr:cNvSpPr>
              <a:spLocks noTextEdit="1"/>
            </xdr:cNvSpPr>
          </xdr:nvSpPr>
          <xdr:spPr>
            <a:xfrm>
              <a:off x="1902884" y="0"/>
              <a:ext cx="2224616" cy="1809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c:userShapes xmlns:c="http://schemas.openxmlformats.org/drawingml/2006/chart">
  <cdr:relSizeAnchor xmlns:cdr="http://schemas.openxmlformats.org/drawingml/2006/chartDrawing">
    <cdr:from>
      <cdr:x>0.25535</cdr:x>
      <cdr:y>0.01003</cdr:y>
    </cdr:from>
    <cdr:to>
      <cdr:x>0.41195</cdr:x>
      <cdr:y>0.07103</cdr:y>
    </cdr:to>
    <cdr:sp macro="" textlink="'Quarterly Dashboard'!$B$27">
      <cdr:nvSpPr>
        <cdr:cNvPr id="2" name="Rectangle 1"/>
        <cdr:cNvSpPr/>
      </cdr:nvSpPr>
      <cdr:spPr>
        <a:xfrm xmlns:a="http://schemas.openxmlformats.org/drawingml/2006/main">
          <a:off x="2721062" y="57155"/>
          <a:ext cx="1668745" cy="34756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r"/>
          <a:fld id="{9251A8C9-7CE7-43F0-A181-4FA5540E608E}" type="TxLink">
            <a:rPr lang="en-US" sz="1800" b="1" i="0" u="none" strike="noStrike">
              <a:solidFill>
                <a:srgbClr val="44546A"/>
              </a:solidFill>
              <a:latin typeface="Calibri"/>
            </a:rPr>
            <a:pPr algn="r"/>
            <a:t>(All)</a:t>
          </a:fld>
          <a:endParaRPr lang="en-US" sz="1600" b="1">
            <a:solidFill>
              <a:srgbClr val="44546A"/>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2</xdr:colOff>
      <xdr:row>66</xdr:row>
      <xdr:rowOff>166153</xdr:rowOff>
    </xdr:from>
    <xdr:to>
      <xdr:col>6</xdr:col>
      <xdr:colOff>1112175</xdr:colOff>
      <xdr:row>80</xdr:row>
      <xdr:rowOff>74082</xdr:rowOff>
    </xdr:to>
    <xdr:graphicFrame macro="">
      <xdr:nvGraphicFramePr>
        <xdr:cNvPr id="3" name="Chart 2">
          <a:extLst>
            <a:ext uri="{FF2B5EF4-FFF2-40B4-BE49-F238E27FC236}">
              <a16:creationId xmlns:a16="http://schemas.microsoft.com/office/drawing/2014/main" id="{EA2A8E97-86AB-4F63-B9A4-12010E85F3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89171</xdr:colOff>
      <xdr:row>1</xdr:row>
      <xdr:rowOff>74346</xdr:rowOff>
    </xdr:from>
    <xdr:to>
      <xdr:col>16</xdr:col>
      <xdr:colOff>1598084</xdr:colOff>
      <xdr:row>3</xdr:row>
      <xdr:rowOff>122606</xdr:rowOff>
    </xdr:to>
    <xdr:sp macro="" textlink="">
      <xdr:nvSpPr>
        <xdr:cNvPr id="5" name="Rectangle 4">
          <a:extLst>
            <a:ext uri="{FF2B5EF4-FFF2-40B4-BE49-F238E27FC236}">
              <a16:creationId xmlns:a16="http://schemas.microsoft.com/office/drawing/2014/main" id="{15705A93-F883-4E40-A2AB-B49B87B38775}"/>
            </a:ext>
          </a:extLst>
        </xdr:cNvPr>
        <xdr:cNvSpPr/>
      </xdr:nvSpPr>
      <xdr:spPr>
        <a:xfrm>
          <a:off x="6830754" y="571763"/>
          <a:ext cx="7541413" cy="3657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WATER Quantity                                                                                                                               </a:t>
          </a:r>
        </a:p>
      </xdr:txBody>
    </xdr:sp>
    <xdr:clientData/>
  </xdr:twoCellAnchor>
  <xdr:twoCellAnchor>
    <xdr:from>
      <xdr:col>7</xdr:col>
      <xdr:colOff>64378</xdr:colOff>
      <xdr:row>23</xdr:row>
      <xdr:rowOff>59400</xdr:rowOff>
    </xdr:from>
    <xdr:to>
      <xdr:col>16</xdr:col>
      <xdr:colOff>1598083</xdr:colOff>
      <xdr:row>25</xdr:row>
      <xdr:rowOff>107660</xdr:rowOff>
    </xdr:to>
    <xdr:sp macro="" textlink="">
      <xdr:nvSpPr>
        <xdr:cNvPr id="6" name="TextBox 5">
          <a:extLst>
            <a:ext uri="{FF2B5EF4-FFF2-40B4-BE49-F238E27FC236}">
              <a16:creationId xmlns:a16="http://schemas.microsoft.com/office/drawing/2014/main" id="{C1BE4997-54AA-4565-B236-6F7430B00007}"/>
            </a:ext>
          </a:extLst>
        </xdr:cNvPr>
        <xdr:cNvSpPr txBox="1"/>
      </xdr:nvSpPr>
      <xdr:spPr>
        <a:xfrm>
          <a:off x="6805961" y="4049317"/>
          <a:ext cx="7566205" cy="365760"/>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Sanitation in communities </a:t>
          </a:r>
          <a:endParaRPr lang="en-US" sz="1400">
            <a:solidFill>
              <a:schemeClr val="bg1"/>
            </a:solidFill>
            <a:effectLst/>
          </a:endParaRPr>
        </a:p>
      </xdr:txBody>
    </xdr:sp>
    <xdr:clientData/>
  </xdr:twoCellAnchor>
  <xdr:twoCellAnchor>
    <xdr:from>
      <xdr:col>7</xdr:col>
      <xdr:colOff>66506</xdr:colOff>
      <xdr:row>43</xdr:row>
      <xdr:rowOff>311279</xdr:rowOff>
    </xdr:from>
    <xdr:to>
      <xdr:col>16</xdr:col>
      <xdr:colOff>1587499</xdr:colOff>
      <xdr:row>46</xdr:row>
      <xdr:rowOff>42039</xdr:rowOff>
    </xdr:to>
    <xdr:sp macro="" textlink="">
      <xdr:nvSpPr>
        <xdr:cNvPr id="7" name="TextBox 45">
          <a:extLst>
            <a:ext uri="{FF2B5EF4-FFF2-40B4-BE49-F238E27FC236}">
              <a16:creationId xmlns:a16="http://schemas.microsoft.com/office/drawing/2014/main" id="{808DA1AB-6995-45A1-B01B-049305761F22}"/>
            </a:ext>
          </a:extLst>
        </xdr:cNvPr>
        <xdr:cNvSpPr txBox="1"/>
      </xdr:nvSpPr>
      <xdr:spPr>
        <a:xfrm>
          <a:off x="6808089" y="7582029"/>
          <a:ext cx="7553493" cy="36576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Hygiene  Items &amp; Hygiene Promotion </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0</xdr:col>
      <xdr:colOff>95249</xdr:colOff>
      <xdr:row>1</xdr:row>
      <xdr:rowOff>47718</xdr:rowOff>
    </xdr:from>
    <xdr:to>
      <xdr:col>6</xdr:col>
      <xdr:colOff>1132416</xdr:colOff>
      <xdr:row>25</xdr:row>
      <xdr:rowOff>95249</xdr:rowOff>
    </xdr:to>
    <xdr:graphicFrame macro="">
      <xdr:nvGraphicFramePr>
        <xdr:cNvPr id="8" name="Chart 7">
          <a:extLst>
            <a:ext uri="{FF2B5EF4-FFF2-40B4-BE49-F238E27FC236}">
              <a16:creationId xmlns:a16="http://schemas.microsoft.com/office/drawing/2014/main" id="{96F6CB4F-9792-4B55-AECF-8BD60B94C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201079</xdr:colOff>
      <xdr:row>59</xdr:row>
      <xdr:rowOff>1081449</xdr:rowOff>
    </xdr:from>
    <xdr:to>
      <xdr:col>14</xdr:col>
      <xdr:colOff>468626</xdr:colOff>
      <xdr:row>66</xdr:row>
      <xdr:rowOff>0</xdr:rowOff>
    </xdr:to>
    <xdr:graphicFrame macro="">
      <xdr:nvGraphicFramePr>
        <xdr:cNvPr id="13" name="Chart 12">
          <a:extLst>
            <a:ext uri="{FF2B5EF4-FFF2-40B4-BE49-F238E27FC236}">
              <a16:creationId xmlns:a16="http://schemas.microsoft.com/office/drawing/2014/main" id="{A99BDEB3-4A3B-4C8D-BA57-DC7C32220F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74082</xdr:colOff>
      <xdr:row>59</xdr:row>
      <xdr:rowOff>1083725</xdr:rowOff>
    </xdr:from>
    <xdr:to>
      <xdr:col>11</xdr:col>
      <xdr:colOff>140545</xdr:colOff>
      <xdr:row>65</xdr:row>
      <xdr:rowOff>306712</xdr:rowOff>
    </xdr:to>
    <xdr:graphicFrame macro="">
      <xdr:nvGraphicFramePr>
        <xdr:cNvPr id="14" name="Chart 13">
          <a:extLst>
            <a:ext uri="{FF2B5EF4-FFF2-40B4-BE49-F238E27FC236}">
              <a16:creationId xmlns:a16="http://schemas.microsoft.com/office/drawing/2014/main" id="{C5F4A297-4E8C-4114-A27D-C0860F849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8465</xdr:colOff>
      <xdr:row>25</xdr:row>
      <xdr:rowOff>152400</xdr:rowOff>
    </xdr:from>
    <xdr:to>
      <xdr:col>12</xdr:col>
      <xdr:colOff>211667</xdr:colOff>
      <xdr:row>43</xdr:row>
      <xdr:rowOff>50383</xdr:rowOff>
    </xdr:to>
    <xdr:graphicFrame macro="">
      <xdr:nvGraphicFramePr>
        <xdr:cNvPr id="16" name="Chart 15">
          <a:extLst>
            <a:ext uri="{FF2B5EF4-FFF2-40B4-BE49-F238E27FC236}">
              <a16:creationId xmlns:a16="http://schemas.microsoft.com/office/drawing/2014/main" id="{C4A49F15-0767-4C81-8A94-E105F248EA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550335</xdr:colOff>
      <xdr:row>59</xdr:row>
      <xdr:rowOff>1083734</xdr:rowOff>
    </xdr:from>
    <xdr:to>
      <xdr:col>16</xdr:col>
      <xdr:colOff>1590465</xdr:colOff>
      <xdr:row>65</xdr:row>
      <xdr:rowOff>306721</xdr:rowOff>
    </xdr:to>
    <xdr:graphicFrame macro="">
      <xdr:nvGraphicFramePr>
        <xdr:cNvPr id="18" name="Chart 17">
          <a:extLst>
            <a:ext uri="{FF2B5EF4-FFF2-40B4-BE49-F238E27FC236}">
              <a16:creationId xmlns:a16="http://schemas.microsoft.com/office/drawing/2014/main" id="{8B1C20BD-8477-4145-9CB6-2A2B9C0A0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52916</xdr:colOff>
      <xdr:row>59</xdr:row>
      <xdr:rowOff>518584</xdr:rowOff>
    </xdr:from>
    <xdr:to>
      <xdr:col>16</xdr:col>
      <xdr:colOff>1545167</xdr:colOff>
      <xdr:row>59</xdr:row>
      <xdr:rowOff>1024468</xdr:rowOff>
    </xdr:to>
    <xdr:sp macro="" textlink="">
      <xdr:nvSpPr>
        <xdr:cNvPr id="19" name="TextBox 45">
          <a:extLst>
            <a:ext uri="{FF2B5EF4-FFF2-40B4-BE49-F238E27FC236}">
              <a16:creationId xmlns:a16="http://schemas.microsoft.com/office/drawing/2014/main" id="{E389AF46-DA27-445F-8F66-C94E2B1C7782}"/>
            </a:ext>
          </a:extLst>
        </xdr:cNvPr>
        <xdr:cNvSpPr txBox="1"/>
      </xdr:nvSpPr>
      <xdr:spPr>
        <a:xfrm>
          <a:off x="7495116" y="11940117"/>
          <a:ext cx="7495118" cy="505884"/>
        </a:xfrm>
        <a:prstGeom prst="rect">
          <a:avLst/>
        </a:prstGeom>
        <a:solidFill>
          <a:srgbClr val="7030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bg1"/>
              </a:solidFill>
              <a:effectLst/>
              <a:latin typeface="+mn-lt"/>
              <a:ea typeface="+mn-ea"/>
              <a:cs typeface="+mn-cs"/>
            </a:rPr>
            <a:t>Education - WASH in School</a:t>
          </a:r>
          <a:r>
            <a:rPr lang="en-US" sz="1200" b="1" i="0" baseline="0">
              <a:solidFill>
                <a:schemeClr val="bg1"/>
              </a:solidFill>
              <a:effectLst/>
              <a:latin typeface="+mn-lt"/>
              <a:ea typeface="+mn-ea"/>
              <a:cs typeface="+mn-cs"/>
            </a:rPr>
            <a:t>		                                      </a:t>
          </a:r>
          <a:endParaRPr lang="en-US" sz="1200">
            <a:solidFill>
              <a:schemeClr val="bg1"/>
            </a:solidFill>
            <a:effectLst/>
          </a:endParaRPr>
        </a:p>
      </xdr:txBody>
    </xdr:sp>
    <xdr:clientData/>
  </xdr:twoCellAnchor>
  <xdr:twoCellAnchor>
    <xdr:from>
      <xdr:col>7</xdr:col>
      <xdr:colOff>74082</xdr:colOff>
      <xdr:row>66</xdr:row>
      <xdr:rowOff>173565</xdr:rowOff>
    </xdr:from>
    <xdr:to>
      <xdr:col>16</xdr:col>
      <xdr:colOff>1598082</xdr:colOff>
      <xdr:row>80</xdr:row>
      <xdr:rowOff>74084</xdr:rowOff>
    </xdr:to>
    <xdr:graphicFrame macro="">
      <xdr:nvGraphicFramePr>
        <xdr:cNvPr id="22" name="Chart 21">
          <a:extLst>
            <a:ext uri="{FF2B5EF4-FFF2-40B4-BE49-F238E27FC236}">
              <a16:creationId xmlns:a16="http://schemas.microsoft.com/office/drawing/2014/main" id="{972BD49A-AEE2-4E83-9CAB-C39E7DD56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71970</xdr:colOff>
      <xdr:row>46</xdr:row>
      <xdr:rowOff>61382</xdr:rowOff>
    </xdr:from>
    <xdr:to>
      <xdr:col>13</xdr:col>
      <xdr:colOff>601134</xdr:colOff>
      <xdr:row>59</xdr:row>
      <xdr:rowOff>431800</xdr:rowOff>
    </xdr:to>
    <xdr:graphicFrame macro="">
      <xdr:nvGraphicFramePr>
        <xdr:cNvPr id="23" name="Chart 22">
          <a:extLst>
            <a:ext uri="{FF2B5EF4-FFF2-40B4-BE49-F238E27FC236}">
              <a16:creationId xmlns:a16="http://schemas.microsoft.com/office/drawing/2014/main" id="{5AFBD011-343B-44FB-B6AC-DDA17A1B1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285750</xdr:colOff>
      <xdr:row>25</xdr:row>
      <xdr:rowOff>143934</xdr:rowOff>
    </xdr:from>
    <xdr:to>
      <xdr:col>16</xdr:col>
      <xdr:colOff>1574799</xdr:colOff>
      <xdr:row>43</xdr:row>
      <xdr:rowOff>59266</xdr:rowOff>
    </xdr:to>
    <xdr:graphicFrame macro="">
      <xdr:nvGraphicFramePr>
        <xdr:cNvPr id="24" name="Chart 23">
          <a:extLst>
            <a:ext uri="{FF2B5EF4-FFF2-40B4-BE49-F238E27FC236}">
              <a16:creationId xmlns:a16="http://schemas.microsoft.com/office/drawing/2014/main" id="{604598AE-5598-4BB8-B1D7-D111E34BF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651933</xdr:colOff>
      <xdr:row>46</xdr:row>
      <xdr:rowOff>59266</xdr:rowOff>
    </xdr:from>
    <xdr:to>
      <xdr:col>17</xdr:col>
      <xdr:colOff>0</xdr:colOff>
      <xdr:row>59</xdr:row>
      <xdr:rowOff>457200</xdr:rowOff>
    </xdr:to>
    <xdr:graphicFrame macro="">
      <xdr:nvGraphicFramePr>
        <xdr:cNvPr id="28" name="Chart 27">
          <a:extLst>
            <a:ext uri="{FF2B5EF4-FFF2-40B4-BE49-F238E27FC236}">
              <a16:creationId xmlns:a16="http://schemas.microsoft.com/office/drawing/2014/main" id="{AD5D8835-7557-4367-9132-60C64ACAA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84668</xdr:colOff>
      <xdr:row>4</xdr:row>
      <xdr:rowOff>50800</xdr:rowOff>
    </xdr:from>
    <xdr:to>
      <xdr:col>12</xdr:col>
      <xdr:colOff>203199</xdr:colOff>
      <xdr:row>22</xdr:row>
      <xdr:rowOff>169334</xdr:rowOff>
    </xdr:to>
    <xdr:graphicFrame macro="">
      <xdr:nvGraphicFramePr>
        <xdr:cNvPr id="26" name="Chart 25">
          <a:extLst>
            <a:ext uri="{FF2B5EF4-FFF2-40B4-BE49-F238E27FC236}">
              <a16:creationId xmlns:a16="http://schemas.microsoft.com/office/drawing/2014/main" id="{B4C30939-A52A-40BD-B642-7FD552A56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262467</xdr:colOff>
      <xdr:row>4</xdr:row>
      <xdr:rowOff>50800</xdr:rowOff>
    </xdr:from>
    <xdr:to>
      <xdr:col>16</xdr:col>
      <xdr:colOff>1557865</xdr:colOff>
      <xdr:row>23</xdr:row>
      <xdr:rowOff>0</xdr:rowOff>
    </xdr:to>
    <xdr:graphicFrame macro="">
      <xdr:nvGraphicFramePr>
        <xdr:cNvPr id="32" name="Chart 31">
          <a:extLst>
            <a:ext uri="{FF2B5EF4-FFF2-40B4-BE49-F238E27FC236}">
              <a16:creationId xmlns:a16="http://schemas.microsoft.com/office/drawing/2014/main" id="{31A06946-8C2C-4C78-9C00-E3689D0257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84666</xdr:colOff>
      <xdr:row>25</xdr:row>
      <xdr:rowOff>148166</xdr:rowOff>
    </xdr:from>
    <xdr:to>
      <xdr:col>6</xdr:col>
      <xdr:colOff>1121833</xdr:colOff>
      <xdr:row>41</xdr:row>
      <xdr:rowOff>136736</xdr:rowOff>
    </xdr:to>
    <xdr:graphicFrame macro="">
      <xdr:nvGraphicFramePr>
        <xdr:cNvPr id="21" name="Chart 20">
          <a:extLst>
            <a:ext uri="{FF2B5EF4-FFF2-40B4-BE49-F238E27FC236}">
              <a16:creationId xmlns:a16="http://schemas.microsoft.com/office/drawing/2014/main" id="{9FC823FF-2833-4241-9B85-26B9B2EA0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84666</xdr:colOff>
      <xdr:row>42</xdr:row>
      <xdr:rowOff>133252</xdr:rowOff>
    </xdr:from>
    <xdr:to>
      <xdr:col>6</xdr:col>
      <xdr:colOff>1121833</xdr:colOff>
      <xdr:row>56</xdr:row>
      <xdr:rowOff>185322</xdr:rowOff>
    </xdr:to>
    <xdr:graphicFrame macro="">
      <xdr:nvGraphicFramePr>
        <xdr:cNvPr id="25" name="Chart 24">
          <a:extLst>
            <a:ext uri="{FF2B5EF4-FFF2-40B4-BE49-F238E27FC236}">
              <a16:creationId xmlns:a16="http://schemas.microsoft.com/office/drawing/2014/main" id="{4664C062-5848-46B7-9499-0D04E1185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84667</xdr:colOff>
      <xdr:row>57</xdr:row>
      <xdr:rowOff>137584</xdr:rowOff>
    </xdr:from>
    <xdr:to>
      <xdr:col>7</xdr:col>
      <xdr:colOff>0</xdr:colOff>
      <xdr:row>58</xdr:row>
      <xdr:rowOff>69131</xdr:rowOff>
    </xdr:to>
    <xdr:sp macro="" textlink="">
      <xdr:nvSpPr>
        <xdr:cNvPr id="27" name="Rectangle 26">
          <a:extLst>
            <a:ext uri="{FF2B5EF4-FFF2-40B4-BE49-F238E27FC236}">
              <a16:creationId xmlns:a16="http://schemas.microsoft.com/office/drawing/2014/main" id="{2344A46D-2D8A-4828-9278-B1C3AF677A89}"/>
            </a:ext>
          </a:extLst>
        </xdr:cNvPr>
        <xdr:cNvSpPr/>
      </xdr:nvSpPr>
      <xdr:spPr>
        <a:xfrm>
          <a:off x="84667" y="9884834"/>
          <a:ext cx="6858000" cy="608880"/>
        </a:xfrm>
        <a:prstGeom prst="rect">
          <a:avLst/>
        </a:prstGeom>
        <a:ln>
          <a:solidFill>
            <a:schemeClr val="accent1">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400" b="1" i="0" u="none" strike="noStrike">
              <a:solidFill>
                <a:schemeClr val="bg1">
                  <a:lumMod val="50000"/>
                </a:schemeClr>
              </a:solidFill>
              <a:effectLst/>
              <a:latin typeface="+mn-lt"/>
              <a:ea typeface="+mn-ea"/>
              <a:cs typeface="+mn-cs"/>
            </a:rPr>
            <a:t>DONORS: </a:t>
          </a:r>
          <a:r>
            <a:rPr lang="en-US" sz="1400" b="0" i="0" u="none" strike="noStrike">
              <a:solidFill>
                <a:schemeClr val="bg1">
                  <a:lumMod val="50000"/>
                </a:schemeClr>
              </a:solidFill>
              <a:effectLst/>
              <a:latin typeface="+mn-lt"/>
              <a:ea typeface="+mn-ea"/>
              <a:cs typeface="+mn-cs"/>
            </a:rPr>
            <a:t>GIZ, AA, BMZ, MA HQ, GHA</a:t>
          </a:r>
          <a:r>
            <a:rPr lang="en-US" sz="1400" b="0" i="0" u="none" strike="noStrike" baseline="0">
              <a:solidFill>
                <a:schemeClr val="bg1">
                  <a:lumMod val="50000"/>
                </a:schemeClr>
              </a:solidFill>
              <a:effectLst/>
              <a:latin typeface="+mn-lt"/>
              <a:ea typeface="+mn-ea"/>
              <a:cs typeface="+mn-cs"/>
            </a:rPr>
            <a:t> (AA), GAC, FFO, MA-UK HQ, ZOA, CDC, ECHO, OFDA, MHF, UNICEF, HARP-F</a:t>
          </a:r>
          <a:endParaRPr lang="en-US" sz="1400">
            <a:solidFill>
              <a:schemeClr val="bg1">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3004152</xdr:colOff>
      <xdr:row>2</xdr:row>
      <xdr:rowOff>11717</xdr:rowOff>
    </xdr:from>
    <xdr:to>
      <xdr:col>20</xdr:col>
      <xdr:colOff>13607</xdr:colOff>
      <xdr:row>37</xdr:row>
      <xdr:rowOff>240741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65011</xdr:colOff>
      <xdr:row>2</xdr:row>
      <xdr:rowOff>1814</xdr:rowOff>
    </xdr:from>
    <xdr:to>
      <xdr:col>5</xdr:col>
      <xdr:colOff>1901430</xdr:colOff>
      <xdr:row>12</xdr:row>
      <xdr:rowOff>2873</xdr:rowOff>
    </xdr:to>
    <mc:AlternateContent xmlns:mc="http://schemas.openxmlformats.org/markup-compatibility/2006" xmlns:a14="http://schemas.microsoft.com/office/drawing/2010/main">
      <mc:Choice Requires="a14">
        <xdr:graphicFrame macro="">
          <xdr:nvGraphicFramePr>
            <xdr:cNvPr id="4" name="State 2">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microsoft.com/office/drawing/2010/slicer">
              <sle:slicer xmlns:sle="http://schemas.microsoft.com/office/drawing/2010/slicer" name="State 2"/>
            </a:graphicData>
          </a:graphic>
        </xdr:graphicFrame>
      </mc:Choice>
      <mc:Fallback xmlns="">
        <xdr:sp macro="" textlink="">
          <xdr:nvSpPr>
            <xdr:cNvPr id="0" name=""/>
            <xdr:cNvSpPr>
              <a:spLocks noTextEdit="1"/>
            </xdr:cNvSpPr>
          </xdr:nvSpPr>
          <xdr:spPr>
            <a:xfrm>
              <a:off x="65011" y="535633"/>
              <a:ext cx="1828799" cy="199297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1052285</xdr:colOff>
      <xdr:row>2</xdr:row>
      <xdr:rowOff>15575</xdr:rowOff>
    </xdr:from>
    <xdr:to>
      <xdr:col>6</xdr:col>
      <xdr:colOff>2861966</xdr:colOff>
      <xdr:row>23</xdr:row>
      <xdr:rowOff>34646</xdr:rowOff>
    </xdr:to>
    <mc:AlternateContent xmlns:mc="http://schemas.openxmlformats.org/markup-compatibility/2006" xmlns:a14="http://schemas.microsoft.com/office/drawing/2010/main">
      <mc:Choice Requires="a14">
        <xdr:graphicFrame macro="">
          <xdr:nvGraphicFramePr>
            <xdr:cNvPr id="5" name="Township 1">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microsoft.com/office/drawing/2010/slicer">
              <sle:slicer xmlns:sle="http://schemas.microsoft.com/office/drawing/2010/slicer" name="Township 1"/>
            </a:graphicData>
          </a:graphic>
        </xdr:graphicFrame>
      </mc:Choice>
      <mc:Fallback xmlns="">
        <xdr:sp macro="" textlink="">
          <xdr:nvSpPr>
            <xdr:cNvPr id="0" name=""/>
            <xdr:cNvSpPr>
              <a:spLocks noTextEdit="1"/>
            </xdr:cNvSpPr>
          </xdr:nvSpPr>
          <xdr:spPr>
            <a:xfrm>
              <a:off x="3888851" y="549394"/>
              <a:ext cx="1815396" cy="41387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48382</xdr:colOff>
      <xdr:row>12</xdr:row>
      <xdr:rowOff>133048</xdr:rowOff>
    </xdr:from>
    <xdr:to>
      <xdr:col>6</xdr:col>
      <xdr:colOff>993744</xdr:colOff>
      <xdr:row>23</xdr:row>
      <xdr:rowOff>1162</xdr:rowOff>
    </xdr:to>
    <mc:AlternateContent xmlns:mc="http://schemas.openxmlformats.org/markup-compatibility/2006" xmlns:a14="http://schemas.microsoft.com/office/drawing/2010/main">
      <mc:Choice Requires="a14">
        <xdr:graphicFrame macro="">
          <xdr:nvGraphicFramePr>
            <xdr:cNvPr id="3" name="WASH implementing agency 1">
              <a:extLst>
                <a:ext uri="{FF2B5EF4-FFF2-40B4-BE49-F238E27FC236}">
                  <a16:creationId xmlns:a16="http://schemas.microsoft.com/office/drawing/2014/main" id="{0EE4C039-1958-4372-8494-54DA83926F1C}"/>
                </a:ext>
              </a:extLst>
            </xdr:cNvPr>
            <xdr:cNvGraphicFramePr/>
          </xdr:nvGraphicFramePr>
          <xdr:xfrm>
            <a:off x="0" y="0"/>
            <a:ext cx="0" cy="0"/>
          </xdr:xfrm>
          <a:graphic>
            <a:graphicData uri="http://schemas.microsoft.com/office/drawing/2010/slicer">
              <sle:slicer xmlns:sle="http://schemas.microsoft.com/office/drawing/2010/slicer" name="WASH implementing agency 1"/>
            </a:graphicData>
          </a:graphic>
        </xdr:graphicFrame>
      </mc:Choice>
      <mc:Fallback xmlns="">
        <xdr:sp macro="" textlink="">
          <xdr:nvSpPr>
            <xdr:cNvPr id="0" name=""/>
            <xdr:cNvSpPr>
              <a:spLocks noTextEdit="1"/>
            </xdr:cNvSpPr>
          </xdr:nvSpPr>
          <xdr:spPr>
            <a:xfrm>
              <a:off x="48382" y="2655603"/>
              <a:ext cx="3792088" cy="205223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1994353</xdr:colOff>
      <xdr:row>1</xdr:row>
      <xdr:rowOff>188989</xdr:rowOff>
    </xdr:from>
    <xdr:to>
      <xdr:col>6</xdr:col>
      <xdr:colOff>987444</xdr:colOff>
      <xdr:row>12</xdr:row>
      <xdr:rowOff>41245</xdr:rowOff>
    </xdr:to>
    <mc:AlternateContent xmlns:mc="http://schemas.openxmlformats.org/markup-compatibility/2006" xmlns:a14="http://schemas.microsoft.com/office/drawing/2010/main">
      <mc:Choice Requires="a14">
        <xdr:graphicFrame macro="">
          <xdr:nvGraphicFramePr>
            <xdr:cNvPr id="6" name="Location Type 2">
              <a:extLst>
                <a:ext uri="{FF2B5EF4-FFF2-40B4-BE49-F238E27FC236}">
                  <a16:creationId xmlns:a16="http://schemas.microsoft.com/office/drawing/2014/main" id="{5931821A-DDAF-4FBF-8E6A-43CBDAF27F91}"/>
                </a:ext>
              </a:extLst>
            </xdr:cNvPr>
            <xdr:cNvGraphicFramePr/>
          </xdr:nvGraphicFramePr>
          <xdr:xfrm>
            <a:off x="0" y="0"/>
            <a:ext cx="0" cy="0"/>
          </xdr:xfrm>
          <a:graphic>
            <a:graphicData uri="http://schemas.microsoft.com/office/drawing/2010/slicer">
              <sle:slicer xmlns:sle="http://schemas.microsoft.com/office/drawing/2010/slicer" name="Location Type 2"/>
            </a:graphicData>
          </a:graphic>
        </xdr:graphicFrame>
      </mc:Choice>
      <mc:Fallback xmlns="">
        <xdr:sp macro="" textlink="">
          <xdr:nvSpPr>
            <xdr:cNvPr id="0" name=""/>
            <xdr:cNvSpPr>
              <a:spLocks noTextEdit="1"/>
            </xdr:cNvSpPr>
          </xdr:nvSpPr>
          <xdr:spPr>
            <a:xfrm>
              <a:off x="1994353" y="523934"/>
              <a:ext cx="1814417" cy="20500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133351</xdr:rowOff>
    </xdr:from>
    <xdr:to>
      <xdr:col>7</xdr:col>
      <xdr:colOff>1028700</xdr:colOff>
      <xdr:row>32</xdr:row>
      <xdr:rowOff>38101</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76200</xdr:colOff>
      <xdr:row>1</xdr:row>
      <xdr:rowOff>0</xdr:rowOff>
    </xdr:from>
    <xdr:to>
      <xdr:col>9</xdr:col>
      <xdr:colOff>187325</xdr:colOff>
      <xdr:row>11</xdr:row>
      <xdr:rowOff>147320</xdr:rowOff>
    </xdr:to>
    <mc:AlternateContent xmlns:mc="http://schemas.openxmlformats.org/markup-compatibility/2006" xmlns:a14="http://schemas.microsoft.com/office/drawing/2010/main">
      <mc:Choice Requires="a14">
        <xdr:graphicFrame macro="">
          <xdr:nvGraphicFramePr>
            <xdr:cNvPr id="4" name="State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microsoft.com/office/drawing/2010/slicer">
              <sle:slicer xmlns:sle="http://schemas.microsoft.com/office/drawing/2010/slicer" name="State 3"/>
            </a:graphicData>
          </a:graphic>
        </xdr:graphicFrame>
      </mc:Choice>
      <mc:Fallback xmlns="">
        <xdr:sp macro="" textlink="">
          <xdr:nvSpPr>
            <xdr:cNvPr id="0" name=""/>
            <xdr:cNvSpPr>
              <a:spLocks noTextEdit="1"/>
            </xdr:cNvSpPr>
          </xdr:nvSpPr>
          <xdr:spPr>
            <a:xfrm>
              <a:off x="8610600" y="200025"/>
              <a:ext cx="1828800" cy="2124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292553</xdr:colOff>
      <xdr:row>0</xdr:row>
      <xdr:rowOff>178252</xdr:rowOff>
    </xdr:from>
    <xdr:to>
      <xdr:col>10</xdr:col>
      <xdr:colOff>2129608</xdr:colOff>
      <xdr:row>26</xdr:row>
      <xdr:rowOff>31567</xdr:rowOff>
    </xdr:to>
    <mc:AlternateContent xmlns:mc="http://schemas.openxmlformats.org/markup-compatibility/2006" xmlns:a14="http://schemas.microsoft.com/office/drawing/2010/main">
      <mc:Choice Requires="a14">
        <xdr:graphicFrame macro="">
          <xdr:nvGraphicFramePr>
            <xdr:cNvPr id="5" name="Township 2">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microsoft.com/office/drawing/2010/slicer">
              <sle:slicer xmlns:sle="http://schemas.microsoft.com/office/drawing/2010/slicer" name="Township 2"/>
            </a:graphicData>
          </a:graphic>
        </xdr:graphicFrame>
      </mc:Choice>
      <mc:Fallback xmlns="">
        <xdr:sp macro="" textlink="">
          <xdr:nvSpPr>
            <xdr:cNvPr id="0" name=""/>
            <xdr:cNvSpPr>
              <a:spLocks noTextEdit="1"/>
            </xdr:cNvSpPr>
          </xdr:nvSpPr>
          <xdr:spPr>
            <a:xfrm>
              <a:off x="12430124" y="178252"/>
              <a:ext cx="1835150" cy="49325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200025</xdr:colOff>
      <xdr:row>0</xdr:row>
      <xdr:rowOff>190500</xdr:rowOff>
    </xdr:from>
    <xdr:to>
      <xdr:col>10</xdr:col>
      <xdr:colOff>149225</xdr:colOff>
      <xdr:row>11</xdr:row>
      <xdr:rowOff>114300</xdr:rowOff>
    </xdr:to>
    <mc:AlternateContent xmlns:mc="http://schemas.openxmlformats.org/markup-compatibility/2006" xmlns:a14="http://schemas.microsoft.com/office/drawing/2010/main">
      <mc:Choice Requires="a14">
        <xdr:graphicFrame macro="">
          <xdr:nvGraphicFramePr>
            <xdr:cNvPr id="3" name="Location Type 1">
              <a:extLst>
                <a:ext uri="{FF2B5EF4-FFF2-40B4-BE49-F238E27FC236}">
                  <a16:creationId xmlns:a16="http://schemas.microsoft.com/office/drawing/2014/main" id="{598385C2-5E67-4F9F-992A-3E846D400C4E}"/>
                </a:ext>
              </a:extLst>
            </xdr:cNvPr>
            <xdr:cNvGraphicFramePr/>
          </xdr:nvGraphicFramePr>
          <xdr:xfrm>
            <a:off x="0" y="0"/>
            <a:ext cx="0" cy="0"/>
          </xdr:xfrm>
          <a:graphic>
            <a:graphicData uri="http://schemas.microsoft.com/office/drawing/2010/slicer">
              <sle:slicer xmlns:sle="http://schemas.microsoft.com/office/drawing/2010/slicer" name="Location Type 1"/>
            </a:graphicData>
          </a:graphic>
        </xdr:graphicFrame>
      </mc:Choice>
      <mc:Fallback xmlns="">
        <xdr:sp macro="" textlink="">
          <xdr:nvSpPr>
            <xdr:cNvPr id="0" name=""/>
            <xdr:cNvSpPr>
              <a:spLocks noTextEdit="1"/>
            </xdr:cNvSpPr>
          </xdr:nvSpPr>
          <xdr:spPr>
            <a:xfrm>
              <a:off x="10458450" y="190500"/>
              <a:ext cx="1828800" cy="2124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28575</xdr:colOff>
      <xdr:row>12</xdr:row>
      <xdr:rowOff>1</xdr:rowOff>
    </xdr:from>
    <xdr:to>
      <xdr:col>10</xdr:col>
      <xdr:colOff>186690</xdr:colOff>
      <xdr:row>26</xdr:row>
      <xdr:rowOff>76200</xdr:rowOff>
    </xdr:to>
    <mc:AlternateContent xmlns:mc="http://schemas.openxmlformats.org/markup-compatibility/2006" xmlns:a14="http://schemas.microsoft.com/office/drawing/2010/main">
      <mc:Choice Requires="a14">
        <xdr:graphicFrame macro="">
          <xdr:nvGraphicFramePr>
            <xdr:cNvPr id="6" name="WASH implementing agency">
              <a:extLst>
                <a:ext uri="{FF2B5EF4-FFF2-40B4-BE49-F238E27FC236}">
                  <a16:creationId xmlns:a16="http://schemas.microsoft.com/office/drawing/2014/main" id="{7B7A573B-D2BE-4B3B-9E6B-BF31653DDBA1}"/>
                </a:ext>
              </a:extLst>
            </xdr:cNvPr>
            <xdr:cNvGraphicFramePr/>
          </xdr:nvGraphicFramePr>
          <xdr:xfrm>
            <a:off x="0" y="0"/>
            <a:ext cx="0" cy="0"/>
          </xdr:xfrm>
          <a:graphic>
            <a:graphicData uri="http://schemas.microsoft.com/office/drawing/2010/slicer">
              <sle:slicer xmlns:sle="http://schemas.microsoft.com/office/drawing/2010/slicer" name="WASH implementing agency"/>
            </a:graphicData>
          </a:graphic>
        </xdr:graphicFrame>
      </mc:Choice>
      <mc:Fallback xmlns="">
        <xdr:sp macro="" textlink="">
          <xdr:nvSpPr>
            <xdr:cNvPr id="0" name=""/>
            <xdr:cNvSpPr>
              <a:spLocks noTextEdit="1"/>
            </xdr:cNvSpPr>
          </xdr:nvSpPr>
          <xdr:spPr>
            <a:xfrm>
              <a:off x="8562975" y="2400301"/>
              <a:ext cx="3752850" cy="28765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1045027</xdr:colOff>
      <xdr:row>26</xdr:row>
      <xdr:rowOff>130630</xdr:rowOff>
    </xdr:from>
    <xdr:to>
      <xdr:col>10</xdr:col>
      <xdr:colOff>152399</xdr:colOff>
      <xdr:row>31</xdr:row>
      <xdr:rowOff>145869</xdr:rowOff>
    </xdr:to>
    <mc:AlternateContent xmlns:mc="http://schemas.openxmlformats.org/markup-compatibility/2006" xmlns:a14="http://schemas.microsoft.com/office/drawing/2010/main">
      <mc:Choice Requires="a14">
        <xdr:graphicFrame macro="">
          <xdr:nvGraphicFramePr>
            <xdr:cNvPr id="7" name="Reporting Period 1">
              <a:extLst>
                <a:ext uri="{FF2B5EF4-FFF2-40B4-BE49-F238E27FC236}">
                  <a16:creationId xmlns:a16="http://schemas.microsoft.com/office/drawing/2014/main" id="{ABD6DBE5-5989-46F5-86FE-2AEAF70907F9}"/>
                </a:ext>
              </a:extLst>
            </xdr:cNvPr>
            <xdr:cNvGraphicFramePr/>
          </xdr:nvGraphicFramePr>
          <xdr:xfrm>
            <a:off x="0" y="0"/>
            <a:ext cx="0" cy="0"/>
          </xdr:xfrm>
          <a:graphic>
            <a:graphicData uri="http://schemas.microsoft.com/office/drawing/2010/slicer">
              <sle:slicer xmlns:sle="http://schemas.microsoft.com/office/drawing/2010/slicer" name="Reporting Period 1"/>
            </a:graphicData>
          </a:graphic>
        </xdr:graphicFrame>
      </mc:Choice>
      <mc:Fallback xmlns="">
        <xdr:sp macro="" textlink="">
          <xdr:nvSpPr>
            <xdr:cNvPr id="0" name=""/>
            <xdr:cNvSpPr>
              <a:spLocks noTextEdit="1"/>
            </xdr:cNvSpPr>
          </xdr:nvSpPr>
          <xdr:spPr>
            <a:xfrm>
              <a:off x="8512627" y="5225144"/>
              <a:ext cx="3777343" cy="97971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26</xdr:col>
      <xdr:colOff>666750</xdr:colOff>
      <xdr:row>2</xdr:row>
      <xdr:rowOff>95250</xdr:rowOff>
    </xdr:from>
    <xdr:to>
      <xdr:col>29</xdr:col>
      <xdr:colOff>9525</xdr:colOff>
      <xdr:row>2</xdr:row>
      <xdr:rowOff>866775</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9545300" y="447675"/>
          <a:ext cx="22955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=OFFSET(Statestart_1,MATCH(</a:t>
          </a:r>
          <a:r>
            <a:rPr lang="en-US" sz="1100">
              <a:solidFill>
                <a:srgbClr val="FF0000"/>
              </a:solidFill>
            </a:rPr>
            <a:t>C5</a:t>
          </a:r>
          <a:r>
            <a:rPr lang="en-US" sz="1100"/>
            <a:t>, State_list, 0), 1,COUNTIF(State_list,</a:t>
          </a:r>
          <a:r>
            <a:rPr lang="en-US" sz="1100">
              <a:solidFill>
                <a:srgbClr val="FF0000"/>
              </a:solidFill>
            </a:rPr>
            <a:t>C5</a:t>
          </a:r>
          <a:r>
            <a:rPr lang="en-US" sz="1100"/>
            <a:t>),1)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nance\Delegates\Delegate%20Per%20Diem%2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f-my.sharepoint.com/Users/mthaw/Mee%20Mee/2.%20Information%20Management/B_%204%20W/002.%204Ws%20matrix/001.New%204%20W/2019/Data%20Entry/Core_File_Myanmar_WASH_4W_2019_Q2%20-%2017062019%20-KachinSh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cef-my.sharepoint.com/Users/mthaw/Mee%20Mee/2.%20Information%20Management/B_%204%20W/002.%204Ws%20matrix/001.New%204%20W/2019/Data%20Entry/Q2_2019/Core_File_Myanmar_WASH_4W_2019_Q2_Rakhine_Vil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thaw/Mee%20Mee/2.%20Information%20Management/C_Camp%20Info/2.%20CCCM%20Camp%20list/Kachin/2019/shelter-nfi-cccm_kachin_northern_shan_cluster_analysis_report_march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thaw/Mee%20Mee/2.%20Information%20Management/J_Funding/2020/2020_Q2/20200721_Funding%20Matrix_2020_Q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ty Sheet"/>
      <sheetName val="PD Sheet"/>
      <sheetName val="Data"/>
      <sheetName val="Sheet5"/>
      <sheetName val="Fund_Analysis_Rakhine"/>
      <sheetName val="Lookup"/>
      <sheetName val="Site_DB"/>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heet2"/>
      <sheetName val="DATABASE"/>
      <sheetName val="Site_DB"/>
      <sheetName val="Indicator Summary  Eng"/>
      <sheetName val="Indicator Summary  MM"/>
      <sheetName val="HRP Calculations"/>
      <sheetName val="Sheet1"/>
      <sheetName val="Lookup"/>
      <sheetName val="Core_File_Myanmar_WASH_4W_2019_"/>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heet2"/>
      <sheetName val="DATABASE"/>
      <sheetName val="Site_DB"/>
      <sheetName val="Indicator Summary  Eng"/>
      <sheetName val="Indicator Summary  MM"/>
      <sheetName val="HRP Calculations"/>
      <sheetName val="Sheet1"/>
      <sheetName val="Lookup"/>
      <sheetName val="Core_File_Myanmar_WASH_4W_2019_"/>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3">
          <cell r="AB3" t="str">
            <v>State_list</v>
          </cell>
        </row>
        <row r="4">
          <cell r="AB4" t="str">
            <v>Central Rakhine</v>
          </cell>
        </row>
        <row r="5">
          <cell r="AB5" t="str">
            <v>Central Rakhine</v>
          </cell>
        </row>
        <row r="6">
          <cell r="AB6" t="str">
            <v>Central Rakhine</v>
          </cell>
        </row>
        <row r="7">
          <cell r="AB7" t="str">
            <v>Central Rakhine</v>
          </cell>
        </row>
        <row r="8">
          <cell r="AB8" t="str">
            <v>Central Rakhine</v>
          </cell>
        </row>
        <row r="9">
          <cell r="AB9" t="str">
            <v>Central Rakhine</v>
          </cell>
        </row>
        <row r="10">
          <cell r="AB10" t="str">
            <v>Central Rakhine</v>
          </cell>
        </row>
        <row r="11">
          <cell r="AB11" t="str">
            <v>Central Rakhine</v>
          </cell>
        </row>
        <row r="12">
          <cell r="AB12" t="str">
            <v>Central Rakhine</v>
          </cell>
        </row>
        <row r="13">
          <cell r="AB13" t="str">
            <v>Kachin</v>
          </cell>
        </row>
        <row r="14">
          <cell r="AB14" t="str">
            <v>Kachin</v>
          </cell>
        </row>
        <row r="15">
          <cell r="AB15" t="str">
            <v>Kachin</v>
          </cell>
        </row>
        <row r="16">
          <cell r="AB16" t="str">
            <v>Kachin</v>
          </cell>
        </row>
        <row r="17">
          <cell r="AB17" t="str">
            <v>Kachin</v>
          </cell>
        </row>
        <row r="18">
          <cell r="AB18" t="str">
            <v>Kachin</v>
          </cell>
        </row>
        <row r="19">
          <cell r="AB19" t="str">
            <v>Kachin</v>
          </cell>
        </row>
        <row r="20">
          <cell r="AB20" t="str">
            <v>Kachin</v>
          </cell>
        </row>
        <row r="21">
          <cell r="AB21" t="str">
            <v>Kachin</v>
          </cell>
        </row>
        <row r="22">
          <cell r="AB22" t="str">
            <v>Kachin</v>
          </cell>
        </row>
        <row r="23">
          <cell r="AB23" t="str">
            <v>Kachin</v>
          </cell>
        </row>
        <row r="24">
          <cell r="AB24" t="str">
            <v>Kachin</v>
          </cell>
        </row>
        <row r="25">
          <cell r="AB25" t="str">
            <v>Kachin</v>
          </cell>
        </row>
        <row r="26">
          <cell r="AB26" t="str">
            <v>Kachin</v>
          </cell>
        </row>
        <row r="27">
          <cell r="AB27" t="str">
            <v>Kachin</v>
          </cell>
        </row>
        <row r="28">
          <cell r="AB28" t="str">
            <v>Kachin</v>
          </cell>
        </row>
        <row r="29">
          <cell r="AB29" t="str">
            <v>Kachin</v>
          </cell>
        </row>
        <row r="30">
          <cell r="AB30" t="str">
            <v>Kachin</v>
          </cell>
        </row>
        <row r="31">
          <cell r="AB31" t="str">
            <v>Kachin</v>
          </cell>
        </row>
        <row r="32">
          <cell r="AB32" t="str">
            <v>Northern Rakhine</v>
          </cell>
        </row>
        <row r="33">
          <cell r="AB33" t="str">
            <v>Northern Rakhine</v>
          </cell>
        </row>
        <row r="34">
          <cell r="AB34" t="str">
            <v>Northern Rakhine</v>
          </cell>
        </row>
        <row r="35">
          <cell r="AB35" t="str">
            <v>Rakhine</v>
          </cell>
        </row>
        <row r="36">
          <cell r="AB36" t="str">
            <v>Rakhine</v>
          </cell>
        </row>
        <row r="37">
          <cell r="AB37" t="str">
            <v>Rakhine</v>
          </cell>
        </row>
        <row r="38">
          <cell r="AB38" t="str">
            <v>Rakhine</v>
          </cell>
        </row>
        <row r="39">
          <cell r="AB39" t="str">
            <v>Rakhine</v>
          </cell>
        </row>
        <row r="40">
          <cell r="AB40" t="str">
            <v>Shan (North)</v>
          </cell>
        </row>
        <row r="41">
          <cell r="AB41" t="str">
            <v>Shan (North)</v>
          </cell>
        </row>
        <row r="42">
          <cell r="AB42" t="str">
            <v>Shan (North)</v>
          </cell>
        </row>
        <row r="43">
          <cell r="AB43" t="str">
            <v>Shan (North)</v>
          </cell>
        </row>
        <row r="44">
          <cell r="AB44" t="str">
            <v>Shan (North)</v>
          </cell>
        </row>
        <row r="45">
          <cell r="AB45" t="str">
            <v>Shan (North)</v>
          </cell>
        </row>
        <row r="46">
          <cell r="AB46" t="str">
            <v>Shan (North)</v>
          </cell>
        </row>
        <row r="47">
          <cell r="AB47" t="str">
            <v>Shan (North)</v>
          </cell>
        </row>
        <row r="48">
          <cell r="AB48" t="str">
            <v>Shan (North)</v>
          </cell>
        </row>
        <row r="49">
          <cell r="AB49" t="str">
            <v>Shan (North)</v>
          </cell>
        </row>
        <row r="50">
          <cell r="AB50" t="str">
            <v>Shan (North)</v>
          </cell>
        </row>
        <row r="51">
          <cell r="AB51" t="str">
            <v>Shan (North)</v>
          </cell>
        </row>
        <row r="52">
          <cell r="AB52" t="str">
            <v>Shan (North)</v>
          </cell>
        </row>
        <row r="53">
          <cell r="AB53" t="str">
            <v>Shan (North)</v>
          </cell>
        </row>
        <row r="54">
          <cell r="AB54" t="str">
            <v>Shan (North)</v>
          </cell>
        </row>
        <row r="55">
          <cell r="AB55" t="str">
            <v>Shan (North)</v>
          </cell>
        </row>
        <row r="56">
          <cell r="AB56" t="str">
            <v>Shan (North)</v>
          </cell>
        </row>
        <row r="57">
          <cell r="AB57" t="str">
            <v>Shan (North)</v>
          </cell>
        </row>
        <row r="58">
          <cell r="AB58" t="str">
            <v>Shan (North)</v>
          </cell>
        </row>
        <row r="59">
          <cell r="AB59" t="str">
            <v>Shan (North)</v>
          </cell>
        </row>
        <row r="60">
          <cell r="AB60" t="str">
            <v>Shan (North)</v>
          </cell>
        </row>
        <row r="61">
          <cell r="AB61" t="str">
            <v>Shan (North)</v>
          </cell>
        </row>
        <row r="62">
          <cell r="AB62" t="str">
            <v>Shan (North)</v>
          </cell>
        </row>
        <row r="63">
          <cell r="AB63" t="str">
            <v>Shan (North)</v>
          </cell>
        </row>
        <row r="64">
          <cell r="AB64" t="str">
            <v>Shan (North)</v>
          </cell>
        </row>
        <row r="65">
          <cell r="AB65" t="str">
            <v>Shan (North)</v>
          </cell>
        </row>
        <row r="66">
          <cell r="AB66" t="str">
            <v>Shan (North)</v>
          </cell>
        </row>
        <row r="67">
          <cell r="AB67" t="str">
            <v>Shan (North)</v>
          </cell>
        </row>
        <row r="68">
          <cell r="AB68" t="str">
            <v>Shan (North)</v>
          </cell>
        </row>
        <row r="69">
          <cell r="AB69" t="str">
            <v>Shan (North)</v>
          </cell>
        </row>
        <row r="70">
          <cell r="AB70" t="str">
            <v>Shan (North)</v>
          </cell>
        </row>
        <row r="71">
          <cell r="AB71" t="str">
            <v>Shan (North)</v>
          </cell>
        </row>
        <row r="72">
          <cell r="AB72" t="str">
            <v>Shan (North)</v>
          </cell>
        </row>
        <row r="73">
          <cell r="AB73" t="str">
            <v>Shan (North)</v>
          </cell>
        </row>
        <row r="74">
          <cell r="AB74" t="str">
            <v>Shan (North)</v>
          </cell>
        </row>
        <row r="75">
          <cell r="AB75" t="str">
            <v>Shan (North)</v>
          </cell>
        </row>
        <row r="76">
          <cell r="AB76" t="str">
            <v>Shan (North)</v>
          </cell>
        </row>
        <row r="77">
          <cell r="AB77" t="str">
            <v>Shan (North)</v>
          </cell>
        </row>
        <row r="78">
          <cell r="AB78" t="str">
            <v>Shan (North)</v>
          </cell>
        </row>
        <row r="79">
          <cell r="AB79" t="str">
            <v>Shan (North)</v>
          </cell>
        </row>
        <row r="80">
          <cell r="AB80" t="str">
            <v>Shan (North)</v>
          </cell>
        </row>
        <row r="81">
          <cell r="AB81" t="str">
            <v>Shan (North)</v>
          </cell>
        </row>
        <row r="82">
          <cell r="AB82" t="str">
            <v>Shan (North)</v>
          </cell>
        </row>
        <row r="83">
          <cell r="AB83" t="str">
            <v>Shan (North)</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
      <sheetName val="IDP locations"/>
      <sheetName val="DistanceToCamp"/>
      <sheetName val="Graphs"/>
      <sheetName val="IDP location Analysis"/>
      <sheetName val="CCCM Dashboard"/>
      <sheetName val="Map"/>
      <sheetName val="ForGIS"/>
      <sheetName val="Shelter Cross Check"/>
      <sheetName val="IDP locations (printable)"/>
      <sheetName val="Relocation"/>
      <sheetName val="Shelter Gap Analysis"/>
      <sheetName val="Define_TCL"/>
      <sheetName val="Shelter Coverage Camp"/>
      <sheetName val="Shelter Solution"/>
      <sheetName val="Shelter overview"/>
      <sheetName val="NFI Stock and Pipeline"/>
      <sheetName val="NFI Distributions"/>
      <sheetName val="Winter Item"/>
      <sheetName val="NFI Summary"/>
      <sheetName val="dat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heet3"/>
      <sheetName val="Rakhine_funding_matrix"/>
      <sheetName val="Kachin-shan_funding_matrix"/>
      <sheetName val="Other_States_funding_matrix"/>
      <sheetName val="fund received by partners"/>
      <sheetName val="Funding Tracking"/>
      <sheetName val="Timelinebysite"/>
      <sheetName val="% type of agencies"/>
      <sheetName val="National_Analysis by donor"/>
      <sheetName val="Sheet1"/>
      <sheetName val="Covid"/>
      <sheetName val="National"/>
      <sheetName val="Fund_Analysis_Rakhine"/>
      <sheetName val="Fund_Analysis_Kachin-shan"/>
      <sheetName val="Rakhine Analysis 2"/>
      <sheetName val="Kachin Analysi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Camps</v>
          </cell>
          <cell r="D2" t="str">
            <v>Non-IDP Camps</v>
          </cell>
          <cell r="E2" t="str">
            <v>Gap</v>
          </cell>
        </row>
        <row r="3">
          <cell r="C3">
            <v>6141359.6574982088</v>
          </cell>
          <cell r="D3">
            <v>3007836.6307325601</v>
          </cell>
          <cell r="E3">
            <v>20296214.265230548</v>
          </cell>
        </row>
      </sheetData>
      <sheetData sheetId="1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032.62023414352" createdVersion="6" refreshedVersion="6" minRefreshableVersion="3" recordCount="403" xr:uid="{00000000-000A-0000-FFFF-FFFF00000000}">
  <cacheSource type="worksheet">
    <worksheetSource name="WWWW"/>
  </cacheSource>
  <cacheFields count="88">
    <cacheField name="Reporting Period" numFmtId="167">
      <sharedItems containsBlank="1" count="16">
        <s v="2020_Q1"/>
        <s v="2020_Q2"/>
        <m u="1"/>
        <s v="2018-Q1" u="1"/>
        <s v="2018  Q1" u="1"/>
        <s v="2019_Q1" u="1"/>
        <s v="2019_Q2" u="1"/>
        <s v="2018_Q1" u="1"/>
        <s v="2019_Q3" u="1"/>
        <s v="2018_Q2" u="1"/>
        <s v="2019_Q4" u="1"/>
        <s v="2018_Q3" u="1"/>
        <s v="2018_Q4" u="1"/>
        <s v="2017_Q3" u="1"/>
        <s v="2017_Q4" u="1"/>
        <s v="2018 -Q1" u="1"/>
      </sharedItems>
    </cacheField>
    <cacheField name="WASH project agency" numFmtId="167">
      <sharedItems containsBlank="1" count="51">
        <s v="HPA"/>
        <s v="SCI"/>
        <s v="CDA"/>
        <s v="ACF"/>
        <s v="OXSI (Oxfam)"/>
        <s v="RI"/>
        <s v="OXSI (SI)"/>
        <s v="SI"/>
        <s v="MA_UK"/>
        <s v="CDN"/>
        <s v="WVI"/>
        <s v="WCM"/>
        <s v="MA-UK"/>
        <s v="Malteser"/>
        <m u="1"/>
        <s v="KBC" u="1"/>
        <s v="OXSI(Oxfam), MA_UK" u="1"/>
        <s v="KMSS" u="1"/>
        <s v="MRCS" u="1"/>
        <s v="Shalom" u="1"/>
        <s v="Metta, KMSS" u="1"/>
        <s v="MRCS,Others/ WVI" u="1"/>
        <s v="IRW" u="1"/>
        <s v="PIN,WVI" u="1"/>
        <s v="MRCS,Others,UNICEF/ACF" u="1"/>
        <s v="PIN" u="1"/>
        <s v="MRCS,others" u="1"/>
        <s v="ACF, MAUK" u="1"/>
        <s v="OXSI (Oxfam),ACF" u="1"/>
        <s v="UNICEF,CDN" u="1"/>
        <s v="Others/ WVI" u="1"/>
        <s v="KBC, KMSS" u="1"/>
        <s v="Others,MRCS" u="1"/>
        <s v="Others" u="1"/>
        <s v="MRCS, PLAN, RI,Others" u="1"/>
        <s v="UNICEF" u="1"/>
        <s v="DRC" u="1"/>
        <s v="UNICEF,Others" u="1"/>
        <s v="MRCS, PLAN, RI" u="1"/>
        <s v="UNICEF, " u="1"/>
        <s v="None" u="1"/>
        <s v="Metta" u="1"/>
        <s v="MRCS, Others" u="1"/>
        <s v="GIZ" u="1"/>
        <s v="WPN" u="1"/>
        <s v="MRCS,Others,UNICEF" u="1"/>
        <s v="CARE" u="1"/>
        <s v="CARE,Others" u="1"/>
        <s v="MRCS,UNICEF" u="1"/>
        <s v="OXSI (SI), ACF" u="1"/>
        <s v="SCI, Metta" u="1"/>
      </sharedItems>
    </cacheField>
    <cacheField name="WASH implementing agency" numFmtId="0">
      <sharedItems containsBlank="1" count="51">
        <m/>
        <s v="SCI"/>
        <s v="CDA"/>
        <s v="ACF"/>
        <s v="OXSI (Oxfam)"/>
        <s v="RI"/>
        <s v="OXSI (SI)"/>
        <s v="SI"/>
        <s v="MA_UK"/>
        <s v="CDN"/>
        <s v="WVI"/>
        <s v="WCM"/>
        <s v="HPA"/>
        <s v="MA-UK"/>
        <s v="KBC" u="1"/>
        <s v="OXSI(Oxfam), MA_UK" u="1"/>
        <s v="KMSS" u="1"/>
        <s v="MRCS" u="1"/>
        <s v="Shalom" u="1"/>
        <s v="Metta, KMSS" u="1"/>
        <s v="MRCS,Others/ WVI" u="1"/>
        <s v="PIN" u="1"/>
        <s v="MRCS,others" u="1"/>
        <s v="ACF, MAUK" u="1"/>
        <s v="OXSI (Oxfam),ACF" u="1"/>
        <s v="UNICEF,CDN" u="1"/>
        <s v="Others/ WVI" u="1"/>
        <s v="KBC, KMSS" u="1"/>
        <s v="MHDO" u="1"/>
        <s v="Others,MRCS" u="1"/>
        <s v="Others" u="1"/>
        <s v="MRCS, PLAN, RI,Others" u="1"/>
        <s v="UNICEF" u="1"/>
        <s v="DRC" u="1"/>
        <s v="MRCS, ACF" u="1"/>
        <s v="UNICEF/ UNHCR/UNFPA" u="1"/>
        <s v="UNICEF,Others" u="1"/>
        <s v="SDF" u="1"/>
        <s v="WFP" u="1"/>
        <s v="MRCS, PLAN, RI" u="1"/>
        <s v="None" u="1"/>
        <s v="Metta" u="1"/>
        <s v="MRCS, Others" u="1"/>
        <s v="MRCS,Others,ACF" u="1"/>
        <s v="GIZ" u="1"/>
        <s v="WPN" u="1"/>
        <s v="CARE" u="1"/>
        <s v="CARE,Others" u="1"/>
        <s v="Malteser" u="1"/>
        <s v="SCI, Metta" u="1"/>
        <s v="MRCS,ACF" u="1"/>
      </sharedItems>
    </cacheField>
    <cacheField name="Primary Donor covering WASH activities at site " numFmtId="0">
      <sharedItems/>
    </cacheField>
    <cacheField name="State" numFmtId="0">
      <sharedItems containsBlank="1" count="7">
        <s v="Shan (North)"/>
        <s v="Central Rakhine"/>
        <s v="Kachin"/>
        <s v="Kayin"/>
        <m u="1"/>
        <s v="Rakhine" u="1"/>
        <s v="Northern Rakhine" u="1"/>
      </sharedItems>
    </cacheField>
    <cacheField name="Township" numFmtId="0">
      <sharedItems containsBlank="1" count="52">
        <s v="Aik Chan (Ai' Chun)"/>
        <s v="Yin Pang"/>
        <s v="Nam Hkam Wu"/>
        <s v="Pang Hkam"/>
        <s v="Kawng Min Hsang"/>
        <s v="WA"/>
        <s v="SR4"/>
        <s v="KOK"/>
        <s v="Pauktaw"/>
        <s v="Kyaukpyu"/>
        <s v="Sittwe"/>
        <s v="Minbya"/>
        <s v="Myebon"/>
        <s v="Kyauktaw"/>
        <s v="Waingmaw"/>
        <s v="Myitkyina"/>
        <s v="Injangyang"/>
        <s v="Sumprabum"/>
        <s v="Hseni"/>
        <s v="Lashio"/>
        <s v="Laukkaing (Kokang SAZ)"/>
        <s v="Hlaing Bwe"/>
        <m u="1"/>
        <s v="Mohyin" u="1"/>
        <s v="Kutkai" u="1"/>
        <s v="Nawnghkio" u="1"/>
        <s v="Mansi" u="1"/>
        <s v="Pangsang" u="1"/>
        <s v="Ann" u="1"/>
        <s v="Muse" u="1"/>
        <s v="Manton" u="1"/>
        <s v="Bhamo" u="1"/>
        <s v="Namatee" u="1"/>
        <s v="Puta-O" u="1"/>
        <s v="Buthidaung " u="1"/>
        <s v="Mogaung" u="1"/>
        <s v="Namhkan" u="1"/>
        <s v="Hsipaw" u="1"/>
        <s v="Momauk" u="1"/>
        <s v="Hpakant" u="1"/>
        <s v="Maungdaw" u="1"/>
        <s v="Namtu" u="1"/>
        <s v="Ponnagyun" u="1"/>
        <s v="Chipwi" u="1"/>
        <s v="Mohnyin" u="1"/>
        <s v="Rathedaung" u="1"/>
        <s v="Mai Ja Yang " u="1"/>
        <s v="Mrauk-U" u="1"/>
        <s v="Buthidaung" u="1"/>
        <s v="Tanai" u="1"/>
        <s v="Ramree" u="1"/>
        <s v="Shwegu" u="1"/>
      </sharedItems>
    </cacheField>
    <cacheField name="Location Type" numFmtId="0">
      <sharedItems count="11">
        <s v="Village"/>
        <e v="#REF!" u="1"/>
        <s v="Town_New_Displaced" u="1"/>
        <s v="Town" u="1"/>
        <s v="Camp" u="1"/>
        <e v="#N/A" u="1"/>
        <s v="New Temporary Site" u="1"/>
        <s v="Village_New_Displaced" u="1"/>
        <s v="New Site" u="1"/>
        <s v="Camp_not registered" u="1"/>
        <s v="Village_Not HRP" u="1"/>
      </sharedItems>
    </cacheField>
    <cacheField name="Village  Name" numFmtId="0">
      <sharedItems count="512">
        <s v="JI Guan #1 Village"/>
        <s v="Longdong Yicun"/>
        <s v="#5 Village"/>
        <s v="Long Kong Village"/>
        <s v="Long Man Village"/>
        <s v="Licong Village"/>
        <s v="Yong Lai Village"/>
        <s v="Kuankong village"/>
        <s v="Nanpa Shiwu "/>
        <s v=" Nanpa Niwa "/>
        <s v="Yongshang Niwa village "/>
        <s v="Lare Yongbula Village"/>
        <s v="Gongcong No.2"/>
        <s v="Gongcong No.3"/>
        <s v="Yongben"/>
        <s v="Yongyue"/>
        <s v="Yongran"/>
        <s v="Yongkao"/>
        <s v="Shandong Sancun"/>
        <s v="Shandong Sicun"/>
        <s v="Bagedi Qicun"/>
        <s v="Bagedi Bacun"/>
        <s v="Bagedi Ercun"/>
        <s v="Bagedi Yicun"/>
        <s v="Daxisuo Yicun"/>
        <s v="Daxisuo Ercun"/>
        <s v="Laojie"/>
        <s v="Guanyang"/>
        <s v="Yongbang"/>
        <s v="Yang Lan"/>
        <s v="Wan Ru Gan"/>
        <s v="Ta Ban Long"/>
        <s v="Wan Nuo Da"/>
        <s v="Wan Jing"/>
        <s v="Ake Man Yang"/>
        <s v="Wan Gu"/>
        <s v="Wan Gong"/>
        <s v="Ga Lan"/>
        <s v="Nuo Mei"/>
        <s v="Ta Ban Dang"/>
        <s v="Ta Ban Ga"/>
        <s v="Ta Long"/>
        <s v="Nuo Bing"/>
        <s v="Nuo Ka"/>
        <s v="Meng La"/>
        <s v="Lei Long"/>
        <s v="Pu Du"/>
        <s v="Nan Me Man"/>
        <s v="Nan Ken"/>
        <s v="Bo Hei Xinzhai"/>
        <s v="Man San"/>
        <s v="Nan Duo Man"/>
        <s v="Bo Hei Laozhai"/>
        <s v="Yao Sa Na"/>
        <s v="Nan Bi"/>
        <s v="Sin Aing"/>
        <s v="Sin Tet Maw (Host)"/>
        <s v="Sin Tet Maw Rakhine(Baw Da Li)"/>
        <s v="Chaing Pyin"/>
        <s v="Hpaung Khar"/>
        <s v="Kyan Khin"/>
        <s v="Kywi Pyin"/>
        <s v="Pyin Hpyu Maw"/>
        <s v="Kar Pi Chaung"/>
        <s v="U Gar Dein"/>
        <s v="Ma La Kyun"/>
        <s v="Dway Cha"/>
        <s v="Chaung New Min Gan"/>
        <s v="Kan Pyin Ywa Haung"/>
        <s v="Kan Pyin Ywar Thit"/>
        <s v="Thone Saung"/>
        <s v="Kyauk Tan Gyi"/>
        <s v="Kyauk Tan Chay"/>
        <s v="Kyar Ma Thauk"/>
        <s v="Thein Tan"/>
        <s v="Kyan Taw"/>
        <s v="Baw Du Pha Village"/>
        <s v="Maung Ni Pyin"/>
        <s v="Pyar Lay Chaung Ywar Haung"/>
        <s v="Thin Pone Tan"/>
        <s v="Yae Chan Pyin"/>
        <s v="Ohn Ye Paw"/>
        <s v="Kha Tin Paik"/>
        <s v="Pyin Shey Ku lar"/>
        <s v="Ywar Thar Yar"/>
        <s v="Ohn Taw Gyi"/>
        <s v="Bu May Ohn Daw Chay"/>
        <s v="Dar Paing Ywar Haung"/>
        <s v="Dar Paing Ywar Thit"/>
        <s v="Sa Ma Nya Village"/>
        <s v="San Htoe Tan"/>
        <s v="Koe Saung (1) village"/>
        <s v="Thet Kay Pyin"/>
        <s v="Shwe Zin Khin (Ku Lar)"/>
        <s v="Kyan Taik"/>
        <s v="Sat Yon Maw (Rakhine)"/>
        <s v="Ann Thar"/>
        <s v="Naw Naw(Rakhine)"/>
        <s v="Naw Naw(Ku Lar)"/>
        <s v="Ah Pyin Done Chaung"/>
        <s v="Thin Ga Zar"/>
        <s v="Than Shin Ywar Thit"/>
        <s v="Tan Seik"/>
        <s v="Sat Kyar"/>
        <s v="Let Taw Ri"/>
        <s v="Har Ra Paing"/>
        <s v="Kan Hpay"/>
        <s v="Thin Khaung Maw"/>
        <s v="Beik Taung"/>
        <s v="Sa Par Htar"/>
        <s v="Aung Taing"/>
        <s v="Taw Tan"/>
        <s v="Sin Seik"/>
        <s v="Ta Khun Taing"/>
        <s v="Done Thar"/>
        <s v="War Taung"/>
        <s v="Athay Kar La"/>
        <s v="Myin Kan Seik"/>
        <s v="Chaik Taung"/>
        <s v="Thar Dar"/>
        <s v="Shwe Zin Khin (Rakhine)"/>
        <s v="Seik Ta Ra"/>
        <s v="Gwa Sone Chin"/>
        <s v="Taung Poke Kay"/>
        <s v="Shwe Zin Yaw"/>
        <s v="Pale Taung"/>
        <s v="Kan Thar Htwat Wa"/>
        <s v="Sat Roe Kya 1"/>
        <s v="Sat Roe Kya 2"/>
        <s v="Say Tha Mar Nge"/>
        <s v="Set Yone Su 1"/>
        <s v="Set Yone Su 3 (Mingan)"/>
        <s v="Thae Chaung(Rakhine)"/>
        <s v="Thea Chaung Ku Lar"/>
        <s v="Thea Chaung Let Tha Mar Kone"/>
        <s v="Thin Ga Net"/>
        <s v="Thet Kay Pyin Ywar Ma"/>
        <s v="Ah Nauk Ye Ku Lar"/>
        <s v="Na Htoe Pyin"/>
        <s v="Done Pyin (North)"/>
        <s v="Done Pyin (South)"/>
        <s v="Hla May Shwe"/>
        <s v="Zaw  Pu Gyar"/>
        <s v="Kyet Taw Pyin"/>
        <s v="Aung Zay Ya"/>
        <s v="Ba Ra War"/>
        <s v="Byar Lar"/>
        <s v="Day Wun"/>
        <s v="Doke Kan Chaung"/>
        <s v="Kauk Kyit"/>
        <s v="Mee Yat Pyin"/>
        <s v="Ywet Nyoe Taung"/>
        <s v="Sin Oe Chaing Ywar Thit"/>
        <s v="Shin Oe Chaing- Old"/>
        <s v="Thar Dar Seik"/>
        <s v="Yin Dar"/>
        <s v="Tha Zin"/>
        <s v="Taw Pan Zin"/>
        <s v="U Saung Tan (lower)"/>
        <s v="Myar Lee Kan"/>
        <s v="Ah Lar Than"/>
        <s v="Aung Daing"/>
        <s v="Set Oe"/>
        <s v="Maw Thi Nyar"/>
        <s v="Tin Bi"/>
        <s v="Nga/ Pun Ywar Shey"/>
        <s v="Nga/Pun Ywar Gyi"/>
        <s v="Pa Lin Pyin (Rakhine, Main)"/>
        <s v="Pa Lin Pyin (Muslim)"/>
        <s v="Nyaung Pin Chaing"/>
        <s v="Pyin Boke"/>
        <s v="Pyaing Taung"/>
        <s v="Thea Khon"/>
        <s v="Thit Khoke Taw"/>
        <s v="Nam Khaung"/>
        <s v="Nyaung Pin Tar"/>
        <s v="Sut Yang"/>
        <s v="Nawng Mun"/>
        <s v="Htwei San Yang"/>
        <s v="Inn Shan Hku"/>
        <s v="Khar Shi"/>
        <s v="Htat Queen Baw Sar Dee"/>
        <s v="Jat Mai Yang"/>
        <s v="Mang Shang"/>
        <s v="Wu Ra Yang"/>
        <s v="Bum Taung"/>
        <s v="Mar Kyar"/>
        <s v="Lu Myang Ward (3)"/>
        <s v="La Kyaung"/>
        <s v="Hkang Bu"/>
        <s v="N Pawn/ Hang Gaw"/>
        <s v="Ni Ku De"/>
        <s v="Zi Kaw"/>
        <s v="Din Gum Yang"/>
        <s v="Shang Len Yang"/>
        <s v="Htara Zup"/>
        <s v="Ka Kyee Htu"/>
        <s v="In Yaw Kawng"/>
        <s v="Jar Htu Yang "/>
        <s v="Daw Lang Kawng"/>
        <s v="Bum Yar"/>
        <s v="N Byine Gar"/>
        <s v="Bum Rong"/>
        <s v="La Zee"/>
        <s v="La Yang"/>
        <s v="Sut Ja"/>
        <s v="In Pauk Chet"/>
        <s v="Au Ra Ka Htaung"/>
        <s v="In Bang Bum"/>
        <s v="In Lat Jar "/>
        <s v="Kawng San "/>
        <s v="Bum Noi"/>
        <s v="Hkin Du Yang"/>
        <s v="Long Wan"/>
        <s v="Aum Hta San Htu"/>
        <s v="In Ding Ding Sa"/>
        <s v="Hting Bu Kawng"/>
        <s v="In Hkai"/>
        <s v="Hkin Dawng"/>
        <s v="Wa Wan Gar"/>
        <s v="Mali Kawng Ja"/>
        <s v="Dam Gar"/>
        <s v="Ma Li Sut"/>
        <s v="Pang Hlut Lawng"/>
        <s v="Kawng Kaw"/>
        <s v="Ho Lawng"/>
        <s v="Man Myaing"/>
        <s v="Pei Huong"/>
        <s v="Chauk Maing "/>
        <s v="Hkain Chin"/>
        <s v="Nam Maw Sin"/>
        <s v="Kone Hsar"/>
        <s v="Lian Bang village"/>
        <s v="Lian He village"/>
        <s v="Ci He village"/>
        <s v="New Man Jiu village"/>
        <s v="Gant Gaw Kyun"/>
        <s v="Koe Soung 1"/>
        <s v="Koe Soung 2"/>
        <s v="Maw La Wee Kyan"/>
        <s v="Nar Yi Kan"/>
        <s v="Ohn Yae Paw"/>
        <s v="Pyar Lay Chaung"/>
        <s v="Pyin Shey"/>
        <s v="Than Daw Li"/>
        <s v="Thar Yar Kone Ka Man"/>
        <s v="Thar Yar Kone (Rakhine)"/>
        <s v="Taung Ka Lay"/>
        <s v="Htauk Ka Yar"/>
        <s v="Shauk Kone"/>
        <s v="Yar Sa"/>
        <s v="Yar Ki"/>
        <s v="Shan Gone"/>
        <s v="Naung Kha Lone"/>
        <s v="Yar The Yar"/>
        <s v="Yar Htut Khel"/>
        <s v="Yaw Hta"/>
        <s v="Tar Ka Lel Ni"/>
        <s v="War Kyal"/>
        <s v="Naung Taing Khee"/>
        <s v="Htee Poe War Mae"/>
        <s v="Naung Taing"/>
        <s v="Ahr Ku Ka Yaung"/>
        <s v="Kyaung Taw"/>
        <s v="Ka Nel Haw War"/>
        <s v="Htaing Boke"/>
        <s v="Kwee Hpar Taw"/>
        <s v="Tha Bauk Chaung" u="1"/>
        <s v="Nay Pu Khan" u="1"/>
        <s v="Aik Chan School " u="1"/>
        <s v="Bum Tsit Pa" u="1"/>
        <s v="Yae Hnyin Chaung" u="1"/>
        <s v="Peng Cai School" u="1"/>
        <s v="Da Jiu Zhai" u="1"/>
        <s v="Bang Ma Pai" u="1"/>
        <s v="Hpa Yar Pyin" u="1"/>
        <s v="Hla Nyo Kan" u="1"/>
        <s v="Ywa Haung" u="1"/>
        <s v="Kyauk Kyat" u="1"/>
        <s v="Pu Zun Hpe" u="1"/>
        <s v="HlaKhaing" u="1"/>
        <s v="Mong Hong" u="1"/>
        <s v="Taung Htaung Ha Yar" u="1"/>
        <s v="Zay Di Taung" u="1"/>
        <s v="Aung Tha Pyay" u="1"/>
        <s v="YinYeKan" u="1"/>
        <s v="Ah Lel Kyun" u="1"/>
        <s v="Pyaing Chaung" u="1"/>
        <s v="Chi Laing Hpin" u="1"/>
        <s v="Kyauk Hlay Kar" u="1"/>
        <s v="Kyee Kan Pyin (South)" u="1"/>
        <s v="Ho Pin Kyaing" u="1"/>
        <s v="Zay Kone Tan" u="1"/>
        <s v="Ah Htet Gar Pu" u="1"/>
        <s v="Maing Khaung" u="1"/>
        <s v="Nan Ba Qi" u="1"/>
        <s v="Taung Myint" u="1"/>
        <s v="Par Taw" u="1"/>
        <s v="Tha Yet Cho" u="1"/>
        <s v="Shauk Chaung" u="1"/>
        <s v="Ku La Thein" u="1"/>
        <s v="Yongben/Longdong Sicun" u="1"/>
        <s v="Kaung San" u="1"/>
        <s v="Min Gyi" u="1"/>
        <s v="Kyauk Se" u="1"/>
        <s v="Ah Nauk" u="1"/>
        <s v="Pyar" u="1"/>
        <s v="Aung Min Ga Lar Ward" u="1"/>
        <s v="Shui Jin Tu" u="1"/>
        <s v="Dar Paing Sa Yar" u="1"/>
        <s v="Bar Ri Zar" u="1"/>
        <s v="Taung U" u="1"/>
        <s v="Kyar Nyo Pyin (Muslim)" u="1"/>
        <s v="Kar Hpi Chaung" u="1"/>
        <s v="MiGyaungTet" u="1"/>
        <s v="Jing Yan" u="1"/>
        <s v="Aung Pa" u="1"/>
        <s v="Shwe Baho" u="1"/>
        <s v="Sabei Hla" u="1"/>
        <s v="PyunTo" u="1"/>
        <s v="Har Bi (West)" u="1"/>
        <s v="Kyauk Yit (Rakhine)" u="1"/>
        <s v="Oke Taung Pyin" u="1"/>
        <s v="Tat Min Chaung (Daing Net/Rakhine)" u="1"/>
        <s v="Pya Hla " u="1"/>
        <s v="Thein Tan (Rakhine)" u="1"/>
        <s v="Nan Ma Kaw" u="1"/>
        <s v="Xiao Ming Shan" u="1"/>
        <s v="Tha Yet Oke Ywar Thit" u="1"/>
        <s v="Shuang Pa" u="1"/>
        <s v="Xia Man Le" u="1"/>
        <s v="Ward (1)" u="1"/>
        <s v="Longdong Ercun" u="1"/>
        <s v="Ywar Gyi (Middle)" u="1"/>
        <s v="Ku Lar Te" u="1"/>
        <s v="Ah Twin Hnget Thay" u="1"/>
        <s v="Chang Liu Shui" u="1"/>
        <s v="Thein Tan (Ku Lar)" u="1"/>
        <s v="Htan Shauk Khan" u="1"/>
        <s v="Wan Gang Long" u="1"/>
        <s v="Pin Zaing" u="1"/>
        <s v="Pae Youne (NaTaLa)" u="1"/>
        <s v="Thar Zay Kone (Thar Zi Kone)" u="1"/>
        <s v="KaLarChaung" u="1"/>
        <s v="Tha Peik Taung (Rakhine)" u="1"/>
        <s v="Wan Hui" u="1"/>
        <s v="Ah Lel Than Kyaw" u="1"/>
        <s v="Wet Hla Middle School" u="1"/>
        <s v="Tha Yet Pyin (Rakhine)" u="1"/>
        <s v="Mone Gon" u="1"/>
        <s v="Thay Kan (Rakhine)" u="1"/>
        <s v="Chan Pyin" u="1"/>
        <s v="Nga Khu Chaung" u="1"/>
        <s v="Wai Thar Li" u="1"/>
        <s v="Koe Na Win" u="1"/>
        <s v="Bo He" u="1"/>
        <s v="Sar Pyin" u="1"/>
        <s v="Da Pyu Chaung" u="1"/>
        <s v="Shou Gong" u="1"/>
        <s v="Kin Chaung" u="1"/>
        <s v="Teik Tu Pauk" u="1"/>
        <s v="Kan Sauk" u="1"/>
        <s v="Wet Kyein" u="1"/>
        <s v="Tha Yet Oke Ywar Haung" u="1"/>
        <s v="San Thar Pyin" u="1"/>
        <s v="Ngar Yauk Kaing" u="1"/>
        <s v="Huang Tian" u="1"/>
        <s v="Niu Chang" u="1"/>
        <s v="Min Te" u="1"/>
        <s v="Thone Gwa" u="1"/>
        <s v="Nan Mong" u="1"/>
        <s v="Ywar Thit Kay Monastery" u="1"/>
        <s v="Zaw Pu Gyar" u="1"/>
        <s v="Than Chay (Rakhine)" u="1"/>
        <s v="Kan Thar Yar" u="1"/>
        <s v="Nyaung Pin Gyi (Ku Lar)" u="1"/>
        <s v="Nan Kya (Nan Kyar)" u="1"/>
        <s v="Oak Ta Ma" u="1"/>
        <s v="Ah Nauk Pyin" u="1"/>
        <s v="Ka Yin" u="1"/>
        <s v="Thin Baw Hla (Rakhine) (Thar Yar Gone)" u="1"/>
        <s v="Suo Yi" u="1"/>
        <s v="Kyu Taw Chaing" u="1"/>
        <s v="Yang Kuang" u="1"/>
        <s v="Taung Htaung" u="1"/>
        <s v="Nga Kyin Tauk" u="1"/>
        <s v="Yar Taik" u="1"/>
        <s v="Na Nwin Ku" u="1"/>
        <s v="Nyaung Chaung" u="1"/>
        <s v="Thay Kan (Muslim)" u="1"/>
        <s v="Nwar Yone Taung" u="1"/>
        <s v="Gu Dar Pyin" u="1"/>
        <s v="Pon Nar" u="1"/>
        <s v="Taung Htaung Hayar_Wa Lar Kan (Ku Lar)" u="1"/>
        <s v="Nga Ta Paung" u="1"/>
        <s v="Ah Nauk San Pya Ward" u="1"/>
        <s v="Yae Nauk Ngar Thar" u="1"/>
        <s v="Yun Nyar" u="1"/>
        <s v="San Go Taung" u="1"/>
        <s v="NgaWetSway" u="1"/>
        <s v="Ywet Nyo Taung" u="1"/>
        <s v="OhnHnanChaung" u="1"/>
        <s v="Bu Ywet Ma Nyoe" u="1"/>
        <s v="Thit Pok Chaung" u="1"/>
        <s v="Done Thein" u="1"/>
        <s v="Baw Li (Muslim)" u="1"/>
        <s v="Kar Di (Middle)" u="1"/>
        <s v="Pa Lin" u="1"/>
        <s v="Yin Pan Zhong Mian You Hao School" u="1"/>
        <s v="Aung Tat Ward (Dein Kyi Monastery)" u="1"/>
        <s v="War Lan" u="1"/>
        <s v="Shwe Hlaing" u="1"/>
        <s v="Shwe Yin Aye (NaTaLa)" u="1"/>
        <s v="Wan Nan" u="1"/>
        <s v="Say Tha Mar Gyi village" u="1"/>
        <s v="Gwa Sone (Rakhine)" u="1"/>
        <s v="Ah Shey" u="1"/>
        <s v="Laung Chaung" u="1"/>
        <s v="An Ka" u="1"/>
        <s v="Chaung Du" u="1"/>
        <s v="Pi Htu_Wa Lar Kan" u="1"/>
        <s v="Ta Yar Thee Su Ward" u="1"/>
        <s v="Tha Dar" u="1"/>
        <s v="Daung Puauk Kay" u="1"/>
        <s v="MinPauk" u="1"/>
        <s v="Gar Pu (Lower)" u="1"/>
        <s v="Da Mian Si" u="1"/>
        <s v="Inn Hpauk" u="1"/>
        <s v="Kan Thar Yar(Upper)" u="1"/>
        <s v="Sa Bai Pin Yin" u="1"/>
        <s v="Ban Mo" u="1"/>
        <s v="Nga Yant Chaung" u="1"/>
        <s v="Khaung Htoke" u="1"/>
        <s v="Longdong Sancun" u="1"/>
        <s v="U Sun Taung" u="1"/>
        <s v="Zay Di Taung (Rakhine)" u="1"/>
        <s v="Pi Pin Yin Monastery" u="1"/>
        <s v="In Bar Yi" u="1"/>
        <s v="Shui Wa" u="1"/>
        <s v="War Lan Kone" u="1"/>
        <s v="Kone Tan" u="1"/>
        <s v="Ah Lel Chaung" u="1"/>
        <s v="ThonePetChaing" u="1"/>
        <s v="Qiu Shui" u="1"/>
        <s v="Kyar Nyo Inn" u="1"/>
        <s v="Palae' Kaine" u="1"/>
        <s v="Kin Taung" u="1"/>
        <s v="Kan Thar Yar(Lower)" u="1"/>
        <s v="Goke Pi Htaunt" u="1"/>
        <s v="Nao Ou" u="1"/>
        <s v="Xi Cun Ba" u="1"/>
        <s v="Hpon Nyo Leik" u="1"/>
        <s v="Nan Yah Gone Ahtet" u="1"/>
        <s v="Gwa Sone (Muslim)" u="1"/>
        <s v="NgweTwinDway" u="1"/>
        <s v="Lana Zup Ja" u="1"/>
        <s v="Mee Kyaung Khaung Swea" u="1"/>
        <s v="Ban Lot" u="1"/>
        <s v="Ban Mon" u="1"/>
        <s v="U Gar Hton" u="1"/>
        <s v="Say Taung" u="1"/>
        <s v="Ngar Saung Bet" u="1"/>
        <s v="Gyin Chaung" u="1"/>
        <s v="Paung Zar" u="1"/>
        <s v="Tat U Chaung (West)" u="1"/>
        <s v="Pyar Pin Yin" u="1"/>
        <s v="Ku Lar Chaung" u="1"/>
        <s v="Tin Htein Kan Monastery" u="1"/>
        <s v="Xitong Lengkang " u="1"/>
        <s v="Sha Kay Ywa" u="1"/>
        <s v="Ywa Thit" u="1"/>
        <s v="Inn Gyin Myaing (NaTaLa)" u="1"/>
        <s v="Pyein Chaung (ngwe Twin Dway tract)" u="1"/>
        <s v="Kar Di Ha Yar" u="1"/>
        <s v="Ah Pauk Wa" u="1"/>
        <s v="Hteik Wa Pyin" u="1"/>
        <s v="Shi Ma Shan" u="1"/>
        <s v="Hpa Yar Pyin Thein Tan" u="1"/>
        <s v="Tat Min Chaung (Muslim)" u="1"/>
        <s v="Meng Suo" u="1"/>
        <s v="Min Gan 1" u="1"/>
        <s v="Ka Nyin Taw" u="1"/>
        <s v="Ngwe Taung" u="1"/>
        <s v="Tha Yet" u="1"/>
        <s v="Chaung Hpyar" u="1"/>
        <s v="Pa Jiu" u="1"/>
        <s v="Ar Kya" u="1"/>
        <s v="Kha Maung Seik" u="1"/>
        <s v="Baw Li (Rakhine)" u="1"/>
        <s v="Kyet Yoe Pyin (Ywa Ma)" u="1"/>
        <s v="Dong Ma Ga" u="1"/>
        <s v="Gone Nar" u="1"/>
        <s v="Pyaung Seik" u="1"/>
        <s v="Ma Mu Shu" u="1"/>
        <s v="Na Kan (weat)" u="1"/>
        <s v="Gan Gaw Myaing ( Na Ta La )" u="1"/>
        <s v="Zaw Ma Tat" u="1"/>
        <s v="Aung Thar Yar" u="1"/>
        <s v="Min Thar Seik" u="1"/>
        <s v="Shwe Pyi Thar" u="1"/>
        <s v="Ka Doe Seik" u="1"/>
        <s v="Kine Gyi (Myo)" u="1"/>
        <s v="Shat Shar Taung" u="1"/>
        <s v="Shwe Baho+Sein P M" u="1"/>
        <s v="Aung Mingalar (NaTaLa)" u="1"/>
        <s v="Aung Thar Yar (NaTaLa)" u="1"/>
        <s v="Pa Ha (Lisu)" u="1"/>
        <s v="Shan Kone" u="1"/>
        <s v="Aung Zay Ya (Su See)" u="1"/>
        <s v="Ta Man Thar (Thar Zay)_(Myo)" u="1"/>
        <s v="Ba Lie" u="1"/>
        <s v="Let Saung Kauk" u="1"/>
      </sharedItems>
    </cacheField>
    <cacheField name="Total HH" numFmtId="164">
      <sharedItems containsString="0" containsBlank="1" containsNumber="1" containsInteger="1" minValue="8" maxValue="2100"/>
    </cacheField>
    <cacheField name="Total PoP " numFmtId="164">
      <sharedItems containsSemiMixedTypes="0" containsString="0" containsNumber="1" containsInteger="1" minValue="31" maxValue="12993"/>
    </cacheField>
    <cacheField name="Project start date" numFmtId="168">
      <sharedItems containsDate="1" containsMixedTypes="1" minDate="2017-01-01T00:00:00" maxDate="2020-05-02T00:00:00"/>
    </cacheField>
    <cacheField name="Project end date" numFmtId="165">
      <sharedItems containsDate="1" containsMixedTypes="1" minDate="2019-12-31T00:00:00" maxDate="2023-01-01T00:00:00"/>
    </cacheField>
    <cacheField name="#of students in school" numFmtId="164">
      <sharedItems containsString="0" containsBlank="1" containsNumber="1" containsInteger="1" minValue="0" maxValue="531"/>
    </cacheField>
    <cacheField name="# Work days (approx) lost in this site due to access restrictions" numFmtId="164">
      <sharedItems containsString="0" containsBlank="1" containsNumber="1" containsInteger="1" minValue="0" maxValue="454"/>
    </cacheField>
    <cacheField name="#_Functioning_protected_hand_dug_well/open_well" numFmtId="164">
      <sharedItems containsString="0" containsBlank="1" containsNumber="1" containsInteger="1" minValue="0" maxValue="193"/>
    </cacheField>
    <cacheField name="#_Functioning_Tube_wells/boreholes/hand_pumps_including_community's_own_hand_pumps" numFmtId="164">
      <sharedItems containsString="0" containsBlank="1" containsNumber="1" containsInteger="1" minValue="0" maxValue="826"/>
    </cacheField>
    <cacheField name="#_Existing_protected/fenced_ponds" numFmtId="164">
      <sharedItems containsString="0" containsBlank="1" containsNumber="1" containsInteger="1" minValue="0" maxValue="7"/>
    </cacheField>
    <cacheField name="#_of_total_(Liters)_stored_in_Constructed/Existing_water_storage_tank_with_gravity_fed_reticulation_system" numFmtId="164">
      <sharedItems containsString="0" containsBlank="1" containsNumber="1" containsInteger="1" minValue="0" maxValue="12000"/>
    </cacheField>
    <cacheField name="#_of_people_accessing_to_other_types_of_un-improved_water_sources_(river,_spring)" numFmtId="164">
      <sharedItems containsString="0" containsBlank="1" containsNumber="1" containsInteger="1" minValue="0" maxValue="3946"/>
    </cacheField>
    <cacheField name="#_Functioning_water_points_at_school" numFmtId="164">
      <sharedItems containsString="0" containsBlank="1" containsNumber="1" containsInteger="1" minValue="0" maxValue="2"/>
    </cacheField>
    <cacheField name="WATER_Comments" numFmtId="49">
      <sharedItems containsNonDate="0" containsString="0" containsBlank="1"/>
    </cacheField>
    <cacheField name="#_of_sanitary_fly-proof_HH_latrines" numFmtId="164">
      <sharedItems containsString="0" containsBlank="1" containsNumber="1" containsInteger="1" minValue="0" maxValue="1408"/>
    </cacheField>
    <cacheField name="Availability_of_drainage_in_school_compound_(Yes_or_No)" numFmtId="164">
      <sharedItems containsBlank="1" containsMixedTypes="1" containsNumber="1" containsInteger="1" minValue="0" maxValue="50" count="6">
        <m/>
        <s v="Yes"/>
        <s v="No"/>
        <s v="NA"/>
        <n v="0"/>
        <n v="50" u="1"/>
      </sharedItems>
    </cacheField>
    <cacheField name="#_of_Functioning_latrines_in_school" numFmtId="164">
      <sharedItems containsString="0" containsBlank="1" containsNumber="1" containsInteger="1" minValue="0" maxValue="14"/>
    </cacheField>
    <cacheField name="#_of_PWD_at_village" numFmtId="164">
      <sharedItems containsString="0" containsBlank="1" containsNumber="1" containsInteger="1" minValue="0" maxValue="47"/>
    </cacheField>
    <cacheField name="#_of_PWD_with_adapted_sanitation_option_at_HH_level_" numFmtId="164">
      <sharedItems containsString="0" containsBlank="1" containsNumber="1" containsInteger="1" minValue="0" maxValue="93"/>
    </cacheField>
    <cacheField name="#_of_PWD_at_school" numFmtId="164">
      <sharedItems containsString="0" containsBlank="1" containsNumber="1" containsInteger="1" minValue="0" maxValue="1"/>
    </cacheField>
    <cacheField name="#_of_PWD_with_access_to_adapted_sanitation_option_at_School" numFmtId="164">
      <sharedItems containsString="0" containsBlank="1" containsNumber="1" containsInteger="1" minValue="0" maxValue="0"/>
    </cacheField>
    <cacheField name="SANITATION_Comment" numFmtId="49">
      <sharedItems containsBlank="1"/>
    </cacheField>
    <cacheField name="#_of_Men_who_received_appropirate/community_tailored_hygiene_messages" numFmtId="164">
      <sharedItems containsString="0" containsBlank="1" containsNumber="1" containsInteger="1" minValue="0" maxValue="744"/>
    </cacheField>
    <cacheField name="#_of_Women_who_received_appropirate/community_tailored_hygiene_messages" numFmtId="164">
      <sharedItems containsString="0" containsBlank="1" containsNumber="1" containsInteger="1" minValue="0" maxValue="828"/>
    </cacheField>
    <cacheField name="#_of_Boys_who_received_appropirate/community_tailored_hygiene_messages" numFmtId="164">
      <sharedItems containsString="0" containsBlank="1" containsNumber="1" containsInteger="1" minValue="0" maxValue="743"/>
    </cacheField>
    <cacheField name="#_of_Girls_who_received_appropirate/community_tailored_hygiene_messages" numFmtId="164">
      <sharedItems containsString="0" containsBlank="1" containsNumber="1" containsInteger="1" minValue="0" maxValue="727"/>
    </cacheField>
    <cacheField name="#_of_students_(boys)_who_received_appropirate_hygiene_messages" numFmtId="164">
      <sharedItems containsString="0" containsBlank="1" containsNumber="1" containsInteger="1" minValue="0" maxValue="743"/>
    </cacheField>
    <cacheField name="#_of_students_(girls)_who_received_appropirate_hygiene_messages" numFmtId="164">
      <sharedItems containsString="0" containsBlank="1" containsNumber="1" containsInteger="1" minValue="0" maxValue="727"/>
    </cacheField>
    <cacheField name="#_of_functional_handwashing_facilities_at_HH_level" numFmtId="164">
      <sharedItems containsString="0" containsBlank="1" containsNumber="1" containsInteger="1" minValue="0" maxValue="65"/>
    </cacheField>
    <cacheField name="#_of_functional_handwashing_facilities_at_school" numFmtId="164">
      <sharedItems containsString="0" containsBlank="1" containsNumber="1" containsInteger="1" minValue="0" maxValue="4"/>
    </cacheField>
    <cacheField name="#_of_affected_households_receiving_a_sufficient_quantity_of_soap" numFmtId="164">
      <sharedItems containsString="0" containsBlank="1" containsNumber="1" containsInteger="1" minValue="0" maxValue="2050"/>
    </cacheField>
    <cacheField name="#_of_affected_women_and_girls_receiving_a_sufficient_quantity_of_sanitary_pads" numFmtId="164">
      <sharedItems containsString="0" containsBlank="1" containsNumber="1" containsInteger="1" minValue="0" maxValue="1019"/>
    </cacheField>
    <cacheField name="HYGIENE_Comments" numFmtId="49">
      <sharedItems containsBlank="1"/>
    </cacheField>
    <cacheField name="%_of_affected_people_surveyed_who_feel_informed_about_the_WASH_services_available_to_them" numFmtId="9">
      <sharedItems containsBlank="1" containsMixedTypes="1" containsNumber="1" minValue="0" maxValue="1"/>
    </cacheField>
    <cacheField name="%_of_people_surveryed_who_know_how_to_and_feel_comfortable_to_make_suggestions_or_complaints" numFmtId="9">
      <sharedItems containsBlank="1" containsMixedTypes="1" containsNumber="1" minValue="0" maxValue="1"/>
    </cacheField>
    <cacheField name="#_of_sanitation_facilities_(latrines)_built/repaired/rehabilitated_following_risk-sensitive_programming_and_consultation_with_communities_and/or_GBV_risk-sensitive_programming" numFmtId="164">
      <sharedItems containsBlank="1" containsMixedTypes="1" containsNumber="1" containsInteger="1" minValue="0" maxValue="0"/>
    </cacheField>
    <cacheField name="#_of_sanitation_facilities_(HH_sanitation_devices)_distributed_following_risk-sensitive_programming_and_consultation_with_communities_and/or_GBV_risk-sensitive_programming" numFmtId="164">
      <sharedItems containsBlank="1" containsMixedTypes="1" containsNumber="1" containsInteger="1" minValue="0" maxValue="0"/>
    </cacheField>
    <cacheField name="#_of_sanitation_facilities_(bathing_spaces)_built_following_risk-sensitive_programming_and_consultation_with_communities" numFmtId="164">
      <sharedItems containsBlank="1" containsMixedTypes="1" containsNumber="1" containsInteger="1" minValue="0" maxValue="0"/>
    </cacheField>
    <cacheField name="%Equitable and continuous access to sufficient quantity of safe drinking water" numFmtId="9">
      <sharedItems containsSemiMixedTypes="0" containsString="0" containsNumber="1" minValue="0" maxValue="1"/>
    </cacheField>
    <cacheField name="# people with equitable and continuous access to sufficient quantity of safe drinking water" numFmtId="1">
      <sharedItems containsSemiMixedTypes="0" containsString="0" containsNumber="1" minValue="0" maxValue="12993"/>
    </cacheField>
    <cacheField name="% Access to unimproved water points" numFmtId="9">
      <sharedItems containsSemiMixedTypes="0" containsString="0" containsNumber="1" minValue="0" maxValue="1"/>
    </cacheField>
    <cacheField name="#People access to unimproved water sources" numFmtId="1">
      <sharedItems containsSemiMixedTypes="0" containsString="0" containsNumber="1" minValue="0" maxValue="12993"/>
    </cacheField>
    <cacheField name="% Equitable and continuous access to sufficient quantity of domestic water" numFmtId="9">
      <sharedItems containsSemiMixedTypes="0" containsString="0" containsNumber="1" minValue="0" maxValue="1"/>
    </cacheField>
    <cacheField name="HRP1" numFmtId="1">
      <sharedItems containsSemiMixedTypes="0" containsString="0" containsNumber="1" minValue="0" maxValue="12993"/>
    </cacheField>
    <cacheField name="#Water points coverage" numFmtId="1">
      <sharedItems containsSemiMixedTypes="0" containsString="0" containsNumber="1" minValue="0" maxValue="51.972000000000001"/>
    </cacheField>
    <cacheField name="%equitable and continuous access to sufficient quantity of safe drinking and domestic water's GAP" numFmtId="9">
      <sharedItems containsSemiMixedTypes="0" containsString="0" containsNumber="1" minValue="0" maxValue="1"/>
    </cacheField>
    <cacheField name="# people needs equitable and continuous access to sufficient quantity of safe drinking and domestic water GAP" numFmtId="1">
      <sharedItems containsSemiMixedTypes="0" containsString="0" containsNumber="1" containsInteger="1" minValue="0" maxValue="3007"/>
    </cacheField>
    <cacheField name="#Potential required new water points" numFmtId="1">
      <sharedItems containsSemiMixedTypes="0" containsString="0" containsNumber="1" minValue="0" maxValue="12"/>
    </cacheField>
    <cacheField name="Total required water points" numFmtId="1">
      <sharedItems containsSemiMixedTypes="0" containsString="0" containsNumber="1" containsInteger="1" minValue="1" maxValue="52"/>
    </cacheField>
    <cacheField name="% people access to functioning Latrine" numFmtId="9">
      <sharedItems containsSemiMixedTypes="0" containsString="0" containsNumber="1" minValue="0" maxValue="1"/>
    </cacheField>
    <cacheField name="HRP2" numFmtId="1">
      <sharedItems containsSemiMixedTypes="0" containsString="0" containsNumber="1" minValue="0" maxValue="1680"/>
    </cacheField>
    <cacheField name="# students access to functioning school latrines" numFmtId="1">
      <sharedItems containsSemiMixedTypes="0" containsString="0" containsNumber="1" containsInteger="1" minValue="0" maxValue="700"/>
    </cacheField>
    <cacheField name="Total required Latrines" numFmtId="1">
      <sharedItems containsSemiMixedTypes="0" containsString="0" containsNumber="1" containsInteger="1" minValue="5" maxValue="2166"/>
    </cacheField>
    <cacheField name="# potential required new latrines" numFmtId="1">
      <sharedItems containsSemiMixedTypes="0" containsString="0" containsNumber="1" containsInteger="1" minValue="0" maxValue="1948"/>
    </cacheField>
    <cacheField name="% of Latrine Gap" numFmtId="9">
      <sharedItems containsSemiMixedTypes="0" containsString="0" containsNumber="1" minValue="0" maxValue="1"/>
    </cacheField>
    <cacheField name="# people reached by regular dedicated hygiene promotion" numFmtId="1">
      <sharedItems containsSemiMixedTypes="0" containsString="0" containsNumber="1" containsInteger="1" minValue="0" maxValue="3007"/>
    </cacheField>
    <cacheField name="# people access to functional handwashing facilities" numFmtId="1">
      <sharedItems containsSemiMixedTypes="0" containsString="0" containsNumber="1" containsInteger="1" minValue="0" maxValue="323"/>
    </cacheField>
    <cacheField name="HRP3" numFmtId="1">
      <sharedItems containsSemiMixedTypes="0" containsString="0" containsNumber="1" containsInteger="1" minValue="0" maxValue="5579"/>
    </cacheField>
    <cacheField name="Hygiene Coverage%" numFmtId="9">
      <sharedItems containsSemiMixedTypes="0" containsString="0" containsNumber="1" minValue="0" maxValue="1"/>
    </cacheField>
    <cacheField name="Hygiene Gap%" numFmtId="9">
      <sharedItems containsSemiMixedTypes="0" containsString="0" containsNumber="1" minValue="0" maxValue="1"/>
    </cacheField>
    <cacheField name="%people reached by regular dedicated hygiene promotion" numFmtId="9">
      <sharedItems containsSemiMixedTypes="0" containsString="0" containsNumber="1" minValue="0" maxValue="1"/>
    </cacheField>
    <cacheField name="# People with access to soap" numFmtId="1">
      <sharedItems containsSemiMixedTypes="0" containsString="0" containsNumber="1" containsInteger="1" minValue="0" maxValue="5579"/>
    </cacheField>
    <cacheField name="# People with access to Sanity Pads" numFmtId="1">
      <sharedItems containsSemiMixedTypes="0" containsString="0" containsNumber="1" containsInteger="1" minValue="0" maxValue="1019"/>
    </cacheField>
    <cacheField name="# People received regular supply of hygiene items" numFmtId="164">
      <sharedItems containsSemiMixedTypes="0" containsString="0" containsNumber="1" containsInteger="1" minValue="0" maxValue="5579"/>
    </cacheField>
    <cacheField name="Village with School" numFmtId="1">
      <sharedItems count="2">
        <s v="No"/>
        <s v="Yes"/>
      </sharedItems>
    </cacheField>
    <cacheField name="Location Type 1" numFmtId="0">
      <sharedItems/>
    </cacheField>
    <cacheField name="Type of accommodation" numFmtId="0">
      <sharedItems containsMixedTypes="1" containsNumber="1" containsInteger="1" minValue="0" maxValue="0" count="4">
        <s v="Village"/>
        <s v="Returned"/>
        <s v="Relocated"/>
        <n v="0" u="1"/>
      </sharedItems>
    </cacheField>
    <cacheField name="Ethnic or GCA/NGCA" numFmtId="0">
      <sharedItems containsBlank="1" containsMixedTypes="1" containsNumber="1" containsInteger="1" minValue="0" maxValue="0"/>
    </cacheField>
    <cacheField name="Lat" numFmtId="0">
      <sharedItems containsSemiMixedTypes="0" containsString="0" containsNumber="1" minValue="0" maxValue="93.005447387695298"/>
    </cacheField>
    <cacheField name="Long" numFmtId="0">
      <sharedItems containsSemiMixedTypes="0" containsString="0" containsNumber="1" minValue="0" maxValue="93.714859008789105"/>
    </cacheField>
    <cacheField name="Pcode" numFmtId="0">
      <sharedItems containsMixedTypes="1" containsNumber="1" containsInteger="1" minValue="0" maxValue="220747"/>
    </cacheField>
    <cacheField name="Covered" numFmtId="0">
      <sharedItems containsBlank="1" count="4">
        <s v="Covered"/>
        <m u="1"/>
        <e v="#REF!" u="1"/>
        <s v="Notcovered" u="1"/>
      </sharedItems>
    </cacheField>
    <cacheField name="Remark" numFmtId="0">
      <sharedItems containsNonDate="0" containsString="0" containsBlank="1"/>
    </cacheField>
    <cacheField name="Total Latrines" numFmtId="0" formula="#NAME?+#NAME?" databaseField="0"/>
    <cacheField name="% Water source Treated" numFmtId="0" formula="#NAME?/#NAME?" databaseField="0"/>
    <cacheField name="% Hygiene Gap" numFmtId="0" formula=" 1-'% Hygiene Coverage'" databaseField="0"/>
    <cacheField name="% Hygiene Coverage" numFmtId="0" formula="HRP3/'Total PoP '" databaseField="0"/>
    <cacheField name="% Water Coverage" numFmtId="0" formula="HRP1/'Total PoP '" databaseField="0"/>
    <cacheField name="% Water GAP" numFmtId="0" formula=" 1-'% Water Coverage'" databaseField="0"/>
    <cacheField name="% Sanitation Coverage" numFmtId="0" formula="HRP2/'Total PoP '" databaseField="0"/>
    <cacheField name="% Sanitation GAP" numFmtId="0" formula=" 1-'% Sanitation Coverag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3">
  <r>
    <x v="0"/>
    <x v="0"/>
    <x v="0"/>
    <s v="UNICEF"/>
    <x v="0"/>
    <x v="0"/>
    <x v="0"/>
    <x v="0"/>
    <m/>
    <n v="133"/>
    <d v="2018-06-07T00:00:00"/>
    <d v="2019-12-31T00:00:00"/>
    <m/>
    <m/>
    <m/>
    <m/>
    <m/>
    <m/>
    <m/>
    <m/>
    <m/>
    <m/>
    <x v="0"/>
    <m/>
    <m/>
    <m/>
    <m/>
    <m/>
    <m/>
    <n v="104"/>
    <n v="189"/>
    <n v="1"/>
    <n v="1"/>
    <m/>
    <m/>
    <m/>
    <m/>
    <m/>
    <m/>
    <m/>
    <m/>
    <m/>
    <m/>
    <m/>
    <m/>
    <n v="0"/>
    <n v="0"/>
    <n v="0"/>
    <n v="0"/>
    <n v="0"/>
    <n v="0"/>
    <n v="0"/>
    <n v="1"/>
    <n v="133"/>
    <n v="1"/>
    <n v="1"/>
    <n v="0"/>
    <n v="0"/>
    <n v="0"/>
    <n v="22"/>
    <n v="22"/>
    <n v="1"/>
    <n v="133"/>
    <n v="0"/>
    <n v="133"/>
    <n v="1"/>
    <n v="0"/>
    <n v="1"/>
    <n v="0"/>
    <n v="0"/>
    <n v="0"/>
    <x v="0"/>
    <s v="Village"/>
    <x v="0"/>
    <n v="0"/>
    <n v="0"/>
    <n v="0"/>
    <n v="0"/>
    <x v="0"/>
    <m/>
  </r>
  <r>
    <x v="0"/>
    <x v="0"/>
    <x v="0"/>
    <s v="UNICEF"/>
    <x v="0"/>
    <x v="0"/>
    <x v="0"/>
    <x v="1"/>
    <m/>
    <n v="240"/>
    <d v="2018-06-07T00:00:00"/>
    <d v="2019-12-31T00:00:00"/>
    <m/>
    <m/>
    <m/>
    <m/>
    <m/>
    <m/>
    <m/>
    <m/>
    <m/>
    <n v="3"/>
    <x v="0"/>
    <m/>
    <m/>
    <m/>
    <m/>
    <m/>
    <m/>
    <n v="21"/>
    <n v="37"/>
    <n v="36"/>
    <n v="41"/>
    <m/>
    <m/>
    <m/>
    <m/>
    <m/>
    <m/>
    <m/>
    <m/>
    <m/>
    <m/>
    <m/>
    <m/>
    <n v="0"/>
    <n v="0"/>
    <n v="0"/>
    <n v="0"/>
    <n v="0"/>
    <n v="0"/>
    <n v="0"/>
    <n v="1"/>
    <n v="240"/>
    <n v="1"/>
    <n v="1"/>
    <n v="7.4999999999999997E-2"/>
    <n v="18"/>
    <n v="0"/>
    <n v="40"/>
    <n v="37"/>
    <n v="0.92500000000000004"/>
    <n v="135"/>
    <n v="0"/>
    <n v="135"/>
    <n v="0.5625"/>
    <n v="0.4375"/>
    <n v="0.5625"/>
    <n v="0"/>
    <n v="0"/>
    <n v="0"/>
    <x v="0"/>
    <s v="Village"/>
    <x v="0"/>
    <n v="0"/>
    <n v="0"/>
    <n v="0"/>
    <n v="0"/>
    <x v="0"/>
    <m/>
  </r>
  <r>
    <x v="0"/>
    <x v="0"/>
    <x v="0"/>
    <s v="UNICEF"/>
    <x v="0"/>
    <x v="0"/>
    <x v="0"/>
    <x v="2"/>
    <m/>
    <n v="836"/>
    <d v="2018-06-07T00:00:00"/>
    <d v="2019-12-31T00:00:00"/>
    <m/>
    <m/>
    <m/>
    <m/>
    <m/>
    <m/>
    <m/>
    <m/>
    <m/>
    <m/>
    <x v="0"/>
    <m/>
    <m/>
    <m/>
    <m/>
    <m/>
    <m/>
    <n v="177"/>
    <n v="44"/>
    <m/>
    <m/>
    <m/>
    <m/>
    <m/>
    <m/>
    <m/>
    <m/>
    <m/>
    <m/>
    <m/>
    <m/>
    <m/>
    <m/>
    <n v="0"/>
    <n v="0"/>
    <n v="0"/>
    <n v="0"/>
    <n v="0"/>
    <n v="0"/>
    <n v="0"/>
    <n v="1"/>
    <n v="836"/>
    <n v="3"/>
    <n v="3"/>
    <n v="0"/>
    <n v="0"/>
    <n v="0"/>
    <n v="139"/>
    <n v="139"/>
    <n v="1"/>
    <n v="221"/>
    <n v="0"/>
    <n v="221"/>
    <n v="0.26435406698564595"/>
    <n v="0.7356459330143541"/>
    <n v="0.26435406698564595"/>
    <n v="0"/>
    <n v="0"/>
    <n v="0"/>
    <x v="0"/>
    <s v="Village"/>
    <x v="0"/>
    <n v="0"/>
    <n v="0"/>
    <n v="0"/>
    <n v="0"/>
    <x v="0"/>
    <m/>
  </r>
  <r>
    <x v="0"/>
    <x v="0"/>
    <x v="0"/>
    <s v="UNICEF"/>
    <x v="0"/>
    <x v="1"/>
    <x v="0"/>
    <x v="3"/>
    <m/>
    <n v="258"/>
    <d v="2018-06-07T00:00:00"/>
    <d v="2019-12-31T00:00:00"/>
    <m/>
    <m/>
    <m/>
    <m/>
    <m/>
    <m/>
    <m/>
    <m/>
    <m/>
    <m/>
    <x v="0"/>
    <m/>
    <m/>
    <m/>
    <m/>
    <m/>
    <m/>
    <n v="51"/>
    <n v="44"/>
    <n v="2"/>
    <m/>
    <m/>
    <m/>
    <m/>
    <m/>
    <m/>
    <m/>
    <m/>
    <m/>
    <m/>
    <m/>
    <m/>
    <m/>
    <n v="0"/>
    <n v="0"/>
    <n v="0"/>
    <n v="0"/>
    <n v="0"/>
    <n v="0"/>
    <n v="0"/>
    <n v="1"/>
    <n v="258"/>
    <n v="1"/>
    <n v="1"/>
    <n v="0"/>
    <n v="0"/>
    <n v="0"/>
    <n v="43"/>
    <n v="43"/>
    <n v="1"/>
    <n v="97"/>
    <n v="0"/>
    <n v="97"/>
    <n v="0.37596899224806202"/>
    <n v="0.62403100775193798"/>
    <n v="0.37596899224806202"/>
    <n v="0"/>
    <n v="0"/>
    <n v="0"/>
    <x v="0"/>
    <s v="Village"/>
    <x v="0"/>
    <n v="0"/>
    <n v="0"/>
    <n v="0"/>
    <n v="0"/>
    <x v="0"/>
    <m/>
  </r>
  <r>
    <x v="0"/>
    <x v="0"/>
    <x v="0"/>
    <s v="UNICEF"/>
    <x v="0"/>
    <x v="1"/>
    <x v="0"/>
    <x v="4"/>
    <m/>
    <n v="190"/>
    <d v="2018-06-07T00:00:00"/>
    <d v="2019-12-31T00:00:00"/>
    <m/>
    <m/>
    <m/>
    <m/>
    <m/>
    <m/>
    <m/>
    <m/>
    <m/>
    <m/>
    <x v="0"/>
    <m/>
    <m/>
    <m/>
    <m/>
    <m/>
    <m/>
    <n v="247"/>
    <n v="238"/>
    <m/>
    <m/>
    <m/>
    <m/>
    <m/>
    <m/>
    <m/>
    <m/>
    <m/>
    <m/>
    <m/>
    <m/>
    <m/>
    <m/>
    <n v="0"/>
    <n v="0"/>
    <n v="0"/>
    <n v="0"/>
    <n v="0"/>
    <n v="0"/>
    <n v="0"/>
    <n v="1"/>
    <n v="190"/>
    <n v="1"/>
    <n v="1"/>
    <n v="0"/>
    <n v="0"/>
    <n v="0"/>
    <n v="32"/>
    <n v="32"/>
    <n v="1"/>
    <n v="190"/>
    <n v="0"/>
    <n v="190"/>
    <n v="1"/>
    <n v="0"/>
    <n v="1"/>
    <n v="0"/>
    <n v="0"/>
    <n v="0"/>
    <x v="0"/>
    <s v="Village"/>
    <x v="0"/>
    <n v="0"/>
    <n v="0"/>
    <n v="0"/>
    <n v="0"/>
    <x v="0"/>
    <m/>
  </r>
  <r>
    <x v="0"/>
    <x v="0"/>
    <x v="0"/>
    <s v="UNICEF"/>
    <x v="0"/>
    <x v="1"/>
    <x v="0"/>
    <x v="5"/>
    <n v="43"/>
    <n v="254"/>
    <d v="2018-06-07T00:00:00"/>
    <d v="2019-12-31T00:00:00"/>
    <m/>
    <m/>
    <m/>
    <m/>
    <m/>
    <m/>
    <m/>
    <m/>
    <m/>
    <m/>
    <x v="0"/>
    <m/>
    <m/>
    <m/>
    <m/>
    <m/>
    <m/>
    <n v="8"/>
    <n v="12"/>
    <n v="8"/>
    <n v="11"/>
    <m/>
    <m/>
    <m/>
    <m/>
    <m/>
    <m/>
    <m/>
    <m/>
    <m/>
    <m/>
    <m/>
    <m/>
    <n v="0"/>
    <n v="0"/>
    <n v="0"/>
    <n v="0"/>
    <n v="0"/>
    <n v="0"/>
    <n v="0"/>
    <n v="1"/>
    <n v="254"/>
    <n v="1"/>
    <n v="1"/>
    <n v="0"/>
    <n v="0"/>
    <n v="0"/>
    <n v="42"/>
    <n v="42"/>
    <n v="1"/>
    <n v="39"/>
    <n v="0"/>
    <n v="39"/>
    <n v="0.15354330708661418"/>
    <n v="0.84645669291338588"/>
    <n v="0.15354330708661418"/>
    <n v="0"/>
    <n v="0"/>
    <n v="0"/>
    <x v="0"/>
    <s v="Village"/>
    <x v="0"/>
    <n v="0"/>
    <n v="0"/>
    <n v="0"/>
    <n v="0"/>
    <x v="0"/>
    <m/>
  </r>
  <r>
    <x v="0"/>
    <x v="0"/>
    <x v="0"/>
    <s v="UNICEF"/>
    <x v="0"/>
    <x v="1"/>
    <x v="0"/>
    <x v="6"/>
    <m/>
    <n v="169"/>
    <d v="2018-06-07T00:00:00"/>
    <d v="2019-12-31T00:00:00"/>
    <m/>
    <m/>
    <m/>
    <m/>
    <m/>
    <m/>
    <m/>
    <m/>
    <m/>
    <m/>
    <x v="0"/>
    <m/>
    <m/>
    <m/>
    <m/>
    <m/>
    <m/>
    <n v="51"/>
    <n v="56"/>
    <m/>
    <n v="3"/>
    <m/>
    <m/>
    <m/>
    <m/>
    <m/>
    <m/>
    <m/>
    <m/>
    <m/>
    <m/>
    <m/>
    <m/>
    <n v="0"/>
    <n v="0"/>
    <n v="0"/>
    <n v="0"/>
    <n v="0"/>
    <n v="0"/>
    <n v="0"/>
    <n v="1"/>
    <n v="169"/>
    <n v="1"/>
    <n v="1"/>
    <n v="0"/>
    <n v="0"/>
    <n v="0"/>
    <n v="28"/>
    <n v="28"/>
    <n v="1"/>
    <n v="110"/>
    <n v="0"/>
    <n v="110"/>
    <n v="0.65088757396449703"/>
    <n v="0.34911242603550297"/>
    <n v="0.65088757396449703"/>
    <n v="0"/>
    <n v="0"/>
    <n v="0"/>
    <x v="0"/>
    <s v="Village"/>
    <x v="0"/>
    <n v="0"/>
    <n v="0"/>
    <n v="0"/>
    <n v="0"/>
    <x v="0"/>
    <m/>
  </r>
  <r>
    <x v="0"/>
    <x v="0"/>
    <x v="0"/>
    <s v="UNICEF"/>
    <x v="0"/>
    <x v="2"/>
    <x v="0"/>
    <x v="7"/>
    <m/>
    <n v="937"/>
    <d v="2018-06-07T00:00:00"/>
    <d v="2019-12-31T00:00:00"/>
    <m/>
    <m/>
    <m/>
    <m/>
    <m/>
    <m/>
    <m/>
    <m/>
    <m/>
    <m/>
    <x v="0"/>
    <m/>
    <m/>
    <m/>
    <m/>
    <m/>
    <m/>
    <n v="41"/>
    <n v="64"/>
    <m/>
    <m/>
    <m/>
    <m/>
    <m/>
    <m/>
    <m/>
    <m/>
    <m/>
    <m/>
    <m/>
    <m/>
    <m/>
    <m/>
    <n v="0"/>
    <n v="0"/>
    <n v="0"/>
    <n v="0"/>
    <n v="0"/>
    <n v="0"/>
    <n v="0"/>
    <n v="1"/>
    <n v="937"/>
    <n v="4"/>
    <n v="4"/>
    <n v="0"/>
    <n v="0"/>
    <n v="0"/>
    <n v="156"/>
    <n v="156"/>
    <n v="1"/>
    <n v="105"/>
    <n v="0"/>
    <n v="105"/>
    <n v="0.11205976520811099"/>
    <n v="0.88794023479188899"/>
    <n v="0.11205976520811099"/>
    <n v="0"/>
    <n v="0"/>
    <n v="0"/>
    <x v="0"/>
    <s v="Village"/>
    <x v="0"/>
    <n v="0"/>
    <n v="0"/>
    <n v="0"/>
    <n v="0"/>
    <x v="0"/>
    <m/>
  </r>
  <r>
    <x v="0"/>
    <x v="0"/>
    <x v="0"/>
    <s v="UNICEF"/>
    <x v="0"/>
    <x v="3"/>
    <x v="0"/>
    <x v="8"/>
    <m/>
    <n v="352"/>
    <d v="2018-06-07T00:00:00"/>
    <d v="2019-12-31T00:00:00"/>
    <m/>
    <m/>
    <m/>
    <m/>
    <m/>
    <m/>
    <m/>
    <m/>
    <m/>
    <n v="17"/>
    <x v="0"/>
    <m/>
    <m/>
    <m/>
    <m/>
    <m/>
    <m/>
    <n v="17"/>
    <n v="24"/>
    <m/>
    <m/>
    <m/>
    <m/>
    <m/>
    <m/>
    <m/>
    <m/>
    <m/>
    <m/>
    <m/>
    <m/>
    <m/>
    <m/>
    <n v="0"/>
    <n v="0"/>
    <n v="0"/>
    <n v="0"/>
    <n v="0"/>
    <n v="0"/>
    <n v="0"/>
    <n v="1"/>
    <n v="352"/>
    <n v="1"/>
    <n v="1"/>
    <n v="0.28977272727272729"/>
    <n v="102"/>
    <n v="0"/>
    <n v="59"/>
    <n v="42"/>
    <n v="0.71022727272727271"/>
    <n v="41"/>
    <n v="0"/>
    <n v="41"/>
    <n v="0.11647727272727272"/>
    <n v="0.88352272727272729"/>
    <n v="0.11647727272727272"/>
    <n v="0"/>
    <n v="0"/>
    <n v="0"/>
    <x v="0"/>
    <s v="Village"/>
    <x v="0"/>
    <n v="0"/>
    <n v="0"/>
    <n v="0"/>
    <n v="0"/>
    <x v="0"/>
    <m/>
  </r>
  <r>
    <x v="0"/>
    <x v="0"/>
    <x v="0"/>
    <s v="UNICEF"/>
    <x v="0"/>
    <x v="3"/>
    <x v="0"/>
    <x v="9"/>
    <m/>
    <n v="265"/>
    <d v="2018-06-07T00:00:00"/>
    <d v="2019-12-31T00:00:00"/>
    <m/>
    <m/>
    <m/>
    <m/>
    <m/>
    <m/>
    <m/>
    <m/>
    <m/>
    <n v="9"/>
    <x v="0"/>
    <m/>
    <m/>
    <m/>
    <m/>
    <m/>
    <m/>
    <n v="11"/>
    <n v="23"/>
    <m/>
    <m/>
    <m/>
    <m/>
    <m/>
    <m/>
    <m/>
    <m/>
    <m/>
    <m/>
    <m/>
    <m/>
    <m/>
    <m/>
    <n v="0"/>
    <n v="0"/>
    <n v="0"/>
    <n v="0"/>
    <n v="0"/>
    <n v="0"/>
    <n v="0"/>
    <n v="1"/>
    <n v="265"/>
    <n v="1"/>
    <n v="1"/>
    <n v="0.20377358490566039"/>
    <n v="54"/>
    <n v="0"/>
    <n v="44"/>
    <n v="35"/>
    <n v="0.79622641509433967"/>
    <n v="34"/>
    <n v="0"/>
    <n v="34"/>
    <n v="0.12830188679245283"/>
    <n v="0.8716981132075472"/>
    <n v="0.12830188679245283"/>
    <n v="0"/>
    <n v="0"/>
    <n v="0"/>
    <x v="0"/>
    <s v="Village"/>
    <x v="0"/>
    <n v="0"/>
    <n v="0"/>
    <n v="0"/>
    <n v="0"/>
    <x v="0"/>
    <m/>
  </r>
  <r>
    <x v="0"/>
    <x v="0"/>
    <x v="0"/>
    <s v="UNICEF"/>
    <x v="0"/>
    <x v="4"/>
    <x v="0"/>
    <x v="10"/>
    <m/>
    <n v="117"/>
    <d v="2018-06-07T00:00:00"/>
    <d v="2019-12-31T00:00:00"/>
    <m/>
    <m/>
    <m/>
    <m/>
    <m/>
    <m/>
    <m/>
    <m/>
    <m/>
    <m/>
    <x v="0"/>
    <m/>
    <m/>
    <m/>
    <m/>
    <m/>
    <m/>
    <n v="14"/>
    <n v="9"/>
    <n v="9"/>
    <n v="8"/>
    <m/>
    <m/>
    <m/>
    <m/>
    <m/>
    <m/>
    <m/>
    <m/>
    <m/>
    <m/>
    <m/>
    <m/>
    <n v="0"/>
    <n v="0"/>
    <n v="0"/>
    <n v="0"/>
    <n v="0"/>
    <n v="0"/>
    <n v="0"/>
    <n v="1"/>
    <n v="117"/>
    <n v="1"/>
    <n v="1"/>
    <n v="0"/>
    <n v="0"/>
    <n v="0"/>
    <n v="20"/>
    <n v="20"/>
    <n v="1"/>
    <n v="40"/>
    <n v="0"/>
    <n v="40"/>
    <n v="0.34188034188034189"/>
    <n v="0.65811965811965811"/>
    <n v="0.34188034188034189"/>
    <n v="0"/>
    <n v="0"/>
    <n v="0"/>
    <x v="0"/>
    <s v="Village"/>
    <x v="0"/>
    <n v="0"/>
    <n v="0"/>
    <n v="0"/>
    <n v="0"/>
    <x v="0"/>
    <m/>
  </r>
  <r>
    <x v="0"/>
    <x v="0"/>
    <x v="0"/>
    <s v="UNICEF"/>
    <x v="0"/>
    <x v="4"/>
    <x v="0"/>
    <x v="11"/>
    <m/>
    <n v="155"/>
    <d v="2018-06-07T00:00:00"/>
    <d v="2019-12-31T00:00:00"/>
    <m/>
    <m/>
    <m/>
    <m/>
    <m/>
    <m/>
    <m/>
    <m/>
    <m/>
    <m/>
    <x v="0"/>
    <m/>
    <m/>
    <m/>
    <m/>
    <m/>
    <m/>
    <n v="18"/>
    <n v="20"/>
    <n v="12"/>
    <n v="13"/>
    <m/>
    <m/>
    <m/>
    <m/>
    <m/>
    <m/>
    <m/>
    <m/>
    <m/>
    <m/>
    <m/>
    <m/>
    <n v="0"/>
    <n v="0"/>
    <n v="0"/>
    <n v="0"/>
    <n v="0"/>
    <n v="0"/>
    <n v="0"/>
    <n v="1"/>
    <n v="155"/>
    <n v="1"/>
    <n v="1"/>
    <n v="0"/>
    <n v="0"/>
    <n v="0"/>
    <n v="26"/>
    <n v="26"/>
    <n v="1"/>
    <n v="63"/>
    <n v="0"/>
    <n v="63"/>
    <n v="0.40645161290322579"/>
    <n v="0.59354838709677415"/>
    <n v="0.40645161290322579"/>
    <n v="0"/>
    <n v="0"/>
    <n v="0"/>
    <x v="0"/>
    <s v="Village"/>
    <x v="0"/>
    <n v="0"/>
    <n v="0"/>
    <n v="0"/>
    <n v="0"/>
    <x v="0"/>
    <m/>
  </r>
  <r>
    <x v="0"/>
    <x v="0"/>
    <x v="0"/>
    <s v="UNICEF"/>
    <x v="0"/>
    <x v="5"/>
    <x v="0"/>
    <x v="12"/>
    <m/>
    <n v="172"/>
    <d v="2018-06-07T00:00:00"/>
    <d v="2019-12-31T00:00:00"/>
    <m/>
    <m/>
    <m/>
    <m/>
    <m/>
    <m/>
    <m/>
    <m/>
    <m/>
    <n v="12"/>
    <x v="0"/>
    <m/>
    <m/>
    <m/>
    <m/>
    <m/>
    <m/>
    <m/>
    <m/>
    <m/>
    <m/>
    <m/>
    <m/>
    <m/>
    <m/>
    <m/>
    <m/>
    <m/>
    <m/>
    <m/>
    <m/>
    <m/>
    <m/>
    <n v="0"/>
    <n v="0"/>
    <n v="0"/>
    <n v="0"/>
    <n v="0"/>
    <n v="0"/>
    <n v="0"/>
    <n v="1"/>
    <n v="172"/>
    <n v="1"/>
    <n v="1"/>
    <n v="0.41860465116279072"/>
    <n v="72"/>
    <n v="0"/>
    <n v="29"/>
    <n v="17"/>
    <n v="0.58139534883720922"/>
    <n v="0"/>
    <n v="0"/>
    <n v="0"/>
    <n v="0"/>
    <n v="1"/>
    <n v="0"/>
    <n v="0"/>
    <n v="0"/>
    <n v="0"/>
    <x v="0"/>
    <s v="Village"/>
    <x v="0"/>
    <n v="0"/>
    <n v="0"/>
    <n v="0"/>
    <n v="0"/>
    <x v="0"/>
    <m/>
  </r>
  <r>
    <x v="0"/>
    <x v="0"/>
    <x v="0"/>
    <s v="UNICEF"/>
    <x v="0"/>
    <x v="5"/>
    <x v="0"/>
    <x v="13"/>
    <m/>
    <n v="266"/>
    <d v="2018-06-07T00:00:00"/>
    <d v="2019-12-31T00:00:00"/>
    <m/>
    <m/>
    <m/>
    <m/>
    <m/>
    <m/>
    <m/>
    <m/>
    <m/>
    <n v="3"/>
    <x v="0"/>
    <m/>
    <m/>
    <m/>
    <m/>
    <m/>
    <m/>
    <m/>
    <m/>
    <m/>
    <m/>
    <m/>
    <m/>
    <m/>
    <m/>
    <m/>
    <m/>
    <m/>
    <m/>
    <m/>
    <m/>
    <m/>
    <m/>
    <n v="0"/>
    <n v="0"/>
    <n v="0"/>
    <n v="0"/>
    <n v="0"/>
    <n v="0"/>
    <n v="0"/>
    <n v="1"/>
    <n v="266"/>
    <n v="1"/>
    <n v="1"/>
    <n v="6.7669172932330823E-2"/>
    <n v="18"/>
    <n v="0"/>
    <n v="44"/>
    <n v="41"/>
    <n v="0.93233082706766912"/>
    <n v="0"/>
    <n v="0"/>
    <n v="0"/>
    <n v="0"/>
    <n v="1"/>
    <n v="0"/>
    <n v="0"/>
    <n v="0"/>
    <n v="0"/>
    <x v="0"/>
    <s v="Village"/>
    <x v="0"/>
    <n v="0"/>
    <n v="0"/>
    <n v="0"/>
    <n v="0"/>
    <x v="0"/>
    <m/>
  </r>
  <r>
    <x v="0"/>
    <x v="0"/>
    <x v="0"/>
    <s v="UNICEF"/>
    <x v="0"/>
    <x v="5"/>
    <x v="0"/>
    <x v="14"/>
    <m/>
    <n v="136"/>
    <d v="2018-06-07T00:00:00"/>
    <d v="2019-12-31T00:00:00"/>
    <m/>
    <m/>
    <m/>
    <m/>
    <m/>
    <m/>
    <m/>
    <m/>
    <m/>
    <n v="6"/>
    <x v="0"/>
    <m/>
    <m/>
    <m/>
    <m/>
    <m/>
    <m/>
    <m/>
    <m/>
    <m/>
    <m/>
    <m/>
    <m/>
    <m/>
    <m/>
    <m/>
    <m/>
    <m/>
    <m/>
    <m/>
    <m/>
    <m/>
    <m/>
    <n v="0"/>
    <n v="0"/>
    <n v="0"/>
    <n v="0"/>
    <n v="0"/>
    <n v="0"/>
    <n v="0"/>
    <n v="1"/>
    <n v="136"/>
    <n v="1"/>
    <n v="1"/>
    <n v="0.26470588235294118"/>
    <n v="36"/>
    <n v="0"/>
    <n v="23"/>
    <n v="17"/>
    <n v="0.73529411764705888"/>
    <n v="0"/>
    <n v="0"/>
    <n v="0"/>
    <n v="0"/>
    <n v="1"/>
    <n v="0"/>
    <n v="0"/>
    <n v="0"/>
    <n v="0"/>
    <x v="0"/>
    <s v="Village"/>
    <x v="0"/>
    <n v="0"/>
    <n v="0"/>
    <n v="0"/>
    <n v="0"/>
    <x v="0"/>
    <m/>
  </r>
  <r>
    <x v="0"/>
    <x v="0"/>
    <x v="0"/>
    <s v="UNICEF"/>
    <x v="0"/>
    <x v="5"/>
    <x v="0"/>
    <x v="15"/>
    <m/>
    <n v="131"/>
    <d v="2018-06-07T00:00:00"/>
    <d v="2019-12-31T00:00:00"/>
    <m/>
    <m/>
    <m/>
    <m/>
    <m/>
    <m/>
    <m/>
    <m/>
    <m/>
    <n v="48"/>
    <x v="0"/>
    <m/>
    <m/>
    <m/>
    <m/>
    <m/>
    <m/>
    <m/>
    <m/>
    <m/>
    <m/>
    <m/>
    <m/>
    <m/>
    <m/>
    <m/>
    <m/>
    <m/>
    <m/>
    <m/>
    <m/>
    <m/>
    <m/>
    <n v="0"/>
    <n v="0"/>
    <n v="0"/>
    <n v="0"/>
    <n v="0"/>
    <n v="0"/>
    <n v="0"/>
    <n v="1"/>
    <n v="131"/>
    <n v="1"/>
    <n v="1"/>
    <n v="1"/>
    <n v="131"/>
    <n v="0"/>
    <n v="22"/>
    <n v="0"/>
    <n v="0"/>
    <n v="0"/>
    <n v="0"/>
    <n v="0"/>
    <n v="0"/>
    <n v="1"/>
    <n v="0"/>
    <n v="0"/>
    <n v="0"/>
    <n v="0"/>
    <x v="0"/>
    <s v="Village"/>
    <x v="0"/>
    <n v="0"/>
    <n v="0"/>
    <n v="0"/>
    <n v="0"/>
    <x v="0"/>
    <m/>
  </r>
  <r>
    <x v="0"/>
    <x v="0"/>
    <x v="0"/>
    <s v="UNICEF"/>
    <x v="0"/>
    <x v="5"/>
    <x v="0"/>
    <x v="16"/>
    <m/>
    <n v="142"/>
    <d v="2018-06-07T00:00:00"/>
    <d v="2019-12-31T00:00:00"/>
    <m/>
    <m/>
    <m/>
    <m/>
    <m/>
    <m/>
    <m/>
    <m/>
    <m/>
    <n v="61"/>
    <x v="0"/>
    <m/>
    <m/>
    <m/>
    <m/>
    <m/>
    <m/>
    <m/>
    <m/>
    <m/>
    <m/>
    <m/>
    <m/>
    <m/>
    <m/>
    <m/>
    <m/>
    <m/>
    <m/>
    <m/>
    <m/>
    <m/>
    <m/>
    <n v="0"/>
    <n v="0"/>
    <n v="0"/>
    <n v="0"/>
    <n v="0"/>
    <n v="0"/>
    <n v="0"/>
    <n v="1"/>
    <n v="142"/>
    <n v="1"/>
    <n v="1"/>
    <n v="1"/>
    <n v="142"/>
    <n v="0"/>
    <n v="24"/>
    <n v="0"/>
    <n v="0"/>
    <n v="0"/>
    <n v="0"/>
    <n v="0"/>
    <n v="0"/>
    <n v="1"/>
    <n v="0"/>
    <n v="0"/>
    <n v="0"/>
    <n v="0"/>
    <x v="0"/>
    <s v="Village"/>
    <x v="0"/>
    <n v="0"/>
    <n v="0"/>
    <n v="0"/>
    <n v="0"/>
    <x v="0"/>
    <m/>
  </r>
  <r>
    <x v="0"/>
    <x v="0"/>
    <x v="0"/>
    <s v="UNICEF"/>
    <x v="0"/>
    <x v="5"/>
    <x v="0"/>
    <x v="17"/>
    <m/>
    <n v="162"/>
    <d v="2018-06-07T00:00:00"/>
    <d v="2019-12-31T00:00:00"/>
    <m/>
    <m/>
    <m/>
    <m/>
    <m/>
    <m/>
    <m/>
    <m/>
    <m/>
    <n v="36"/>
    <x v="0"/>
    <m/>
    <m/>
    <m/>
    <m/>
    <m/>
    <m/>
    <m/>
    <m/>
    <m/>
    <m/>
    <m/>
    <m/>
    <m/>
    <m/>
    <m/>
    <m/>
    <m/>
    <m/>
    <m/>
    <m/>
    <m/>
    <m/>
    <n v="0"/>
    <n v="0"/>
    <n v="0"/>
    <n v="0"/>
    <n v="0"/>
    <n v="0"/>
    <n v="0"/>
    <n v="1"/>
    <n v="162"/>
    <n v="1"/>
    <n v="1"/>
    <n v="1"/>
    <n v="162"/>
    <n v="0"/>
    <n v="27"/>
    <n v="0"/>
    <n v="0"/>
    <n v="0"/>
    <n v="0"/>
    <n v="0"/>
    <n v="0"/>
    <n v="1"/>
    <n v="0"/>
    <n v="0"/>
    <n v="0"/>
    <n v="0"/>
    <x v="0"/>
    <s v="Village"/>
    <x v="0"/>
    <n v="0"/>
    <n v="0"/>
    <n v="0"/>
    <n v="0"/>
    <x v="0"/>
    <m/>
  </r>
  <r>
    <x v="0"/>
    <x v="0"/>
    <x v="0"/>
    <s v="UNICEF"/>
    <x v="0"/>
    <x v="5"/>
    <x v="0"/>
    <x v="18"/>
    <m/>
    <n v="190"/>
    <d v="2018-06-07T00:00:00"/>
    <d v="2019-12-31T00:00:00"/>
    <m/>
    <m/>
    <m/>
    <m/>
    <m/>
    <m/>
    <m/>
    <m/>
    <m/>
    <n v="5"/>
    <x v="0"/>
    <m/>
    <m/>
    <m/>
    <m/>
    <m/>
    <m/>
    <m/>
    <m/>
    <m/>
    <m/>
    <m/>
    <m/>
    <m/>
    <m/>
    <m/>
    <m/>
    <m/>
    <m/>
    <m/>
    <m/>
    <m/>
    <m/>
    <n v="0"/>
    <n v="0"/>
    <n v="0"/>
    <n v="0"/>
    <n v="0"/>
    <n v="0"/>
    <n v="0"/>
    <n v="1"/>
    <n v="190"/>
    <n v="1"/>
    <n v="1"/>
    <n v="0.15789473684210525"/>
    <n v="30"/>
    <n v="0"/>
    <n v="32"/>
    <n v="27"/>
    <n v="0.84210526315789469"/>
    <n v="0"/>
    <n v="0"/>
    <n v="0"/>
    <n v="0"/>
    <n v="1"/>
    <n v="0"/>
    <n v="0"/>
    <n v="0"/>
    <n v="0"/>
    <x v="0"/>
    <s v="Village"/>
    <x v="0"/>
    <n v="0"/>
    <n v="0"/>
    <n v="0"/>
    <n v="0"/>
    <x v="0"/>
    <m/>
  </r>
  <r>
    <x v="0"/>
    <x v="0"/>
    <x v="0"/>
    <s v="UNICEF"/>
    <x v="0"/>
    <x v="5"/>
    <x v="0"/>
    <x v="19"/>
    <m/>
    <n v="275"/>
    <d v="2018-06-07T00:00:00"/>
    <d v="2019-12-31T00:00:00"/>
    <m/>
    <m/>
    <m/>
    <m/>
    <m/>
    <m/>
    <m/>
    <m/>
    <m/>
    <n v="6"/>
    <x v="0"/>
    <m/>
    <m/>
    <m/>
    <m/>
    <m/>
    <m/>
    <m/>
    <m/>
    <m/>
    <m/>
    <m/>
    <m/>
    <m/>
    <m/>
    <m/>
    <m/>
    <m/>
    <m/>
    <m/>
    <m/>
    <m/>
    <m/>
    <n v="0"/>
    <n v="0"/>
    <n v="0"/>
    <n v="0"/>
    <n v="0"/>
    <n v="0"/>
    <n v="0"/>
    <n v="1"/>
    <n v="275"/>
    <n v="1"/>
    <n v="1"/>
    <n v="0.13090909090909092"/>
    <n v="36"/>
    <n v="0"/>
    <n v="46"/>
    <n v="40"/>
    <n v="0.86909090909090914"/>
    <n v="0"/>
    <n v="0"/>
    <n v="0"/>
    <n v="0"/>
    <n v="1"/>
    <n v="0"/>
    <n v="0"/>
    <n v="0"/>
    <n v="0"/>
    <x v="0"/>
    <s v="Village"/>
    <x v="0"/>
    <n v="0"/>
    <n v="0"/>
    <n v="0"/>
    <n v="0"/>
    <x v="0"/>
    <m/>
  </r>
  <r>
    <x v="0"/>
    <x v="0"/>
    <x v="0"/>
    <s v="UNICEF"/>
    <x v="0"/>
    <x v="5"/>
    <x v="0"/>
    <x v="20"/>
    <m/>
    <n v="185"/>
    <d v="2018-06-07T00:00:00"/>
    <d v="2019-12-31T00:00:00"/>
    <m/>
    <m/>
    <m/>
    <m/>
    <m/>
    <m/>
    <m/>
    <m/>
    <m/>
    <n v="3"/>
    <x v="0"/>
    <m/>
    <m/>
    <m/>
    <m/>
    <m/>
    <m/>
    <m/>
    <m/>
    <m/>
    <m/>
    <m/>
    <m/>
    <m/>
    <m/>
    <m/>
    <m/>
    <m/>
    <m/>
    <m/>
    <m/>
    <m/>
    <m/>
    <n v="0"/>
    <n v="0"/>
    <n v="0"/>
    <n v="0"/>
    <n v="0"/>
    <n v="0"/>
    <n v="0"/>
    <n v="1"/>
    <n v="185"/>
    <n v="1"/>
    <n v="1"/>
    <n v="9.7297297297297303E-2"/>
    <n v="18"/>
    <n v="0"/>
    <n v="31"/>
    <n v="28"/>
    <n v="0.9027027027027027"/>
    <n v="0"/>
    <n v="0"/>
    <n v="0"/>
    <n v="0"/>
    <n v="1"/>
    <n v="0"/>
    <n v="0"/>
    <n v="0"/>
    <n v="0"/>
    <x v="0"/>
    <s v="Village"/>
    <x v="0"/>
    <n v="0"/>
    <n v="0"/>
    <n v="0"/>
    <n v="0"/>
    <x v="0"/>
    <m/>
  </r>
  <r>
    <x v="0"/>
    <x v="0"/>
    <x v="0"/>
    <s v="UNICEF"/>
    <x v="0"/>
    <x v="5"/>
    <x v="0"/>
    <x v="21"/>
    <m/>
    <n v="189"/>
    <d v="2018-06-07T00:00:00"/>
    <d v="2019-12-31T00:00:00"/>
    <m/>
    <m/>
    <m/>
    <m/>
    <m/>
    <m/>
    <m/>
    <m/>
    <m/>
    <n v="5"/>
    <x v="0"/>
    <m/>
    <m/>
    <m/>
    <m/>
    <m/>
    <m/>
    <m/>
    <m/>
    <m/>
    <m/>
    <m/>
    <m/>
    <m/>
    <m/>
    <m/>
    <m/>
    <m/>
    <m/>
    <m/>
    <m/>
    <m/>
    <m/>
    <n v="0"/>
    <n v="0"/>
    <n v="0"/>
    <n v="0"/>
    <n v="0"/>
    <n v="0"/>
    <n v="0"/>
    <n v="1"/>
    <n v="189"/>
    <n v="1"/>
    <n v="1"/>
    <n v="0.15873015873015872"/>
    <n v="30"/>
    <n v="0"/>
    <n v="32"/>
    <n v="27"/>
    <n v="0.84126984126984128"/>
    <n v="0"/>
    <n v="0"/>
    <n v="0"/>
    <n v="0"/>
    <n v="1"/>
    <n v="0"/>
    <n v="0"/>
    <n v="0"/>
    <n v="0"/>
    <x v="0"/>
    <s v="Village"/>
    <x v="0"/>
    <n v="0"/>
    <n v="0"/>
    <n v="0"/>
    <n v="0"/>
    <x v="0"/>
    <m/>
  </r>
  <r>
    <x v="0"/>
    <x v="0"/>
    <x v="0"/>
    <s v="UNICEF"/>
    <x v="0"/>
    <x v="5"/>
    <x v="0"/>
    <x v="22"/>
    <m/>
    <n v="253"/>
    <d v="2018-06-07T00:00:00"/>
    <d v="2019-12-31T00:00:00"/>
    <m/>
    <m/>
    <m/>
    <m/>
    <m/>
    <m/>
    <m/>
    <m/>
    <m/>
    <n v="7"/>
    <x v="0"/>
    <m/>
    <m/>
    <m/>
    <m/>
    <m/>
    <m/>
    <m/>
    <m/>
    <m/>
    <m/>
    <m/>
    <m/>
    <m/>
    <m/>
    <m/>
    <m/>
    <m/>
    <m/>
    <m/>
    <m/>
    <m/>
    <m/>
    <n v="0"/>
    <n v="0"/>
    <n v="0"/>
    <n v="0"/>
    <n v="0"/>
    <n v="0"/>
    <n v="0"/>
    <n v="1"/>
    <n v="253"/>
    <n v="1"/>
    <n v="1"/>
    <n v="0.16600790513833993"/>
    <n v="42"/>
    <n v="0"/>
    <n v="42"/>
    <n v="35"/>
    <n v="0.83399209486166004"/>
    <n v="0"/>
    <n v="0"/>
    <n v="0"/>
    <n v="0"/>
    <n v="1"/>
    <n v="0"/>
    <n v="0"/>
    <n v="0"/>
    <n v="0"/>
    <x v="0"/>
    <s v="Village"/>
    <x v="0"/>
    <n v="0"/>
    <n v="0"/>
    <n v="0"/>
    <n v="0"/>
    <x v="0"/>
    <m/>
  </r>
  <r>
    <x v="0"/>
    <x v="0"/>
    <x v="0"/>
    <s v="UNICEF"/>
    <x v="0"/>
    <x v="5"/>
    <x v="0"/>
    <x v="23"/>
    <m/>
    <n v="150"/>
    <d v="2018-06-07T00:00:00"/>
    <d v="2019-12-31T00:00:00"/>
    <m/>
    <m/>
    <m/>
    <m/>
    <m/>
    <m/>
    <m/>
    <m/>
    <m/>
    <n v="4"/>
    <x v="0"/>
    <m/>
    <m/>
    <m/>
    <m/>
    <m/>
    <m/>
    <m/>
    <m/>
    <m/>
    <m/>
    <m/>
    <m/>
    <m/>
    <m/>
    <m/>
    <m/>
    <m/>
    <m/>
    <m/>
    <m/>
    <m/>
    <m/>
    <n v="0"/>
    <n v="0"/>
    <n v="0"/>
    <n v="0"/>
    <n v="0"/>
    <n v="0"/>
    <n v="0"/>
    <n v="1"/>
    <n v="150"/>
    <n v="1"/>
    <n v="1"/>
    <n v="0.16"/>
    <n v="24"/>
    <n v="0"/>
    <n v="25"/>
    <n v="21"/>
    <n v="0.84"/>
    <n v="0"/>
    <n v="0"/>
    <n v="0"/>
    <n v="0"/>
    <n v="1"/>
    <n v="0"/>
    <n v="0"/>
    <n v="0"/>
    <n v="0"/>
    <x v="0"/>
    <s v="Village"/>
    <x v="0"/>
    <n v="0"/>
    <n v="0"/>
    <n v="0"/>
    <n v="0"/>
    <x v="0"/>
    <m/>
  </r>
  <r>
    <x v="0"/>
    <x v="0"/>
    <x v="0"/>
    <s v="UNICEF"/>
    <x v="0"/>
    <x v="5"/>
    <x v="0"/>
    <x v="24"/>
    <m/>
    <n v="393"/>
    <d v="2018-06-07T00:00:00"/>
    <d v="2019-12-31T00:00:00"/>
    <m/>
    <m/>
    <m/>
    <m/>
    <m/>
    <m/>
    <m/>
    <m/>
    <m/>
    <m/>
    <x v="0"/>
    <m/>
    <m/>
    <m/>
    <m/>
    <m/>
    <m/>
    <m/>
    <m/>
    <m/>
    <m/>
    <m/>
    <m/>
    <m/>
    <m/>
    <m/>
    <m/>
    <m/>
    <m/>
    <m/>
    <m/>
    <m/>
    <m/>
    <n v="0"/>
    <n v="0"/>
    <n v="0"/>
    <n v="0"/>
    <n v="0"/>
    <n v="0"/>
    <n v="0"/>
    <n v="1"/>
    <n v="393"/>
    <n v="2"/>
    <n v="2"/>
    <n v="0"/>
    <n v="0"/>
    <n v="0"/>
    <n v="66"/>
    <n v="66"/>
    <n v="1"/>
    <n v="0"/>
    <n v="0"/>
    <n v="0"/>
    <n v="0"/>
    <n v="1"/>
    <n v="0"/>
    <n v="0"/>
    <n v="0"/>
    <n v="0"/>
    <x v="0"/>
    <s v="Village"/>
    <x v="0"/>
    <n v="0"/>
    <n v="0"/>
    <n v="0"/>
    <n v="0"/>
    <x v="0"/>
    <m/>
  </r>
  <r>
    <x v="0"/>
    <x v="0"/>
    <x v="0"/>
    <s v="UNICEF"/>
    <x v="0"/>
    <x v="5"/>
    <x v="0"/>
    <x v="25"/>
    <m/>
    <n v="290"/>
    <d v="2018-06-07T00:00:00"/>
    <d v="2019-12-31T00:00:00"/>
    <m/>
    <m/>
    <m/>
    <m/>
    <m/>
    <m/>
    <m/>
    <m/>
    <m/>
    <m/>
    <x v="0"/>
    <m/>
    <m/>
    <m/>
    <m/>
    <m/>
    <m/>
    <m/>
    <m/>
    <m/>
    <m/>
    <m/>
    <m/>
    <m/>
    <m/>
    <m/>
    <m/>
    <m/>
    <m/>
    <m/>
    <m/>
    <m/>
    <m/>
    <n v="0"/>
    <n v="0"/>
    <n v="0"/>
    <n v="0"/>
    <n v="0"/>
    <n v="0"/>
    <n v="0"/>
    <n v="1"/>
    <n v="290"/>
    <n v="1"/>
    <n v="1"/>
    <n v="0"/>
    <n v="0"/>
    <n v="0"/>
    <n v="48"/>
    <n v="48"/>
    <n v="1"/>
    <n v="0"/>
    <n v="0"/>
    <n v="0"/>
    <n v="0"/>
    <n v="1"/>
    <n v="0"/>
    <n v="0"/>
    <n v="0"/>
    <n v="0"/>
    <x v="0"/>
    <s v="Village"/>
    <x v="0"/>
    <n v="0"/>
    <n v="0"/>
    <n v="0"/>
    <n v="0"/>
    <x v="0"/>
    <m/>
  </r>
  <r>
    <x v="0"/>
    <x v="0"/>
    <x v="0"/>
    <s v="UNICEF"/>
    <x v="0"/>
    <x v="5"/>
    <x v="0"/>
    <x v="26"/>
    <m/>
    <n v="712"/>
    <d v="2018-06-07T00:00:00"/>
    <d v="2019-12-31T00:00:00"/>
    <m/>
    <m/>
    <m/>
    <m/>
    <m/>
    <m/>
    <m/>
    <m/>
    <m/>
    <n v="9"/>
    <x v="0"/>
    <m/>
    <m/>
    <m/>
    <m/>
    <m/>
    <m/>
    <m/>
    <m/>
    <m/>
    <m/>
    <m/>
    <m/>
    <m/>
    <m/>
    <m/>
    <m/>
    <m/>
    <m/>
    <m/>
    <m/>
    <m/>
    <m/>
    <n v="0"/>
    <n v="0"/>
    <n v="0"/>
    <n v="0"/>
    <n v="0"/>
    <n v="0"/>
    <n v="0"/>
    <n v="1"/>
    <n v="712"/>
    <n v="3"/>
    <n v="3"/>
    <n v="7.5842696629213488E-2"/>
    <n v="54"/>
    <n v="0"/>
    <n v="119"/>
    <n v="110"/>
    <n v="0.9241573033707865"/>
    <n v="0"/>
    <n v="0"/>
    <n v="0"/>
    <n v="0"/>
    <n v="1"/>
    <n v="0"/>
    <n v="0"/>
    <n v="0"/>
    <n v="0"/>
    <x v="0"/>
    <s v="Village"/>
    <x v="0"/>
    <n v="0"/>
    <n v="0"/>
    <n v="0"/>
    <n v="0"/>
    <x v="0"/>
    <m/>
  </r>
  <r>
    <x v="0"/>
    <x v="0"/>
    <x v="0"/>
    <s v="UNICEF"/>
    <x v="0"/>
    <x v="5"/>
    <x v="0"/>
    <x v="27"/>
    <m/>
    <n v="565"/>
    <d v="2018-06-07T00:00:00"/>
    <d v="2019-12-31T00:00:00"/>
    <m/>
    <m/>
    <m/>
    <m/>
    <m/>
    <m/>
    <m/>
    <m/>
    <m/>
    <n v="4"/>
    <x v="0"/>
    <m/>
    <m/>
    <m/>
    <m/>
    <m/>
    <m/>
    <m/>
    <m/>
    <m/>
    <m/>
    <m/>
    <m/>
    <m/>
    <m/>
    <m/>
    <m/>
    <m/>
    <m/>
    <m/>
    <m/>
    <m/>
    <m/>
    <n v="0"/>
    <n v="0"/>
    <n v="0"/>
    <n v="0"/>
    <n v="0"/>
    <n v="0"/>
    <n v="0"/>
    <n v="1"/>
    <n v="565"/>
    <n v="2"/>
    <n v="2"/>
    <n v="4.247787610619469E-2"/>
    <n v="24"/>
    <n v="0"/>
    <n v="94"/>
    <n v="90"/>
    <n v="0.95752212389380531"/>
    <n v="0"/>
    <n v="0"/>
    <n v="0"/>
    <n v="0"/>
    <n v="1"/>
    <n v="0"/>
    <n v="0"/>
    <n v="0"/>
    <n v="0"/>
    <x v="0"/>
    <s v="Village"/>
    <x v="0"/>
    <n v="0"/>
    <n v="0"/>
    <n v="0"/>
    <n v="0"/>
    <x v="0"/>
    <m/>
  </r>
  <r>
    <x v="0"/>
    <x v="0"/>
    <x v="0"/>
    <s v="UNICEF"/>
    <x v="0"/>
    <x v="5"/>
    <x v="0"/>
    <x v="28"/>
    <m/>
    <n v="1125"/>
    <d v="2018-06-07T00:00:00"/>
    <d v="2019-12-31T00:00:00"/>
    <m/>
    <m/>
    <m/>
    <m/>
    <m/>
    <m/>
    <m/>
    <m/>
    <m/>
    <m/>
    <x v="0"/>
    <m/>
    <m/>
    <m/>
    <m/>
    <m/>
    <m/>
    <m/>
    <m/>
    <m/>
    <m/>
    <m/>
    <m/>
    <m/>
    <m/>
    <m/>
    <m/>
    <m/>
    <m/>
    <m/>
    <m/>
    <m/>
    <m/>
    <n v="0"/>
    <n v="0"/>
    <n v="0"/>
    <n v="0"/>
    <n v="0"/>
    <n v="0"/>
    <n v="0"/>
    <n v="1"/>
    <n v="1125"/>
    <n v="5"/>
    <n v="5"/>
    <n v="0"/>
    <n v="0"/>
    <n v="0"/>
    <n v="188"/>
    <n v="188"/>
    <n v="1"/>
    <n v="0"/>
    <n v="0"/>
    <n v="0"/>
    <n v="0"/>
    <n v="1"/>
    <n v="0"/>
    <n v="0"/>
    <n v="0"/>
    <n v="0"/>
    <x v="0"/>
    <s v="Village"/>
    <x v="0"/>
    <n v="0"/>
    <n v="0"/>
    <n v="0"/>
    <n v="0"/>
    <x v="0"/>
    <m/>
  </r>
  <r>
    <x v="0"/>
    <x v="0"/>
    <x v="0"/>
    <s v="UNICEF"/>
    <x v="0"/>
    <x v="6"/>
    <x v="0"/>
    <x v="29"/>
    <m/>
    <n v="97"/>
    <d v="2018-06-07T00:00:00"/>
    <d v="2019-12-31T00:00:00"/>
    <m/>
    <m/>
    <m/>
    <m/>
    <m/>
    <m/>
    <m/>
    <m/>
    <m/>
    <n v="7"/>
    <x v="0"/>
    <m/>
    <m/>
    <m/>
    <m/>
    <m/>
    <m/>
    <m/>
    <m/>
    <m/>
    <m/>
    <m/>
    <m/>
    <m/>
    <m/>
    <m/>
    <m/>
    <m/>
    <m/>
    <m/>
    <m/>
    <m/>
    <m/>
    <n v="0"/>
    <n v="0"/>
    <n v="0"/>
    <n v="0"/>
    <n v="0"/>
    <n v="0"/>
    <n v="0"/>
    <n v="1"/>
    <n v="97"/>
    <n v="1"/>
    <n v="1"/>
    <n v="0.4329896907216495"/>
    <n v="42"/>
    <n v="0"/>
    <n v="16"/>
    <n v="9"/>
    <n v="0.5670103092783505"/>
    <n v="0"/>
    <n v="0"/>
    <n v="0"/>
    <n v="0"/>
    <n v="1"/>
    <n v="0"/>
    <n v="0"/>
    <n v="0"/>
    <n v="0"/>
    <x v="0"/>
    <s v="Village"/>
    <x v="0"/>
    <n v="0"/>
    <n v="0"/>
    <n v="0"/>
    <n v="0"/>
    <x v="0"/>
    <m/>
  </r>
  <r>
    <x v="0"/>
    <x v="0"/>
    <x v="0"/>
    <s v="UNICEF"/>
    <x v="0"/>
    <x v="6"/>
    <x v="0"/>
    <x v="30"/>
    <m/>
    <n v="139"/>
    <d v="2018-06-07T00:00:00"/>
    <d v="2019-12-31T00:00:00"/>
    <m/>
    <m/>
    <m/>
    <m/>
    <m/>
    <m/>
    <m/>
    <m/>
    <m/>
    <n v="12"/>
    <x v="0"/>
    <m/>
    <m/>
    <m/>
    <m/>
    <m/>
    <m/>
    <m/>
    <m/>
    <m/>
    <m/>
    <m/>
    <m/>
    <m/>
    <m/>
    <m/>
    <m/>
    <m/>
    <m/>
    <m/>
    <m/>
    <m/>
    <m/>
    <n v="0"/>
    <n v="0"/>
    <n v="0"/>
    <n v="0"/>
    <n v="0"/>
    <n v="0"/>
    <n v="0"/>
    <n v="1"/>
    <n v="139"/>
    <n v="1"/>
    <n v="1"/>
    <n v="0.51798561151079137"/>
    <n v="72"/>
    <n v="0"/>
    <n v="23"/>
    <n v="11"/>
    <n v="0.48201438848920863"/>
    <n v="0"/>
    <n v="0"/>
    <n v="0"/>
    <n v="0"/>
    <n v="1"/>
    <n v="0"/>
    <n v="0"/>
    <n v="0"/>
    <n v="0"/>
    <x v="0"/>
    <s v="Village"/>
    <x v="0"/>
    <n v="0"/>
    <n v="0"/>
    <n v="0"/>
    <n v="0"/>
    <x v="0"/>
    <m/>
  </r>
  <r>
    <x v="0"/>
    <x v="0"/>
    <x v="0"/>
    <s v="UNICEF"/>
    <x v="0"/>
    <x v="6"/>
    <x v="0"/>
    <x v="31"/>
    <m/>
    <n v="404"/>
    <d v="2018-06-07T00:00:00"/>
    <d v="2019-12-31T00:00:00"/>
    <m/>
    <m/>
    <m/>
    <m/>
    <m/>
    <m/>
    <m/>
    <m/>
    <m/>
    <n v="4"/>
    <x v="0"/>
    <m/>
    <m/>
    <m/>
    <m/>
    <m/>
    <m/>
    <m/>
    <m/>
    <m/>
    <m/>
    <m/>
    <m/>
    <m/>
    <m/>
    <m/>
    <m/>
    <m/>
    <m/>
    <m/>
    <m/>
    <m/>
    <m/>
    <n v="0"/>
    <n v="0"/>
    <n v="0"/>
    <n v="0"/>
    <n v="0"/>
    <n v="0"/>
    <n v="0"/>
    <n v="1"/>
    <n v="404"/>
    <n v="2"/>
    <n v="2"/>
    <n v="5.9405940594059403E-2"/>
    <n v="24"/>
    <n v="0"/>
    <n v="67"/>
    <n v="63"/>
    <n v="0.94059405940594054"/>
    <n v="0"/>
    <n v="0"/>
    <n v="0"/>
    <n v="0"/>
    <n v="1"/>
    <n v="0"/>
    <n v="0"/>
    <n v="0"/>
    <n v="0"/>
    <x v="0"/>
    <s v="Village"/>
    <x v="0"/>
    <n v="0"/>
    <n v="0"/>
    <n v="0"/>
    <n v="0"/>
    <x v="0"/>
    <m/>
  </r>
  <r>
    <x v="0"/>
    <x v="0"/>
    <x v="0"/>
    <s v="UNICEF"/>
    <x v="0"/>
    <x v="6"/>
    <x v="0"/>
    <x v="32"/>
    <m/>
    <n v="80"/>
    <d v="2018-06-07T00:00:00"/>
    <d v="2019-12-31T00:00:00"/>
    <m/>
    <m/>
    <m/>
    <m/>
    <m/>
    <m/>
    <m/>
    <m/>
    <m/>
    <n v="4"/>
    <x v="0"/>
    <m/>
    <m/>
    <m/>
    <m/>
    <m/>
    <m/>
    <m/>
    <m/>
    <m/>
    <m/>
    <m/>
    <m/>
    <m/>
    <m/>
    <m/>
    <m/>
    <m/>
    <m/>
    <m/>
    <m/>
    <m/>
    <m/>
    <n v="0"/>
    <n v="0"/>
    <n v="0"/>
    <n v="0"/>
    <n v="0"/>
    <n v="0"/>
    <n v="0"/>
    <n v="1"/>
    <n v="80"/>
    <n v="1"/>
    <n v="1"/>
    <n v="0.3"/>
    <n v="24"/>
    <n v="0"/>
    <n v="13"/>
    <n v="9"/>
    <n v="0.7"/>
    <n v="0"/>
    <n v="0"/>
    <n v="0"/>
    <n v="0"/>
    <n v="1"/>
    <n v="0"/>
    <n v="0"/>
    <n v="0"/>
    <n v="0"/>
    <x v="0"/>
    <s v="Village"/>
    <x v="0"/>
    <n v="0"/>
    <n v="0"/>
    <n v="0"/>
    <n v="0"/>
    <x v="0"/>
    <m/>
  </r>
  <r>
    <x v="0"/>
    <x v="0"/>
    <x v="0"/>
    <s v="UNICEF"/>
    <x v="0"/>
    <x v="6"/>
    <x v="0"/>
    <x v="33"/>
    <m/>
    <n v="292"/>
    <d v="2018-06-07T00:00:00"/>
    <d v="2019-12-31T00:00:00"/>
    <m/>
    <m/>
    <m/>
    <m/>
    <m/>
    <m/>
    <m/>
    <m/>
    <m/>
    <n v="34"/>
    <x v="0"/>
    <m/>
    <m/>
    <m/>
    <m/>
    <m/>
    <m/>
    <m/>
    <m/>
    <m/>
    <m/>
    <m/>
    <m/>
    <m/>
    <m/>
    <m/>
    <m/>
    <m/>
    <m/>
    <m/>
    <m/>
    <m/>
    <m/>
    <n v="0"/>
    <n v="0"/>
    <n v="0"/>
    <n v="0"/>
    <n v="0"/>
    <n v="0"/>
    <n v="0"/>
    <n v="1"/>
    <n v="292"/>
    <n v="1"/>
    <n v="1"/>
    <n v="0.69863013698630139"/>
    <n v="204"/>
    <n v="0"/>
    <n v="49"/>
    <n v="15"/>
    <n v="0.30136986301369861"/>
    <n v="0"/>
    <n v="0"/>
    <n v="0"/>
    <n v="0"/>
    <n v="1"/>
    <n v="0"/>
    <n v="0"/>
    <n v="0"/>
    <n v="0"/>
    <x v="0"/>
    <s v="Village"/>
    <x v="0"/>
    <n v="0"/>
    <n v="0"/>
    <n v="0"/>
    <n v="0"/>
    <x v="0"/>
    <m/>
  </r>
  <r>
    <x v="0"/>
    <x v="0"/>
    <x v="0"/>
    <s v="UNICEF"/>
    <x v="0"/>
    <x v="6"/>
    <x v="0"/>
    <x v="34"/>
    <m/>
    <n v="75"/>
    <d v="2018-06-07T00:00:00"/>
    <d v="2019-12-31T00:00:00"/>
    <m/>
    <m/>
    <m/>
    <m/>
    <m/>
    <m/>
    <m/>
    <m/>
    <m/>
    <n v="2"/>
    <x v="0"/>
    <m/>
    <m/>
    <m/>
    <m/>
    <m/>
    <m/>
    <m/>
    <m/>
    <m/>
    <m/>
    <m/>
    <m/>
    <m/>
    <m/>
    <m/>
    <m/>
    <m/>
    <m/>
    <m/>
    <m/>
    <m/>
    <m/>
    <n v="0"/>
    <n v="0"/>
    <n v="0"/>
    <n v="0"/>
    <n v="0"/>
    <n v="0"/>
    <n v="0"/>
    <n v="1"/>
    <n v="75"/>
    <n v="1"/>
    <n v="1"/>
    <n v="0.16"/>
    <n v="12"/>
    <n v="0"/>
    <n v="13"/>
    <n v="11"/>
    <n v="0.84"/>
    <n v="0"/>
    <n v="0"/>
    <n v="0"/>
    <n v="0"/>
    <n v="1"/>
    <n v="0"/>
    <n v="0"/>
    <n v="0"/>
    <n v="0"/>
    <x v="0"/>
    <s v="Village"/>
    <x v="0"/>
    <n v="0"/>
    <n v="0"/>
    <n v="0"/>
    <n v="0"/>
    <x v="0"/>
    <m/>
  </r>
  <r>
    <x v="0"/>
    <x v="0"/>
    <x v="0"/>
    <s v="UNICEF"/>
    <x v="0"/>
    <x v="6"/>
    <x v="0"/>
    <x v="35"/>
    <m/>
    <n v="159"/>
    <d v="2018-06-07T00:00:00"/>
    <d v="2019-12-31T00:00:00"/>
    <m/>
    <m/>
    <m/>
    <m/>
    <m/>
    <m/>
    <m/>
    <m/>
    <m/>
    <n v="19"/>
    <x v="0"/>
    <m/>
    <m/>
    <m/>
    <m/>
    <m/>
    <m/>
    <m/>
    <m/>
    <m/>
    <m/>
    <m/>
    <m/>
    <m/>
    <m/>
    <m/>
    <m/>
    <m/>
    <m/>
    <m/>
    <m/>
    <m/>
    <m/>
    <n v="0"/>
    <n v="0"/>
    <n v="0"/>
    <n v="0"/>
    <n v="0"/>
    <n v="0"/>
    <n v="0"/>
    <n v="1"/>
    <n v="159"/>
    <n v="1"/>
    <n v="1"/>
    <n v="0.71698113207547165"/>
    <n v="113.99999999999999"/>
    <n v="0"/>
    <n v="27"/>
    <n v="8"/>
    <n v="0.28301886792452835"/>
    <n v="0"/>
    <n v="0"/>
    <n v="0"/>
    <n v="0"/>
    <n v="1"/>
    <n v="0"/>
    <n v="0"/>
    <n v="0"/>
    <n v="0"/>
    <x v="0"/>
    <s v="Village"/>
    <x v="0"/>
    <n v="0"/>
    <n v="0"/>
    <n v="0"/>
    <n v="0"/>
    <x v="0"/>
    <m/>
  </r>
  <r>
    <x v="0"/>
    <x v="0"/>
    <x v="0"/>
    <s v="UNICEF"/>
    <x v="0"/>
    <x v="6"/>
    <x v="0"/>
    <x v="36"/>
    <m/>
    <n v="101"/>
    <d v="2018-06-07T00:00:00"/>
    <d v="2019-12-31T00:00:00"/>
    <m/>
    <m/>
    <m/>
    <m/>
    <m/>
    <m/>
    <m/>
    <m/>
    <m/>
    <n v="13"/>
    <x v="0"/>
    <m/>
    <m/>
    <m/>
    <m/>
    <m/>
    <m/>
    <m/>
    <m/>
    <m/>
    <m/>
    <m/>
    <m/>
    <m/>
    <m/>
    <m/>
    <m/>
    <m/>
    <m/>
    <m/>
    <m/>
    <m/>
    <m/>
    <n v="0"/>
    <n v="0"/>
    <n v="0"/>
    <n v="0"/>
    <n v="0"/>
    <n v="0"/>
    <n v="0"/>
    <n v="1"/>
    <n v="101"/>
    <n v="1"/>
    <n v="1"/>
    <n v="0.7722772277227723"/>
    <n v="78"/>
    <n v="0"/>
    <n v="17"/>
    <n v="4"/>
    <n v="0.2277227722772277"/>
    <n v="0"/>
    <n v="0"/>
    <n v="0"/>
    <n v="0"/>
    <n v="1"/>
    <n v="0"/>
    <n v="0"/>
    <n v="0"/>
    <n v="0"/>
    <x v="0"/>
    <s v="Village"/>
    <x v="0"/>
    <n v="0"/>
    <n v="0"/>
    <n v="0"/>
    <n v="0"/>
    <x v="0"/>
    <m/>
  </r>
  <r>
    <x v="0"/>
    <x v="0"/>
    <x v="0"/>
    <s v="UNICEF"/>
    <x v="0"/>
    <x v="6"/>
    <x v="0"/>
    <x v="37"/>
    <m/>
    <n v="133"/>
    <d v="2018-06-07T00:00:00"/>
    <d v="2019-12-31T00:00:00"/>
    <m/>
    <m/>
    <m/>
    <m/>
    <m/>
    <m/>
    <m/>
    <m/>
    <m/>
    <n v="20"/>
    <x v="0"/>
    <m/>
    <m/>
    <m/>
    <m/>
    <m/>
    <m/>
    <m/>
    <m/>
    <m/>
    <m/>
    <m/>
    <m/>
    <m/>
    <m/>
    <m/>
    <m/>
    <m/>
    <m/>
    <m/>
    <m/>
    <m/>
    <m/>
    <n v="0"/>
    <n v="0"/>
    <n v="0"/>
    <n v="0"/>
    <n v="0"/>
    <n v="0"/>
    <n v="0"/>
    <n v="1"/>
    <n v="133"/>
    <n v="1"/>
    <n v="1"/>
    <n v="0.90225563909774431"/>
    <n v="120"/>
    <n v="0"/>
    <n v="22"/>
    <n v="2"/>
    <n v="9.7744360902255689E-2"/>
    <n v="0"/>
    <n v="0"/>
    <n v="0"/>
    <n v="0"/>
    <n v="1"/>
    <n v="0"/>
    <n v="0"/>
    <n v="0"/>
    <n v="0"/>
    <x v="0"/>
    <s v="Village"/>
    <x v="0"/>
    <n v="0"/>
    <n v="0"/>
    <n v="0"/>
    <n v="0"/>
    <x v="0"/>
    <m/>
  </r>
  <r>
    <x v="0"/>
    <x v="0"/>
    <x v="0"/>
    <s v="UNICEF"/>
    <x v="0"/>
    <x v="6"/>
    <x v="0"/>
    <x v="38"/>
    <m/>
    <n v="126"/>
    <d v="2018-06-07T00:00:00"/>
    <d v="2019-12-31T00:00:00"/>
    <m/>
    <m/>
    <m/>
    <m/>
    <m/>
    <m/>
    <m/>
    <m/>
    <m/>
    <n v="10"/>
    <x v="0"/>
    <m/>
    <m/>
    <m/>
    <m/>
    <m/>
    <m/>
    <m/>
    <m/>
    <m/>
    <m/>
    <m/>
    <m/>
    <m/>
    <m/>
    <m/>
    <m/>
    <m/>
    <m/>
    <m/>
    <m/>
    <m/>
    <m/>
    <n v="0"/>
    <n v="0"/>
    <n v="0"/>
    <n v="0"/>
    <n v="0"/>
    <n v="0"/>
    <n v="0"/>
    <n v="1"/>
    <n v="126"/>
    <n v="1"/>
    <n v="1"/>
    <n v="0.47619047619047616"/>
    <n v="60"/>
    <n v="0"/>
    <n v="21"/>
    <n v="11"/>
    <n v="0.52380952380952384"/>
    <n v="0"/>
    <n v="0"/>
    <n v="0"/>
    <n v="0"/>
    <n v="1"/>
    <n v="0"/>
    <n v="0"/>
    <n v="0"/>
    <n v="0"/>
    <x v="0"/>
    <s v="Village"/>
    <x v="0"/>
    <n v="0"/>
    <n v="0"/>
    <n v="0"/>
    <n v="0"/>
    <x v="0"/>
    <m/>
  </r>
  <r>
    <x v="0"/>
    <x v="0"/>
    <x v="0"/>
    <s v="UNICEF"/>
    <x v="0"/>
    <x v="6"/>
    <x v="0"/>
    <x v="39"/>
    <m/>
    <n v="179"/>
    <d v="2018-06-07T00:00:00"/>
    <d v="2019-12-31T00:00:00"/>
    <m/>
    <m/>
    <m/>
    <m/>
    <m/>
    <m/>
    <m/>
    <m/>
    <m/>
    <n v="11"/>
    <x v="0"/>
    <m/>
    <m/>
    <m/>
    <m/>
    <m/>
    <m/>
    <m/>
    <m/>
    <m/>
    <m/>
    <m/>
    <m/>
    <m/>
    <m/>
    <m/>
    <m/>
    <m/>
    <m/>
    <m/>
    <m/>
    <m/>
    <m/>
    <n v="0"/>
    <n v="0"/>
    <n v="0"/>
    <n v="0"/>
    <n v="0"/>
    <n v="0"/>
    <n v="0"/>
    <n v="1"/>
    <n v="179"/>
    <n v="1"/>
    <n v="1"/>
    <n v="0.36871508379888268"/>
    <n v="66"/>
    <n v="0"/>
    <n v="30"/>
    <n v="19"/>
    <n v="0.63128491620111737"/>
    <n v="0"/>
    <n v="0"/>
    <n v="0"/>
    <n v="0"/>
    <n v="1"/>
    <n v="0"/>
    <n v="0"/>
    <n v="0"/>
    <n v="0"/>
    <x v="0"/>
    <s v="Village"/>
    <x v="0"/>
    <n v="0"/>
    <n v="0"/>
    <n v="0"/>
    <n v="0"/>
    <x v="0"/>
    <m/>
  </r>
  <r>
    <x v="0"/>
    <x v="0"/>
    <x v="0"/>
    <s v="UNICEF"/>
    <x v="0"/>
    <x v="6"/>
    <x v="0"/>
    <x v="40"/>
    <m/>
    <n v="113"/>
    <d v="2018-06-07T00:00:00"/>
    <d v="2019-12-31T00:00:00"/>
    <m/>
    <m/>
    <m/>
    <m/>
    <m/>
    <m/>
    <m/>
    <m/>
    <m/>
    <m/>
    <x v="0"/>
    <m/>
    <m/>
    <m/>
    <m/>
    <m/>
    <m/>
    <m/>
    <m/>
    <m/>
    <m/>
    <m/>
    <m/>
    <m/>
    <m/>
    <m/>
    <m/>
    <m/>
    <m/>
    <m/>
    <m/>
    <m/>
    <m/>
    <n v="0"/>
    <n v="0"/>
    <n v="0"/>
    <n v="0"/>
    <n v="0"/>
    <n v="0"/>
    <n v="0"/>
    <n v="1"/>
    <n v="113"/>
    <n v="1"/>
    <n v="1"/>
    <n v="0"/>
    <n v="0"/>
    <n v="0"/>
    <n v="19"/>
    <n v="19"/>
    <n v="1"/>
    <n v="0"/>
    <n v="0"/>
    <n v="0"/>
    <n v="0"/>
    <n v="1"/>
    <n v="0"/>
    <n v="0"/>
    <n v="0"/>
    <n v="0"/>
    <x v="0"/>
    <s v="Village"/>
    <x v="0"/>
    <n v="0"/>
    <n v="0"/>
    <n v="0"/>
    <n v="0"/>
    <x v="0"/>
    <m/>
  </r>
  <r>
    <x v="0"/>
    <x v="0"/>
    <x v="0"/>
    <s v="UNICEF"/>
    <x v="0"/>
    <x v="6"/>
    <x v="0"/>
    <x v="41"/>
    <m/>
    <n v="166"/>
    <d v="2018-06-07T00:00:00"/>
    <d v="2019-12-31T00:00:00"/>
    <m/>
    <m/>
    <m/>
    <m/>
    <m/>
    <m/>
    <m/>
    <m/>
    <m/>
    <n v="11"/>
    <x v="0"/>
    <m/>
    <m/>
    <m/>
    <m/>
    <m/>
    <m/>
    <m/>
    <m/>
    <m/>
    <m/>
    <m/>
    <m/>
    <m/>
    <m/>
    <m/>
    <m/>
    <m/>
    <m/>
    <m/>
    <m/>
    <m/>
    <m/>
    <n v="0"/>
    <n v="0"/>
    <n v="0"/>
    <n v="0"/>
    <n v="0"/>
    <n v="0"/>
    <n v="0"/>
    <n v="1"/>
    <n v="166"/>
    <n v="1"/>
    <n v="1"/>
    <n v="0.39759036144578314"/>
    <n v="66"/>
    <n v="0"/>
    <n v="28"/>
    <n v="17"/>
    <n v="0.60240963855421681"/>
    <n v="0"/>
    <n v="0"/>
    <n v="0"/>
    <n v="0"/>
    <n v="1"/>
    <n v="0"/>
    <n v="0"/>
    <n v="0"/>
    <n v="0"/>
    <x v="0"/>
    <s v="Village"/>
    <x v="0"/>
    <n v="0"/>
    <n v="0"/>
    <n v="0"/>
    <n v="0"/>
    <x v="0"/>
    <m/>
  </r>
  <r>
    <x v="0"/>
    <x v="0"/>
    <x v="0"/>
    <s v="UNICEF"/>
    <x v="0"/>
    <x v="6"/>
    <x v="0"/>
    <x v="42"/>
    <m/>
    <n v="119"/>
    <d v="2018-06-07T00:00:00"/>
    <d v="2019-12-31T00:00:00"/>
    <m/>
    <m/>
    <m/>
    <m/>
    <m/>
    <m/>
    <m/>
    <m/>
    <m/>
    <n v="14"/>
    <x v="0"/>
    <m/>
    <m/>
    <m/>
    <m/>
    <m/>
    <m/>
    <m/>
    <m/>
    <m/>
    <m/>
    <m/>
    <m/>
    <m/>
    <m/>
    <m/>
    <m/>
    <m/>
    <m/>
    <m/>
    <m/>
    <m/>
    <m/>
    <n v="0"/>
    <n v="0"/>
    <n v="0"/>
    <n v="0"/>
    <n v="0"/>
    <n v="0"/>
    <n v="0"/>
    <n v="1"/>
    <n v="119"/>
    <n v="1"/>
    <n v="1"/>
    <n v="0.70588235294117652"/>
    <n v="84"/>
    <n v="0"/>
    <n v="20"/>
    <n v="6"/>
    <n v="0.29411764705882348"/>
    <n v="0"/>
    <n v="0"/>
    <n v="0"/>
    <n v="0"/>
    <n v="1"/>
    <n v="0"/>
    <n v="0"/>
    <n v="0"/>
    <n v="0"/>
    <x v="0"/>
    <s v="Village"/>
    <x v="0"/>
    <n v="0"/>
    <n v="0"/>
    <n v="0"/>
    <n v="0"/>
    <x v="0"/>
    <m/>
  </r>
  <r>
    <x v="0"/>
    <x v="0"/>
    <x v="0"/>
    <s v="UNICEF"/>
    <x v="0"/>
    <x v="6"/>
    <x v="0"/>
    <x v="43"/>
    <m/>
    <n v="303"/>
    <d v="2018-06-07T00:00:00"/>
    <d v="2019-12-31T00:00:00"/>
    <m/>
    <m/>
    <m/>
    <m/>
    <m/>
    <m/>
    <m/>
    <m/>
    <m/>
    <n v="34"/>
    <x v="0"/>
    <m/>
    <m/>
    <m/>
    <m/>
    <m/>
    <m/>
    <m/>
    <m/>
    <m/>
    <m/>
    <m/>
    <m/>
    <m/>
    <m/>
    <m/>
    <m/>
    <m/>
    <m/>
    <m/>
    <m/>
    <m/>
    <m/>
    <n v="0"/>
    <n v="0"/>
    <n v="0"/>
    <n v="0"/>
    <n v="0"/>
    <n v="0"/>
    <n v="0"/>
    <n v="1"/>
    <n v="303"/>
    <n v="1"/>
    <n v="1"/>
    <n v="0.67326732673267331"/>
    <n v="204"/>
    <n v="0"/>
    <n v="51"/>
    <n v="17"/>
    <n v="0.32673267326732669"/>
    <n v="0"/>
    <n v="0"/>
    <n v="0"/>
    <n v="0"/>
    <n v="1"/>
    <n v="0"/>
    <n v="0"/>
    <n v="0"/>
    <n v="0"/>
    <x v="0"/>
    <s v="Village"/>
    <x v="0"/>
    <n v="0"/>
    <n v="0"/>
    <n v="0"/>
    <n v="0"/>
    <x v="0"/>
    <m/>
  </r>
  <r>
    <x v="0"/>
    <x v="0"/>
    <x v="0"/>
    <s v="UNICEF"/>
    <x v="0"/>
    <x v="6"/>
    <x v="0"/>
    <x v="44"/>
    <m/>
    <n v="201"/>
    <d v="2018-06-07T00:00:00"/>
    <d v="2019-12-31T00:00:00"/>
    <m/>
    <m/>
    <m/>
    <m/>
    <m/>
    <m/>
    <m/>
    <m/>
    <m/>
    <n v="4"/>
    <x v="0"/>
    <m/>
    <m/>
    <m/>
    <m/>
    <m/>
    <m/>
    <m/>
    <m/>
    <m/>
    <m/>
    <m/>
    <m/>
    <m/>
    <m/>
    <m/>
    <m/>
    <m/>
    <m/>
    <m/>
    <m/>
    <m/>
    <m/>
    <n v="0"/>
    <n v="0"/>
    <n v="0"/>
    <n v="0"/>
    <n v="0"/>
    <n v="0"/>
    <n v="0"/>
    <n v="1"/>
    <n v="201"/>
    <n v="1"/>
    <n v="1"/>
    <n v="0.11940298507462686"/>
    <n v="24"/>
    <n v="0"/>
    <n v="34"/>
    <n v="30"/>
    <n v="0.88059701492537312"/>
    <n v="0"/>
    <n v="0"/>
    <n v="0"/>
    <n v="0"/>
    <n v="1"/>
    <n v="0"/>
    <n v="0"/>
    <n v="0"/>
    <n v="0"/>
    <x v="0"/>
    <s v="Village"/>
    <x v="0"/>
    <n v="0"/>
    <n v="0"/>
    <n v="0"/>
    <n v="0"/>
    <x v="0"/>
    <m/>
  </r>
  <r>
    <x v="0"/>
    <x v="0"/>
    <x v="0"/>
    <s v="UNICEF"/>
    <x v="0"/>
    <x v="6"/>
    <x v="0"/>
    <x v="45"/>
    <m/>
    <n v="245"/>
    <d v="2018-06-07T00:00:00"/>
    <d v="2019-12-31T00:00:00"/>
    <m/>
    <m/>
    <m/>
    <m/>
    <m/>
    <m/>
    <m/>
    <m/>
    <m/>
    <n v="5"/>
    <x v="0"/>
    <m/>
    <m/>
    <m/>
    <m/>
    <m/>
    <m/>
    <m/>
    <m/>
    <m/>
    <m/>
    <m/>
    <m/>
    <m/>
    <m/>
    <m/>
    <m/>
    <m/>
    <m/>
    <m/>
    <m/>
    <m/>
    <m/>
    <n v="0"/>
    <n v="0"/>
    <n v="0"/>
    <n v="0"/>
    <n v="0"/>
    <n v="0"/>
    <n v="0"/>
    <n v="1"/>
    <n v="245"/>
    <n v="1"/>
    <n v="1"/>
    <n v="0.12244897959183673"/>
    <n v="30"/>
    <n v="0"/>
    <n v="41"/>
    <n v="36"/>
    <n v="0.87755102040816324"/>
    <n v="0"/>
    <n v="0"/>
    <n v="0"/>
    <n v="0"/>
    <n v="1"/>
    <n v="0"/>
    <n v="0"/>
    <n v="0"/>
    <n v="0"/>
    <x v="0"/>
    <s v="Village"/>
    <x v="0"/>
    <n v="0"/>
    <n v="0"/>
    <n v="0"/>
    <n v="0"/>
    <x v="0"/>
    <m/>
  </r>
  <r>
    <x v="0"/>
    <x v="0"/>
    <x v="0"/>
    <s v="UNICEF"/>
    <x v="0"/>
    <x v="6"/>
    <x v="0"/>
    <x v="46"/>
    <m/>
    <n v="308"/>
    <d v="2018-06-07T00:00:00"/>
    <d v="2019-12-31T00:00:00"/>
    <m/>
    <m/>
    <m/>
    <m/>
    <m/>
    <m/>
    <m/>
    <m/>
    <m/>
    <n v="9"/>
    <x v="0"/>
    <m/>
    <m/>
    <m/>
    <m/>
    <m/>
    <m/>
    <m/>
    <m/>
    <m/>
    <m/>
    <m/>
    <m/>
    <m/>
    <m/>
    <m/>
    <m/>
    <m/>
    <m/>
    <m/>
    <m/>
    <m/>
    <m/>
    <n v="0"/>
    <n v="0"/>
    <n v="0"/>
    <n v="0"/>
    <n v="0"/>
    <n v="0"/>
    <n v="0"/>
    <n v="1"/>
    <n v="308"/>
    <n v="1"/>
    <n v="1"/>
    <n v="0.17532467532467533"/>
    <n v="54"/>
    <n v="0"/>
    <n v="51"/>
    <n v="42"/>
    <n v="0.82467532467532467"/>
    <n v="0"/>
    <n v="0"/>
    <n v="0"/>
    <n v="0"/>
    <n v="1"/>
    <n v="0"/>
    <n v="0"/>
    <n v="0"/>
    <n v="0"/>
    <x v="0"/>
    <s v="Village"/>
    <x v="0"/>
    <n v="0"/>
    <n v="0"/>
    <n v="0"/>
    <n v="0"/>
    <x v="0"/>
    <m/>
  </r>
  <r>
    <x v="0"/>
    <x v="0"/>
    <x v="0"/>
    <s v="UNICEF"/>
    <x v="0"/>
    <x v="6"/>
    <x v="0"/>
    <x v="47"/>
    <m/>
    <n v="178"/>
    <d v="2018-06-07T00:00:00"/>
    <d v="2019-12-31T00:00:00"/>
    <m/>
    <m/>
    <m/>
    <m/>
    <m/>
    <m/>
    <m/>
    <m/>
    <m/>
    <n v="6"/>
    <x v="0"/>
    <m/>
    <m/>
    <m/>
    <m/>
    <m/>
    <m/>
    <m/>
    <m/>
    <m/>
    <m/>
    <m/>
    <m/>
    <m/>
    <m/>
    <m/>
    <m/>
    <m/>
    <m/>
    <m/>
    <m/>
    <m/>
    <m/>
    <n v="0"/>
    <n v="0"/>
    <n v="0"/>
    <n v="0"/>
    <n v="0"/>
    <n v="0"/>
    <n v="0"/>
    <n v="1"/>
    <n v="178"/>
    <n v="1"/>
    <n v="1"/>
    <n v="0.20224719101123595"/>
    <n v="36"/>
    <n v="0"/>
    <n v="30"/>
    <n v="24"/>
    <n v="0.797752808988764"/>
    <n v="0"/>
    <n v="0"/>
    <n v="0"/>
    <n v="0"/>
    <n v="1"/>
    <n v="0"/>
    <n v="0"/>
    <n v="0"/>
    <n v="0"/>
    <x v="0"/>
    <s v="Village"/>
    <x v="0"/>
    <n v="0"/>
    <n v="0"/>
    <n v="0"/>
    <n v="0"/>
    <x v="0"/>
    <m/>
  </r>
  <r>
    <x v="0"/>
    <x v="0"/>
    <x v="0"/>
    <s v="UNICEF"/>
    <x v="0"/>
    <x v="6"/>
    <x v="0"/>
    <x v="48"/>
    <m/>
    <n v="393"/>
    <d v="2018-06-07T00:00:00"/>
    <d v="2019-12-31T00:00:00"/>
    <m/>
    <m/>
    <m/>
    <m/>
    <m/>
    <m/>
    <m/>
    <m/>
    <m/>
    <n v="4"/>
    <x v="0"/>
    <m/>
    <m/>
    <m/>
    <m/>
    <m/>
    <m/>
    <m/>
    <m/>
    <m/>
    <m/>
    <m/>
    <m/>
    <m/>
    <m/>
    <m/>
    <m/>
    <m/>
    <m/>
    <m/>
    <m/>
    <m/>
    <m/>
    <n v="0"/>
    <n v="0"/>
    <n v="0"/>
    <n v="0"/>
    <n v="0"/>
    <n v="0"/>
    <n v="0"/>
    <n v="1"/>
    <n v="393"/>
    <n v="2"/>
    <n v="2"/>
    <n v="6.1068702290076333E-2"/>
    <n v="24"/>
    <n v="0"/>
    <n v="66"/>
    <n v="62"/>
    <n v="0.93893129770992367"/>
    <n v="0"/>
    <n v="0"/>
    <n v="0"/>
    <n v="0"/>
    <n v="1"/>
    <n v="0"/>
    <n v="0"/>
    <n v="0"/>
    <n v="0"/>
    <x v="0"/>
    <s v="Village"/>
    <x v="0"/>
    <n v="0"/>
    <n v="0"/>
    <n v="0"/>
    <n v="0"/>
    <x v="0"/>
    <m/>
  </r>
  <r>
    <x v="0"/>
    <x v="0"/>
    <x v="0"/>
    <s v="UNICEF"/>
    <x v="0"/>
    <x v="6"/>
    <x v="0"/>
    <x v="49"/>
    <m/>
    <n v="131"/>
    <d v="2018-06-07T00:00:00"/>
    <d v="2019-12-31T00:00:00"/>
    <m/>
    <m/>
    <m/>
    <m/>
    <m/>
    <m/>
    <m/>
    <m/>
    <m/>
    <n v="1"/>
    <x v="0"/>
    <m/>
    <m/>
    <m/>
    <m/>
    <m/>
    <m/>
    <m/>
    <m/>
    <m/>
    <m/>
    <m/>
    <m/>
    <m/>
    <m/>
    <m/>
    <m/>
    <m/>
    <m/>
    <m/>
    <m/>
    <m/>
    <m/>
    <n v="0"/>
    <n v="0"/>
    <n v="0"/>
    <n v="0"/>
    <n v="0"/>
    <n v="0"/>
    <n v="0"/>
    <n v="1"/>
    <n v="131"/>
    <n v="1"/>
    <n v="1"/>
    <n v="4.5801526717557252E-2"/>
    <n v="6"/>
    <n v="0"/>
    <n v="22"/>
    <n v="21"/>
    <n v="0.95419847328244278"/>
    <n v="0"/>
    <n v="0"/>
    <n v="0"/>
    <n v="0"/>
    <n v="1"/>
    <n v="0"/>
    <n v="0"/>
    <n v="0"/>
    <n v="0"/>
    <x v="0"/>
    <s v="Village"/>
    <x v="0"/>
    <n v="0"/>
    <n v="0"/>
    <n v="0"/>
    <n v="0"/>
    <x v="0"/>
    <m/>
  </r>
  <r>
    <x v="0"/>
    <x v="0"/>
    <x v="0"/>
    <s v="UNICEF"/>
    <x v="0"/>
    <x v="6"/>
    <x v="0"/>
    <x v="50"/>
    <m/>
    <n v="112"/>
    <d v="2018-06-07T00:00:00"/>
    <d v="2019-12-31T00:00:00"/>
    <m/>
    <m/>
    <m/>
    <m/>
    <m/>
    <m/>
    <m/>
    <m/>
    <m/>
    <n v="1"/>
    <x v="0"/>
    <m/>
    <m/>
    <m/>
    <m/>
    <m/>
    <m/>
    <m/>
    <m/>
    <m/>
    <m/>
    <m/>
    <m/>
    <m/>
    <m/>
    <m/>
    <m/>
    <m/>
    <m/>
    <m/>
    <m/>
    <m/>
    <m/>
    <n v="0"/>
    <n v="0"/>
    <n v="0"/>
    <n v="0"/>
    <n v="0"/>
    <n v="0"/>
    <n v="0"/>
    <n v="1"/>
    <n v="112"/>
    <n v="1"/>
    <n v="1"/>
    <n v="5.3571428571428568E-2"/>
    <n v="6"/>
    <n v="0"/>
    <n v="19"/>
    <n v="18"/>
    <n v="0.9464285714285714"/>
    <n v="0"/>
    <n v="0"/>
    <n v="0"/>
    <n v="0"/>
    <n v="1"/>
    <n v="0"/>
    <n v="0"/>
    <n v="0"/>
    <n v="0"/>
    <x v="0"/>
    <s v="Village"/>
    <x v="0"/>
    <n v="0"/>
    <n v="0"/>
    <n v="0"/>
    <n v="0"/>
    <x v="0"/>
    <m/>
  </r>
  <r>
    <x v="0"/>
    <x v="0"/>
    <x v="0"/>
    <s v="UNICEF"/>
    <x v="0"/>
    <x v="6"/>
    <x v="0"/>
    <x v="51"/>
    <m/>
    <n v="166"/>
    <d v="2018-06-07T00:00:00"/>
    <d v="2019-12-31T00:00:00"/>
    <m/>
    <m/>
    <m/>
    <m/>
    <m/>
    <m/>
    <m/>
    <m/>
    <m/>
    <n v="15"/>
    <x v="0"/>
    <m/>
    <m/>
    <m/>
    <m/>
    <m/>
    <m/>
    <m/>
    <m/>
    <m/>
    <m/>
    <m/>
    <m/>
    <m/>
    <m/>
    <m/>
    <m/>
    <m/>
    <m/>
    <m/>
    <m/>
    <m/>
    <m/>
    <n v="0"/>
    <n v="0"/>
    <n v="0"/>
    <n v="0"/>
    <n v="0"/>
    <n v="0"/>
    <n v="0"/>
    <n v="1"/>
    <n v="166"/>
    <n v="1"/>
    <n v="1"/>
    <n v="0.54216867469879515"/>
    <n v="90"/>
    <n v="0"/>
    <n v="28"/>
    <n v="13"/>
    <n v="0.45783132530120485"/>
    <n v="0"/>
    <n v="0"/>
    <n v="0"/>
    <n v="0"/>
    <n v="1"/>
    <n v="0"/>
    <n v="0"/>
    <n v="0"/>
    <n v="0"/>
    <x v="0"/>
    <s v="Village"/>
    <x v="0"/>
    <n v="0"/>
    <n v="0"/>
    <n v="0"/>
    <n v="0"/>
    <x v="0"/>
    <m/>
  </r>
  <r>
    <x v="0"/>
    <x v="0"/>
    <x v="0"/>
    <s v="UNICEF"/>
    <x v="0"/>
    <x v="6"/>
    <x v="0"/>
    <x v="52"/>
    <m/>
    <n v="343"/>
    <d v="2018-06-07T00:00:00"/>
    <d v="2019-12-31T00:00:00"/>
    <m/>
    <m/>
    <m/>
    <m/>
    <m/>
    <m/>
    <m/>
    <m/>
    <m/>
    <n v="9"/>
    <x v="0"/>
    <m/>
    <m/>
    <m/>
    <m/>
    <m/>
    <m/>
    <m/>
    <m/>
    <m/>
    <m/>
    <m/>
    <m/>
    <m/>
    <m/>
    <m/>
    <m/>
    <m/>
    <m/>
    <m/>
    <m/>
    <m/>
    <m/>
    <n v="0"/>
    <n v="0"/>
    <n v="0"/>
    <n v="0"/>
    <n v="0"/>
    <n v="0"/>
    <n v="0"/>
    <n v="1"/>
    <n v="343"/>
    <n v="1"/>
    <n v="1"/>
    <n v="0.15743440233236153"/>
    <n v="54.000000000000007"/>
    <n v="0"/>
    <n v="57"/>
    <n v="48"/>
    <n v="0.8425655976676385"/>
    <n v="0"/>
    <n v="0"/>
    <n v="0"/>
    <n v="0"/>
    <n v="1"/>
    <n v="0"/>
    <n v="0"/>
    <n v="0"/>
    <n v="0"/>
    <x v="0"/>
    <s v="Village"/>
    <x v="0"/>
    <n v="0"/>
    <n v="0"/>
    <n v="0"/>
    <n v="0"/>
    <x v="0"/>
    <m/>
  </r>
  <r>
    <x v="0"/>
    <x v="0"/>
    <x v="0"/>
    <s v="UNICEF"/>
    <x v="0"/>
    <x v="7"/>
    <x v="0"/>
    <x v="53"/>
    <m/>
    <n v="134"/>
    <d v="2018-06-07T00:00:00"/>
    <d v="2019-12-31T00:00:00"/>
    <m/>
    <m/>
    <m/>
    <m/>
    <m/>
    <m/>
    <m/>
    <m/>
    <m/>
    <n v="6"/>
    <x v="0"/>
    <m/>
    <m/>
    <m/>
    <m/>
    <m/>
    <m/>
    <n v="10"/>
    <n v="14"/>
    <n v="3"/>
    <n v="2"/>
    <m/>
    <m/>
    <m/>
    <m/>
    <m/>
    <m/>
    <m/>
    <m/>
    <m/>
    <m/>
    <m/>
    <m/>
    <n v="0"/>
    <n v="0"/>
    <n v="0"/>
    <n v="0"/>
    <n v="0"/>
    <n v="0"/>
    <n v="0"/>
    <n v="1"/>
    <n v="134"/>
    <n v="1"/>
    <n v="1"/>
    <n v="0.26865671641791045"/>
    <n v="36"/>
    <n v="0"/>
    <n v="22"/>
    <n v="16"/>
    <n v="0.73134328358208955"/>
    <n v="29"/>
    <n v="0"/>
    <n v="29"/>
    <n v="0.21641791044776118"/>
    <n v="0.78358208955223885"/>
    <n v="0.21641791044776118"/>
    <n v="0"/>
    <n v="0"/>
    <n v="0"/>
    <x v="0"/>
    <s v="Village"/>
    <x v="0"/>
    <n v="0"/>
    <n v="0"/>
    <n v="0"/>
    <n v="0"/>
    <x v="0"/>
    <m/>
  </r>
  <r>
    <x v="0"/>
    <x v="0"/>
    <x v="0"/>
    <s v="UNICEF"/>
    <x v="0"/>
    <x v="7"/>
    <x v="0"/>
    <x v="54"/>
    <m/>
    <n v="157"/>
    <d v="2018-06-07T00:00:00"/>
    <d v="2019-12-31T00:00:00"/>
    <m/>
    <m/>
    <m/>
    <m/>
    <m/>
    <m/>
    <m/>
    <m/>
    <m/>
    <n v="1"/>
    <x v="0"/>
    <m/>
    <m/>
    <m/>
    <m/>
    <m/>
    <m/>
    <n v="11"/>
    <n v="14"/>
    <n v="5"/>
    <n v="8"/>
    <m/>
    <m/>
    <m/>
    <m/>
    <m/>
    <m/>
    <m/>
    <m/>
    <m/>
    <m/>
    <m/>
    <m/>
    <n v="0"/>
    <n v="0"/>
    <n v="0"/>
    <n v="0"/>
    <n v="0"/>
    <n v="0"/>
    <n v="0"/>
    <n v="1"/>
    <n v="157"/>
    <n v="1"/>
    <n v="1"/>
    <n v="3.8216560509554139E-2"/>
    <n v="6"/>
    <n v="0"/>
    <n v="26"/>
    <n v="25"/>
    <n v="0.96178343949044587"/>
    <n v="38"/>
    <n v="0"/>
    <n v="38"/>
    <n v="0.24203821656050956"/>
    <n v="0.7579617834394905"/>
    <n v="0.24203821656050956"/>
    <n v="0"/>
    <n v="0"/>
    <n v="0"/>
    <x v="0"/>
    <s v="Village"/>
    <x v="0"/>
    <n v="0"/>
    <n v="0"/>
    <n v="0"/>
    <n v="0"/>
    <x v="0"/>
    <m/>
  </r>
  <r>
    <x v="0"/>
    <x v="1"/>
    <x v="1"/>
    <s v="OFDA"/>
    <x v="1"/>
    <x v="8"/>
    <x v="0"/>
    <x v="55"/>
    <n v="204"/>
    <n v="1055"/>
    <d v="2019-04-01T00:00:00"/>
    <d v="2020-06-30T00:00:00"/>
    <n v="241"/>
    <m/>
    <m/>
    <m/>
    <n v="3"/>
    <m/>
    <n v="1055"/>
    <m/>
    <m/>
    <m/>
    <x v="1"/>
    <n v="2"/>
    <m/>
    <m/>
    <m/>
    <m/>
    <m/>
    <n v="60"/>
    <n v="87"/>
    <n v="56"/>
    <n v="54"/>
    <n v="36"/>
    <n v="53"/>
    <m/>
    <n v="1"/>
    <n v="204"/>
    <m/>
    <m/>
    <m/>
    <m/>
    <m/>
    <m/>
    <m/>
    <n v="0"/>
    <n v="0"/>
    <n v="1"/>
    <n v="1055"/>
    <n v="1"/>
    <n v="1055"/>
    <n v="4.22"/>
    <n v="0"/>
    <n v="0"/>
    <n v="0"/>
    <n v="4"/>
    <n v="0"/>
    <n v="0"/>
    <n v="100"/>
    <n v="176"/>
    <n v="176"/>
    <n v="1"/>
    <n v="346"/>
    <n v="0"/>
    <n v="1055"/>
    <n v="1"/>
    <n v="0"/>
    <n v="0.32796208530805687"/>
    <n v="1055"/>
    <n v="0"/>
    <n v="1055"/>
    <x v="1"/>
    <s v="Village"/>
    <x v="0"/>
    <s v="Rakhine"/>
    <n v="20.0839"/>
    <n v="92.993799999999993"/>
    <n v="197557"/>
    <x v="0"/>
    <m/>
  </r>
  <r>
    <x v="0"/>
    <x v="1"/>
    <x v="1"/>
    <s v="OFDA"/>
    <x v="1"/>
    <x v="8"/>
    <x v="0"/>
    <x v="56"/>
    <n v="948"/>
    <n v="3946"/>
    <d v="2019-04-01T00:00:00"/>
    <d v="2020-06-30T00:00:00"/>
    <n v="342"/>
    <m/>
    <m/>
    <m/>
    <n v="3"/>
    <m/>
    <n v="3946"/>
    <n v="2"/>
    <m/>
    <m/>
    <x v="1"/>
    <n v="2"/>
    <m/>
    <m/>
    <m/>
    <m/>
    <m/>
    <n v="437"/>
    <n v="496"/>
    <n v="160"/>
    <n v="154"/>
    <n v="74"/>
    <n v="122"/>
    <m/>
    <n v="1"/>
    <n v="948"/>
    <m/>
    <m/>
    <m/>
    <m/>
    <m/>
    <m/>
    <m/>
    <n v="0.12671059300557527"/>
    <n v="500"/>
    <n v="1"/>
    <n v="3946"/>
    <n v="1"/>
    <n v="3946"/>
    <n v="15.784000000000001"/>
    <n v="0"/>
    <n v="0"/>
    <n v="0.2159999999999993"/>
    <n v="16"/>
    <n v="0"/>
    <n v="0"/>
    <n v="100"/>
    <n v="658"/>
    <n v="658"/>
    <n v="1"/>
    <n v="1443"/>
    <n v="0"/>
    <n v="3946"/>
    <n v="1"/>
    <n v="0"/>
    <n v="0.36568677141409023"/>
    <n v="3946"/>
    <n v="0"/>
    <n v="3946"/>
    <x v="1"/>
    <s v="Village"/>
    <x v="0"/>
    <s v="Muslim"/>
    <n v="20.0641"/>
    <n v="92.994600000000005"/>
    <n v="197548"/>
    <x v="0"/>
    <m/>
  </r>
  <r>
    <x v="0"/>
    <x v="1"/>
    <x v="1"/>
    <s v="OFDA"/>
    <x v="1"/>
    <x v="8"/>
    <x v="0"/>
    <x v="57"/>
    <n v="477"/>
    <n v="2034"/>
    <d v="2019-04-01T00:00:00"/>
    <d v="2020-06-30T00:00:00"/>
    <n v="462"/>
    <m/>
    <m/>
    <m/>
    <n v="1"/>
    <m/>
    <n v="2034"/>
    <n v="2"/>
    <m/>
    <m/>
    <x v="1"/>
    <n v="8"/>
    <m/>
    <m/>
    <m/>
    <m/>
    <m/>
    <n v="27"/>
    <n v="393"/>
    <n v="48"/>
    <n v="58"/>
    <n v="0"/>
    <n v="0"/>
    <m/>
    <m/>
    <n v="477"/>
    <m/>
    <m/>
    <m/>
    <m/>
    <m/>
    <m/>
    <m/>
    <n v="0.24582104228121926"/>
    <n v="500"/>
    <n v="1"/>
    <n v="2034"/>
    <n v="1"/>
    <n v="2034"/>
    <n v="8.1359999999999992"/>
    <n v="0"/>
    <n v="0"/>
    <n v="0"/>
    <n v="8"/>
    <n v="0"/>
    <n v="0"/>
    <n v="400"/>
    <n v="339"/>
    <n v="339"/>
    <n v="1"/>
    <n v="526"/>
    <n v="0"/>
    <n v="2034"/>
    <n v="1"/>
    <n v="0"/>
    <n v="0.25860373647984269"/>
    <n v="2034"/>
    <n v="0"/>
    <n v="2034"/>
    <x v="1"/>
    <s v="Village"/>
    <x v="0"/>
    <s v="Rakhine"/>
    <n v="20.057860999999999"/>
    <n v="92.995181000000002"/>
    <n v="197550"/>
    <x v="0"/>
    <m/>
  </r>
  <r>
    <x v="0"/>
    <x v="1"/>
    <x v="1"/>
    <s v="BMZ"/>
    <x v="1"/>
    <x v="8"/>
    <x v="0"/>
    <x v="58"/>
    <n v="79"/>
    <n v="341"/>
    <d v="2018-09-16T00:00:00"/>
    <d v="2020-12-31T00:00:00"/>
    <n v="40"/>
    <m/>
    <m/>
    <m/>
    <n v="1"/>
    <m/>
    <n v="341"/>
    <n v="1"/>
    <m/>
    <n v="5"/>
    <x v="2"/>
    <n v="3"/>
    <n v="14"/>
    <m/>
    <m/>
    <m/>
    <m/>
    <m/>
    <m/>
    <m/>
    <m/>
    <m/>
    <m/>
    <m/>
    <m/>
    <m/>
    <m/>
    <m/>
    <m/>
    <m/>
    <m/>
    <m/>
    <m/>
    <n v="0.73313782991202348"/>
    <n v="250"/>
    <n v="1"/>
    <n v="341"/>
    <n v="1"/>
    <n v="341"/>
    <n v="1.3640000000000001"/>
    <n v="0"/>
    <n v="0"/>
    <n v="0"/>
    <n v="1"/>
    <n v="8.797653958944282E-2"/>
    <n v="30"/>
    <n v="150"/>
    <n v="57"/>
    <n v="52"/>
    <n v="0.91202346041055715"/>
    <n v="0"/>
    <n v="0"/>
    <n v="0"/>
    <n v="0"/>
    <n v="1"/>
    <n v="0"/>
    <n v="0"/>
    <n v="0"/>
    <n v="0"/>
    <x v="1"/>
    <s v="Village"/>
    <x v="0"/>
    <n v="0"/>
    <n v="92.969009399414105"/>
    <n v="20.014240264892599"/>
    <n v="197542"/>
    <x v="0"/>
    <m/>
  </r>
  <r>
    <x v="0"/>
    <x v="1"/>
    <x v="1"/>
    <s v="BMZ"/>
    <x v="1"/>
    <x v="8"/>
    <x v="0"/>
    <x v="59"/>
    <n v="84"/>
    <n v="359"/>
    <d v="2018-09-16T00:00:00"/>
    <d v="2020-12-31T00:00:00"/>
    <n v="78"/>
    <m/>
    <m/>
    <m/>
    <n v="0"/>
    <m/>
    <n v="359"/>
    <n v="0"/>
    <m/>
    <n v="2"/>
    <x v="2"/>
    <n v="1"/>
    <n v="8"/>
    <m/>
    <m/>
    <m/>
    <m/>
    <m/>
    <m/>
    <m/>
    <m/>
    <m/>
    <m/>
    <m/>
    <m/>
    <m/>
    <m/>
    <m/>
    <m/>
    <m/>
    <m/>
    <m/>
    <m/>
    <n v="0"/>
    <n v="0"/>
    <n v="1"/>
    <n v="359"/>
    <n v="1"/>
    <n v="359"/>
    <n v="1.4359999999999999"/>
    <n v="0"/>
    <n v="0"/>
    <n v="0"/>
    <n v="1"/>
    <n v="3.3426183844011144E-2"/>
    <n v="12"/>
    <n v="50"/>
    <n v="60"/>
    <n v="58"/>
    <n v="0.96657381615598881"/>
    <n v="0"/>
    <n v="0"/>
    <n v="0"/>
    <n v="0"/>
    <n v="1"/>
    <n v="0"/>
    <n v="0"/>
    <n v="0"/>
    <n v="0"/>
    <x v="1"/>
    <s v="Village"/>
    <x v="0"/>
    <n v="0"/>
    <n v="92.967132568359403"/>
    <n v="19.9705104827881"/>
    <n v="197568"/>
    <x v="0"/>
    <m/>
  </r>
  <r>
    <x v="0"/>
    <x v="1"/>
    <x v="1"/>
    <s v="BMZ"/>
    <x v="1"/>
    <x v="8"/>
    <x v="0"/>
    <x v="60"/>
    <n v="21"/>
    <n v="83"/>
    <d v="2018-09-16T00:00:00"/>
    <d v="2020-12-31T00:00:00"/>
    <n v="9"/>
    <m/>
    <m/>
    <m/>
    <n v="1"/>
    <m/>
    <n v="83"/>
    <n v="0"/>
    <m/>
    <n v="0"/>
    <x v="2"/>
    <n v="0"/>
    <n v="0"/>
    <m/>
    <m/>
    <m/>
    <m/>
    <m/>
    <m/>
    <m/>
    <m/>
    <m/>
    <m/>
    <m/>
    <m/>
    <m/>
    <m/>
    <m/>
    <m/>
    <m/>
    <m/>
    <m/>
    <m/>
    <n v="0"/>
    <n v="0"/>
    <n v="1"/>
    <n v="83"/>
    <n v="1"/>
    <n v="83"/>
    <n v="0.33200000000000002"/>
    <n v="0"/>
    <n v="0"/>
    <n v="0.66799999999999993"/>
    <n v="1"/>
    <n v="0"/>
    <n v="0"/>
    <n v="0"/>
    <n v="14"/>
    <n v="14"/>
    <n v="1"/>
    <n v="0"/>
    <n v="0"/>
    <n v="0"/>
    <n v="0"/>
    <n v="1"/>
    <n v="0"/>
    <n v="0"/>
    <n v="0"/>
    <n v="0"/>
    <x v="1"/>
    <s v="Village"/>
    <x v="0"/>
    <n v="0"/>
    <n v="92.943733215332003"/>
    <n v="20.0130805969238"/>
    <n v="217987"/>
    <x v="0"/>
    <m/>
  </r>
  <r>
    <x v="0"/>
    <x v="1"/>
    <x v="1"/>
    <s v="BMZ"/>
    <x v="1"/>
    <x v="8"/>
    <x v="0"/>
    <x v="61"/>
    <n v="160"/>
    <n v="728"/>
    <d v="2018-09-16T00:00:00"/>
    <d v="2020-12-31T00:00:00"/>
    <n v="177"/>
    <m/>
    <m/>
    <m/>
    <n v="0"/>
    <m/>
    <n v="728"/>
    <n v="0"/>
    <m/>
    <n v="10"/>
    <x v="2"/>
    <n v="2"/>
    <n v="11"/>
    <m/>
    <m/>
    <m/>
    <m/>
    <m/>
    <m/>
    <m/>
    <m/>
    <m/>
    <m/>
    <m/>
    <m/>
    <m/>
    <m/>
    <m/>
    <m/>
    <m/>
    <m/>
    <m/>
    <m/>
    <n v="0"/>
    <n v="0"/>
    <n v="1"/>
    <n v="728"/>
    <n v="1"/>
    <n v="728"/>
    <n v="2.9119999999999999"/>
    <n v="0"/>
    <n v="0"/>
    <n v="8.8000000000000078E-2"/>
    <n v="3"/>
    <n v="8.2417582417582416E-2"/>
    <n v="60"/>
    <n v="100"/>
    <n v="121"/>
    <n v="111"/>
    <n v="0.91758241758241754"/>
    <n v="0"/>
    <n v="0"/>
    <n v="0"/>
    <n v="0"/>
    <n v="1"/>
    <n v="0"/>
    <n v="0"/>
    <n v="0"/>
    <n v="0"/>
    <x v="1"/>
    <s v="Village"/>
    <x v="0"/>
    <n v="0"/>
    <n v="19.94882965"/>
    <n v="92.978782649999999"/>
    <n v="197566"/>
    <x v="0"/>
    <m/>
  </r>
  <r>
    <x v="0"/>
    <x v="2"/>
    <x v="2"/>
    <s v="UNICEF"/>
    <x v="1"/>
    <x v="9"/>
    <x v="0"/>
    <x v="62"/>
    <n v="65"/>
    <n v="323"/>
    <d v="2019-03-16T00:00:00"/>
    <d v="2020-03-16T00:00:00"/>
    <n v="48"/>
    <m/>
    <n v="0"/>
    <n v="4"/>
    <n v="1"/>
    <m/>
    <n v="0"/>
    <n v="0"/>
    <m/>
    <n v="65"/>
    <x v="2"/>
    <n v="0"/>
    <n v="0"/>
    <n v="0"/>
    <n v="0"/>
    <n v="0"/>
    <m/>
    <n v="0"/>
    <n v="0"/>
    <n v="0"/>
    <n v="0"/>
    <n v="0"/>
    <n v="0"/>
    <n v="65"/>
    <n v="0"/>
    <m/>
    <m/>
    <m/>
    <m/>
    <m/>
    <m/>
    <m/>
    <m/>
    <n v="1"/>
    <n v="323"/>
    <n v="1"/>
    <n v="323"/>
    <n v="1"/>
    <n v="323"/>
    <n v="1.292"/>
    <n v="0"/>
    <n v="0"/>
    <n v="0"/>
    <n v="1"/>
    <n v="1"/>
    <n v="323"/>
    <n v="0"/>
    <n v="54"/>
    <n v="0"/>
    <n v="0"/>
    <n v="0"/>
    <n v="323"/>
    <n v="0"/>
    <n v="0"/>
    <n v="1"/>
    <n v="0"/>
    <n v="0"/>
    <n v="0"/>
    <n v="0"/>
    <x v="1"/>
    <s v="Village"/>
    <x v="0"/>
    <s v="Rakhine"/>
    <n v="19.417640689999999"/>
    <n v="93.565246579999993"/>
    <n v="198464"/>
    <x v="0"/>
    <m/>
  </r>
  <r>
    <x v="0"/>
    <x v="2"/>
    <x v="2"/>
    <s v="UNICEF"/>
    <x v="1"/>
    <x v="9"/>
    <x v="0"/>
    <x v="63"/>
    <n v="275"/>
    <n v="1018"/>
    <d v="2019-03-16T00:00:00"/>
    <d v="2020-03-16T00:00:00"/>
    <n v="227"/>
    <m/>
    <m/>
    <m/>
    <m/>
    <m/>
    <m/>
    <m/>
    <m/>
    <m/>
    <x v="1"/>
    <n v="5"/>
    <m/>
    <m/>
    <m/>
    <m/>
    <m/>
    <n v="0"/>
    <n v="0"/>
    <n v="0"/>
    <n v="0"/>
    <n v="0"/>
    <n v="0"/>
    <n v="0"/>
    <n v="0"/>
    <m/>
    <m/>
    <m/>
    <m/>
    <m/>
    <m/>
    <m/>
    <m/>
    <n v="0"/>
    <n v="0"/>
    <n v="0"/>
    <n v="0"/>
    <n v="0"/>
    <n v="0"/>
    <n v="0"/>
    <n v="1"/>
    <n v="1018"/>
    <n v="4"/>
    <n v="4"/>
    <n v="0"/>
    <n v="0"/>
    <n v="250"/>
    <n v="170"/>
    <n v="170"/>
    <n v="1"/>
    <n v="0"/>
    <n v="0"/>
    <n v="0"/>
    <n v="0"/>
    <n v="1"/>
    <n v="0"/>
    <n v="0"/>
    <n v="0"/>
    <n v="0"/>
    <x v="1"/>
    <s v="Village"/>
    <x v="0"/>
    <s v="Rakhine"/>
    <n v="19.4781608581543"/>
    <n v="93.622062683105497"/>
    <n v="198475"/>
    <x v="0"/>
    <m/>
  </r>
  <r>
    <x v="0"/>
    <x v="2"/>
    <x v="2"/>
    <s v="UNICEF"/>
    <x v="1"/>
    <x v="9"/>
    <x v="0"/>
    <x v="64"/>
    <n v="76"/>
    <n v="276"/>
    <d v="2019-03-16T00:00:00"/>
    <d v="2020-03-16T00:00:00"/>
    <n v="69"/>
    <m/>
    <m/>
    <m/>
    <m/>
    <m/>
    <m/>
    <m/>
    <m/>
    <m/>
    <x v="1"/>
    <n v="2"/>
    <m/>
    <m/>
    <m/>
    <m/>
    <m/>
    <n v="0"/>
    <n v="0"/>
    <n v="0"/>
    <n v="0"/>
    <n v="0"/>
    <n v="0"/>
    <n v="0"/>
    <n v="0"/>
    <m/>
    <m/>
    <m/>
    <m/>
    <m/>
    <m/>
    <m/>
    <m/>
    <n v="0"/>
    <n v="0"/>
    <n v="0"/>
    <n v="0"/>
    <n v="0"/>
    <n v="0"/>
    <n v="0"/>
    <n v="1"/>
    <n v="276"/>
    <n v="1"/>
    <n v="1"/>
    <n v="0"/>
    <n v="0"/>
    <n v="100"/>
    <n v="46"/>
    <n v="46"/>
    <n v="1"/>
    <n v="0"/>
    <n v="0"/>
    <n v="0"/>
    <n v="0"/>
    <n v="1"/>
    <n v="0"/>
    <n v="0"/>
    <n v="0"/>
    <n v="0"/>
    <x v="1"/>
    <s v="Village"/>
    <x v="0"/>
    <s v="Rakhine"/>
    <n v="19.483570098876999"/>
    <n v="93.639602661132798"/>
    <n v="198476"/>
    <x v="0"/>
    <m/>
  </r>
  <r>
    <x v="0"/>
    <x v="2"/>
    <x v="2"/>
    <s v="UNICEF"/>
    <x v="1"/>
    <x v="9"/>
    <x v="0"/>
    <x v="65"/>
    <n v="251"/>
    <n v="970"/>
    <d v="2019-03-16T00:00:00"/>
    <d v="2020-03-16T00:00:00"/>
    <n v="297"/>
    <m/>
    <m/>
    <m/>
    <m/>
    <m/>
    <m/>
    <m/>
    <m/>
    <m/>
    <x v="1"/>
    <n v="4"/>
    <m/>
    <m/>
    <m/>
    <m/>
    <m/>
    <n v="0"/>
    <n v="0"/>
    <n v="0"/>
    <n v="0"/>
    <n v="0"/>
    <n v="0"/>
    <n v="0"/>
    <n v="0"/>
    <m/>
    <m/>
    <m/>
    <m/>
    <m/>
    <m/>
    <m/>
    <m/>
    <n v="0"/>
    <n v="0"/>
    <n v="0"/>
    <n v="0"/>
    <n v="0"/>
    <n v="0"/>
    <n v="0"/>
    <n v="1"/>
    <n v="970"/>
    <n v="4"/>
    <n v="4"/>
    <n v="0"/>
    <n v="0"/>
    <n v="200"/>
    <n v="162"/>
    <n v="162"/>
    <n v="1"/>
    <n v="0"/>
    <n v="0"/>
    <n v="0"/>
    <n v="0"/>
    <n v="1"/>
    <n v="0"/>
    <n v="0"/>
    <n v="0"/>
    <n v="0"/>
    <x v="1"/>
    <s v="Village"/>
    <x v="0"/>
    <s v="Rakhine"/>
    <n v="19.378620147705099"/>
    <n v="93.483879089355497"/>
    <n v="198508"/>
    <x v="0"/>
    <m/>
  </r>
  <r>
    <x v="0"/>
    <x v="2"/>
    <x v="2"/>
    <s v="UNICEF"/>
    <x v="1"/>
    <x v="9"/>
    <x v="0"/>
    <x v="66"/>
    <n v="152"/>
    <n v="864"/>
    <d v="2019-03-16T00:00:00"/>
    <d v="2020-03-16T00:00:00"/>
    <n v="188"/>
    <m/>
    <m/>
    <m/>
    <m/>
    <m/>
    <m/>
    <m/>
    <m/>
    <m/>
    <x v="1"/>
    <n v="3"/>
    <m/>
    <m/>
    <m/>
    <m/>
    <m/>
    <n v="0"/>
    <n v="0"/>
    <n v="0"/>
    <n v="0"/>
    <n v="0"/>
    <n v="0"/>
    <n v="0"/>
    <n v="0"/>
    <m/>
    <m/>
    <m/>
    <m/>
    <m/>
    <m/>
    <m/>
    <m/>
    <n v="0"/>
    <n v="0"/>
    <n v="0"/>
    <n v="0"/>
    <n v="0"/>
    <n v="0"/>
    <n v="0"/>
    <n v="1"/>
    <n v="864"/>
    <n v="3"/>
    <n v="3"/>
    <n v="0"/>
    <n v="0"/>
    <n v="150"/>
    <n v="144"/>
    <n v="144"/>
    <n v="1"/>
    <n v="0"/>
    <n v="0"/>
    <n v="0"/>
    <n v="0"/>
    <n v="1"/>
    <n v="0"/>
    <n v="0"/>
    <n v="0"/>
    <n v="0"/>
    <x v="1"/>
    <s v="Village"/>
    <x v="0"/>
    <s v="Rakhine"/>
    <n v="19.243989944458001"/>
    <n v="93.714859008789105"/>
    <n v="198667"/>
    <x v="0"/>
    <m/>
  </r>
  <r>
    <x v="0"/>
    <x v="3"/>
    <x v="3"/>
    <s v="BMZ"/>
    <x v="1"/>
    <x v="10"/>
    <x v="0"/>
    <x v="67"/>
    <n v="192"/>
    <n v="1083"/>
    <d v="2017-01-01T00:00:00"/>
    <d v="2021-12-21T00:00:00"/>
    <m/>
    <m/>
    <n v="2"/>
    <n v="52"/>
    <n v="3"/>
    <n v="53"/>
    <m/>
    <m/>
    <m/>
    <n v="112"/>
    <x v="3"/>
    <m/>
    <m/>
    <m/>
    <m/>
    <m/>
    <m/>
    <n v="90"/>
    <n v="671"/>
    <n v="43"/>
    <n v="76"/>
    <m/>
    <m/>
    <m/>
    <m/>
    <m/>
    <m/>
    <m/>
    <m/>
    <m/>
    <m/>
    <m/>
    <m/>
    <n v="1"/>
    <n v="1083"/>
    <n v="1"/>
    <n v="1083"/>
    <n v="1"/>
    <n v="1083"/>
    <n v="4.3319999999999999"/>
    <n v="0"/>
    <n v="0"/>
    <n v="0"/>
    <n v="4"/>
    <n v="0.62049861495844871"/>
    <n v="672"/>
    <n v="0"/>
    <n v="181"/>
    <n v="69"/>
    <n v="0.37950138504155129"/>
    <n v="880"/>
    <n v="0"/>
    <n v="880"/>
    <n v="0.81255771006463529"/>
    <n v="0.18744228993536471"/>
    <n v="0.81255771006463529"/>
    <n v="0"/>
    <n v="0"/>
    <n v="0"/>
    <x v="0"/>
    <s v="Village"/>
    <x v="0"/>
    <n v="0"/>
    <n v="20.2034397125244"/>
    <n v="92.909606933593807"/>
    <n v="196132"/>
    <x v="0"/>
    <m/>
  </r>
  <r>
    <x v="0"/>
    <x v="3"/>
    <x v="3"/>
    <s v="BMZ"/>
    <x v="1"/>
    <x v="10"/>
    <x v="0"/>
    <x v="68"/>
    <n v="65"/>
    <n v="373"/>
    <d v="2017-01-01T00:00:00"/>
    <d v="2021-12-21T00:00:00"/>
    <m/>
    <m/>
    <n v="4"/>
    <n v="31"/>
    <n v="1"/>
    <m/>
    <m/>
    <m/>
    <m/>
    <n v="44"/>
    <x v="3"/>
    <m/>
    <m/>
    <m/>
    <m/>
    <m/>
    <m/>
    <n v="72"/>
    <n v="194"/>
    <n v="19"/>
    <n v="26"/>
    <m/>
    <m/>
    <m/>
    <m/>
    <m/>
    <m/>
    <m/>
    <m/>
    <m/>
    <m/>
    <m/>
    <m/>
    <n v="1"/>
    <n v="373"/>
    <n v="1"/>
    <n v="373"/>
    <n v="1"/>
    <n v="373"/>
    <n v="1.492"/>
    <n v="0"/>
    <n v="0"/>
    <n v="0"/>
    <n v="1"/>
    <n v="0.70777479892761397"/>
    <n v="264"/>
    <n v="0"/>
    <n v="62"/>
    <n v="18"/>
    <n v="0.29222520107238603"/>
    <n v="311"/>
    <n v="0"/>
    <n v="311"/>
    <n v="0.83378016085790885"/>
    <n v="0.16621983914209115"/>
    <n v="0.83378016085790885"/>
    <n v="0"/>
    <n v="0"/>
    <n v="0"/>
    <x v="0"/>
    <s v="Village"/>
    <x v="0"/>
    <n v="0"/>
    <n v="20.191799163818398"/>
    <n v="92.9066162109375"/>
    <n v="196135"/>
    <x v="0"/>
    <m/>
  </r>
  <r>
    <x v="0"/>
    <x v="3"/>
    <x v="3"/>
    <s v="BMZ"/>
    <x v="1"/>
    <x v="10"/>
    <x v="0"/>
    <x v="69"/>
    <n v="86"/>
    <n v="481"/>
    <d v="2017-01-01T00:00:00"/>
    <d v="2021-12-21T00:00:00"/>
    <m/>
    <m/>
    <n v="8"/>
    <n v="34"/>
    <n v="2"/>
    <m/>
    <m/>
    <m/>
    <m/>
    <n v="67"/>
    <x v="3"/>
    <m/>
    <m/>
    <m/>
    <m/>
    <m/>
    <m/>
    <n v="96"/>
    <n v="192"/>
    <n v="29"/>
    <n v="34"/>
    <m/>
    <m/>
    <m/>
    <m/>
    <m/>
    <m/>
    <m/>
    <m/>
    <m/>
    <m/>
    <m/>
    <m/>
    <n v="1"/>
    <n v="481"/>
    <n v="1"/>
    <n v="481"/>
    <n v="1"/>
    <n v="481"/>
    <n v="1.9239999999999999"/>
    <n v="0"/>
    <n v="0"/>
    <n v="7.6000000000000068E-2"/>
    <n v="2"/>
    <n v="0.83575883575883581"/>
    <n v="402"/>
    <n v="0"/>
    <n v="80"/>
    <n v="13"/>
    <n v="0.16424116424116419"/>
    <n v="351"/>
    <n v="0"/>
    <n v="351"/>
    <n v="0.72972972972972971"/>
    <n v="0.27027027027027029"/>
    <n v="0.72972972972972971"/>
    <n v="0"/>
    <n v="0"/>
    <n v="0"/>
    <x v="0"/>
    <s v="Village"/>
    <x v="0"/>
    <n v="0"/>
    <n v="20.187860488891602"/>
    <n v="92.903419494628906"/>
    <n v="196134"/>
    <x v="0"/>
    <m/>
  </r>
  <r>
    <x v="0"/>
    <x v="3"/>
    <x v="3"/>
    <s v="BMZ"/>
    <x v="1"/>
    <x v="10"/>
    <x v="0"/>
    <x v="70"/>
    <n v="88"/>
    <n v="454"/>
    <d v="2017-01-01T00:00:00"/>
    <d v="2021-12-21T00:00:00"/>
    <m/>
    <m/>
    <n v="6"/>
    <n v="41"/>
    <n v="1"/>
    <m/>
    <m/>
    <m/>
    <m/>
    <n v="76"/>
    <x v="3"/>
    <m/>
    <m/>
    <m/>
    <m/>
    <m/>
    <m/>
    <n v="58"/>
    <n v="292"/>
    <n v="27"/>
    <n v="22"/>
    <m/>
    <m/>
    <m/>
    <m/>
    <m/>
    <m/>
    <m/>
    <m/>
    <m/>
    <m/>
    <m/>
    <m/>
    <n v="1"/>
    <n v="454"/>
    <n v="1"/>
    <n v="454"/>
    <n v="1"/>
    <n v="454"/>
    <n v="1.8160000000000001"/>
    <n v="0"/>
    <n v="0"/>
    <n v="0.18399999999999994"/>
    <n v="2"/>
    <n v="1"/>
    <n v="454"/>
    <n v="0"/>
    <n v="76"/>
    <n v="0"/>
    <n v="0"/>
    <n v="399"/>
    <n v="0"/>
    <n v="399"/>
    <n v="0.87885462555066074"/>
    <n v="0.12114537444933926"/>
    <n v="0.87885462555066074"/>
    <n v="0"/>
    <n v="0"/>
    <n v="0"/>
    <x v="0"/>
    <s v="Village"/>
    <x v="0"/>
    <n v="0"/>
    <n v="20.1899604797363"/>
    <n v="92.895767211914105"/>
    <n v="196136"/>
    <x v="0"/>
    <m/>
  </r>
  <r>
    <x v="0"/>
    <x v="3"/>
    <x v="3"/>
    <s v="EU"/>
    <x v="1"/>
    <x v="10"/>
    <x v="0"/>
    <x v="71"/>
    <n v="218"/>
    <n v="978"/>
    <d v="2017-01-01T00:00:00"/>
    <d v="2021-12-21T00:00:00"/>
    <m/>
    <m/>
    <n v="9"/>
    <n v="76"/>
    <n v="3"/>
    <m/>
    <m/>
    <m/>
    <m/>
    <n v="118"/>
    <x v="3"/>
    <m/>
    <m/>
    <m/>
    <m/>
    <m/>
    <m/>
    <n v="122"/>
    <n v="518"/>
    <n v="51"/>
    <n v="78"/>
    <m/>
    <m/>
    <m/>
    <m/>
    <m/>
    <m/>
    <m/>
    <m/>
    <m/>
    <m/>
    <m/>
    <m/>
    <n v="1"/>
    <n v="978"/>
    <n v="1"/>
    <n v="978"/>
    <n v="1"/>
    <n v="978"/>
    <n v="3.9119999999999999"/>
    <n v="0"/>
    <n v="0"/>
    <n v="8.8000000000000078E-2"/>
    <n v="4"/>
    <n v="0.7239263803680982"/>
    <n v="708"/>
    <n v="0"/>
    <n v="163"/>
    <n v="45"/>
    <n v="0.2760736196319018"/>
    <n v="769"/>
    <n v="0"/>
    <n v="769"/>
    <n v="0.78629856850715751"/>
    <n v="0.21370143149284249"/>
    <n v="0.78629856850715751"/>
    <n v="0"/>
    <n v="0"/>
    <n v="0"/>
    <x v="0"/>
    <s v="Village"/>
    <x v="0"/>
    <n v="0"/>
    <n v="20.2630290985107"/>
    <n v="92.858856201171903"/>
    <n v="196166"/>
    <x v="0"/>
    <m/>
  </r>
  <r>
    <x v="0"/>
    <x v="3"/>
    <x v="3"/>
    <s v="EU"/>
    <x v="1"/>
    <x v="10"/>
    <x v="0"/>
    <x v="72"/>
    <n v="147"/>
    <n v="741"/>
    <d v="2017-01-01T00:00:00"/>
    <d v="2021-12-21T00:00:00"/>
    <m/>
    <m/>
    <n v="4"/>
    <n v="42"/>
    <n v="2"/>
    <m/>
    <m/>
    <m/>
    <m/>
    <n v="123"/>
    <x v="3"/>
    <m/>
    <m/>
    <m/>
    <m/>
    <m/>
    <m/>
    <n v="79"/>
    <n v="413"/>
    <n v="63"/>
    <n v="44"/>
    <m/>
    <m/>
    <m/>
    <m/>
    <m/>
    <m/>
    <m/>
    <m/>
    <m/>
    <m/>
    <m/>
    <m/>
    <n v="1"/>
    <n v="741"/>
    <n v="1"/>
    <n v="741"/>
    <n v="1"/>
    <n v="741"/>
    <n v="2.964"/>
    <n v="0"/>
    <n v="0"/>
    <n v="3.6000000000000032E-2"/>
    <n v="3"/>
    <n v="0.99595141700404854"/>
    <n v="738"/>
    <n v="0"/>
    <n v="124"/>
    <n v="1"/>
    <n v="4.0485829959514552E-3"/>
    <n v="599"/>
    <n v="0"/>
    <n v="599"/>
    <n v="0.80836707152496623"/>
    <n v="0.19163292847503377"/>
    <n v="0.80836707152496623"/>
    <n v="0"/>
    <n v="0"/>
    <n v="0"/>
    <x v="0"/>
    <s v="Village"/>
    <x v="0"/>
    <n v="0"/>
    <n v="20.248519897460898"/>
    <n v="92.8621826171875"/>
    <n v="196170"/>
    <x v="0"/>
    <m/>
  </r>
  <r>
    <x v="0"/>
    <x v="3"/>
    <x v="3"/>
    <s v="EU"/>
    <x v="1"/>
    <x v="10"/>
    <x v="0"/>
    <x v="73"/>
    <n v="235"/>
    <n v="1117"/>
    <d v="2017-01-01T00:00:00"/>
    <d v="2021-12-21T00:00:00"/>
    <m/>
    <m/>
    <n v="2"/>
    <n v="132"/>
    <n v="3"/>
    <m/>
    <m/>
    <m/>
    <m/>
    <n v="216"/>
    <x v="3"/>
    <m/>
    <m/>
    <m/>
    <m/>
    <m/>
    <m/>
    <n v="136"/>
    <n v="609"/>
    <n v="57"/>
    <n v="59"/>
    <m/>
    <m/>
    <m/>
    <m/>
    <m/>
    <m/>
    <m/>
    <m/>
    <m/>
    <m/>
    <m/>
    <m/>
    <n v="1"/>
    <n v="1117"/>
    <n v="1"/>
    <n v="1117"/>
    <n v="1"/>
    <n v="1117"/>
    <n v="4.468"/>
    <n v="0"/>
    <n v="0"/>
    <n v="0"/>
    <n v="4"/>
    <n v="1"/>
    <n v="1117"/>
    <n v="0"/>
    <n v="186"/>
    <n v="0"/>
    <n v="0"/>
    <n v="861"/>
    <n v="0"/>
    <n v="861"/>
    <n v="0.77081468218442251"/>
    <n v="0.22918531781557749"/>
    <n v="0.77081468218442251"/>
    <n v="0"/>
    <n v="0"/>
    <n v="0"/>
    <x v="0"/>
    <s v="Village"/>
    <x v="0"/>
    <n v="0"/>
    <n v="20.2375602722168"/>
    <n v="92.861152648925795"/>
    <n v="196169"/>
    <x v="0"/>
    <m/>
  </r>
  <r>
    <x v="0"/>
    <x v="3"/>
    <x v="3"/>
    <s v="EU"/>
    <x v="1"/>
    <x v="10"/>
    <x v="0"/>
    <x v="74"/>
    <n v="156"/>
    <n v="658"/>
    <d v="2017-01-01T00:00:00"/>
    <d v="2021-12-21T00:00:00"/>
    <m/>
    <m/>
    <m/>
    <n v="88"/>
    <n v="2"/>
    <m/>
    <m/>
    <m/>
    <m/>
    <n v="98"/>
    <x v="3"/>
    <m/>
    <m/>
    <m/>
    <m/>
    <m/>
    <m/>
    <n v="117"/>
    <n v="235"/>
    <n v="26"/>
    <n v="75"/>
    <m/>
    <m/>
    <m/>
    <m/>
    <m/>
    <m/>
    <m/>
    <m/>
    <m/>
    <m/>
    <m/>
    <m/>
    <n v="1"/>
    <n v="658"/>
    <n v="1"/>
    <n v="658"/>
    <n v="1"/>
    <n v="658"/>
    <n v="2.6320000000000001"/>
    <n v="0"/>
    <n v="0"/>
    <n v="0.36799999999999988"/>
    <n v="3"/>
    <n v="0.8936170212765957"/>
    <n v="588"/>
    <n v="0"/>
    <n v="110"/>
    <n v="12"/>
    <n v="0.1063829787234043"/>
    <n v="453"/>
    <n v="0"/>
    <n v="453"/>
    <n v="0.68844984802431608"/>
    <n v="0.31155015197568392"/>
    <n v="0.68844984802431608"/>
    <n v="0"/>
    <n v="0"/>
    <n v="0"/>
    <x v="0"/>
    <s v="Village"/>
    <x v="0"/>
    <s v="Rakhine"/>
    <n v="20.22929001"/>
    <n v="92.864669800000001"/>
    <n v="196167"/>
    <x v="0"/>
    <m/>
  </r>
  <r>
    <x v="0"/>
    <x v="3"/>
    <x v="3"/>
    <s v="EU"/>
    <x v="1"/>
    <x v="10"/>
    <x v="0"/>
    <x v="75"/>
    <n v="113"/>
    <n v="656"/>
    <d v="2017-01-01T00:00:00"/>
    <d v="2021-12-21T00:00:00"/>
    <m/>
    <m/>
    <n v="9"/>
    <n v="41"/>
    <n v="3"/>
    <m/>
    <m/>
    <m/>
    <m/>
    <n v="78"/>
    <x v="3"/>
    <m/>
    <m/>
    <m/>
    <m/>
    <m/>
    <m/>
    <n v="92"/>
    <n v="278"/>
    <n v="69"/>
    <n v="44"/>
    <m/>
    <m/>
    <m/>
    <m/>
    <m/>
    <m/>
    <m/>
    <m/>
    <m/>
    <m/>
    <m/>
    <m/>
    <n v="1"/>
    <n v="656"/>
    <n v="1"/>
    <n v="656"/>
    <n v="1"/>
    <n v="656"/>
    <n v="2.6240000000000001"/>
    <n v="0"/>
    <n v="0"/>
    <n v="0.37599999999999989"/>
    <n v="3"/>
    <n v="0.71341463414634143"/>
    <n v="468"/>
    <n v="0"/>
    <n v="109"/>
    <n v="31"/>
    <n v="0.28658536585365857"/>
    <n v="483"/>
    <n v="0"/>
    <n v="483"/>
    <n v="0.73628048780487809"/>
    <n v="0.26371951219512191"/>
    <n v="0.73628048780487809"/>
    <n v="0"/>
    <n v="0"/>
    <n v="0"/>
    <x v="0"/>
    <s v="Village"/>
    <x v="0"/>
    <s v="Rakhine"/>
    <n v="20.2315197"/>
    <n v="92.876129149999997"/>
    <n v="196180"/>
    <x v="0"/>
    <m/>
  </r>
  <r>
    <x v="0"/>
    <x v="3"/>
    <x v="3"/>
    <s v="EU"/>
    <x v="1"/>
    <x v="10"/>
    <x v="0"/>
    <x v="76"/>
    <n v="172"/>
    <n v="1435"/>
    <d v="2017-01-01T00:00:00"/>
    <d v="2021-12-21T00:00:00"/>
    <m/>
    <m/>
    <n v="8"/>
    <n v="97"/>
    <n v="3"/>
    <m/>
    <m/>
    <m/>
    <m/>
    <n v="132"/>
    <x v="3"/>
    <m/>
    <m/>
    <m/>
    <m/>
    <m/>
    <m/>
    <n v="218"/>
    <n v="514"/>
    <n v="16"/>
    <n v="37"/>
    <m/>
    <m/>
    <m/>
    <m/>
    <m/>
    <m/>
    <m/>
    <m/>
    <m/>
    <m/>
    <m/>
    <m/>
    <n v="1"/>
    <n v="1435"/>
    <n v="1"/>
    <n v="1435"/>
    <n v="1"/>
    <n v="1435"/>
    <n v="5.74"/>
    <n v="0"/>
    <n v="0"/>
    <n v="0.25999999999999979"/>
    <n v="6"/>
    <n v="0.55191637630662016"/>
    <n v="791.99999999999989"/>
    <n v="0"/>
    <n v="239"/>
    <n v="107"/>
    <n v="0.44808362369337984"/>
    <n v="785"/>
    <n v="0"/>
    <n v="785"/>
    <n v="0.54703832752613235"/>
    <n v="0.45296167247386765"/>
    <n v="0.54703832752613235"/>
    <n v="0"/>
    <n v="0"/>
    <n v="0"/>
    <x v="0"/>
    <s v="Village"/>
    <x v="0"/>
    <s v="Muslim"/>
    <n v="0"/>
    <n v="0"/>
    <n v="0"/>
    <x v="0"/>
    <m/>
  </r>
  <r>
    <x v="0"/>
    <x v="3"/>
    <x v="3"/>
    <s v="EU"/>
    <x v="1"/>
    <x v="10"/>
    <x v="0"/>
    <x v="77"/>
    <n v="241"/>
    <n v="1027"/>
    <d v="2017-01-01T00:00:00"/>
    <d v="2021-12-21T00:00:00"/>
    <m/>
    <m/>
    <n v="26"/>
    <n v="33"/>
    <n v="2"/>
    <m/>
    <m/>
    <m/>
    <m/>
    <n v="66"/>
    <x v="3"/>
    <m/>
    <m/>
    <m/>
    <m/>
    <m/>
    <m/>
    <n v="47"/>
    <n v="98"/>
    <n v="28"/>
    <n v="32"/>
    <m/>
    <m/>
    <m/>
    <m/>
    <m/>
    <m/>
    <m/>
    <m/>
    <m/>
    <m/>
    <m/>
    <m/>
    <n v="1"/>
    <n v="1027"/>
    <n v="1"/>
    <n v="1027"/>
    <n v="1"/>
    <n v="1027"/>
    <n v="4.1079999999999997"/>
    <n v="0"/>
    <n v="0"/>
    <n v="0"/>
    <n v="4"/>
    <n v="0.38558909444985395"/>
    <n v="396"/>
    <n v="0"/>
    <n v="171"/>
    <n v="105"/>
    <n v="0.6144109055501461"/>
    <n v="205"/>
    <n v="0"/>
    <n v="205"/>
    <n v="0.19961051606621227"/>
    <n v="0.80038948393378773"/>
    <n v="0.19961051606621227"/>
    <n v="0"/>
    <n v="0"/>
    <n v="0"/>
    <x v="0"/>
    <s v="Village"/>
    <x v="0"/>
    <n v="0"/>
    <n v="20.2105598449707"/>
    <n v="92.836456298828097"/>
    <n v="196125"/>
    <x v="0"/>
    <m/>
  </r>
  <r>
    <x v="0"/>
    <x v="3"/>
    <x v="3"/>
    <s v="EU"/>
    <x v="1"/>
    <x v="10"/>
    <x v="0"/>
    <x v="78"/>
    <n v="77"/>
    <n v="370"/>
    <d v="2017-01-01T00:00:00"/>
    <d v="2021-12-21T00:00:00"/>
    <m/>
    <m/>
    <n v="14"/>
    <n v="208"/>
    <n v="4"/>
    <m/>
    <m/>
    <m/>
    <m/>
    <n v="201"/>
    <x v="3"/>
    <m/>
    <m/>
    <m/>
    <m/>
    <m/>
    <m/>
    <n v="147"/>
    <n v="279"/>
    <n v="58"/>
    <n v="82"/>
    <m/>
    <m/>
    <m/>
    <m/>
    <m/>
    <m/>
    <m/>
    <m/>
    <m/>
    <m/>
    <m/>
    <m/>
    <n v="1"/>
    <n v="370"/>
    <n v="1"/>
    <n v="370"/>
    <n v="1"/>
    <n v="370"/>
    <n v="1.48"/>
    <n v="0"/>
    <n v="0"/>
    <n v="0"/>
    <n v="1"/>
    <n v="1"/>
    <n v="370"/>
    <n v="0"/>
    <n v="62"/>
    <n v="0"/>
    <n v="0"/>
    <n v="370"/>
    <n v="0"/>
    <n v="370"/>
    <n v="1"/>
    <n v="0"/>
    <n v="1"/>
    <n v="0"/>
    <n v="0"/>
    <n v="0"/>
    <x v="0"/>
    <s v="Village"/>
    <x v="0"/>
    <s v="Rakhine"/>
    <n v="20.236940383911101"/>
    <n v="92.833259582519503"/>
    <n v="196130"/>
    <x v="0"/>
    <m/>
  </r>
  <r>
    <x v="0"/>
    <x v="3"/>
    <x v="3"/>
    <s v="EU"/>
    <x v="1"/>
    <x v="10"/>
    <x v="0"/>
    <x v="79"/>
    <n v="509"/>
    <n v="1574"/>
    <d v="2017-01-01T00:00:00"/>
    <d v="2021-12-21T00:00:00"/>
    <m/>
    <m/>
    <n v="9"/>
    <n v="94"/>
    <n v="2"/>
    <m/>
    <m/>
    <m/>
    <m/>
    <n v="136"/>
    <x v="3"/>
    <m/>
    <m/>
    <m/>
    <m/>
    <m/>
    <m/>
    <n v="99"/>
    <n v="315"/>
    <n v="66"/>
    <n v="47"/>
    <m/>
    <m/>
    <m/>
    <m/>
    <m/>
    <m/>
    <m/>
    <m/>
    <m/>
    <m/>
    <m/>
    <m/>
    <n v="1"/>
    <n v="1574"/>
    <n v="1"/>
    <n v="1574"/>
    <n v="1"/>
    <n v="1574"/>
    <n v="6.2960000000000003"/>
    <n v="0"/>
    <n v="0"/>
    <n v="0"/>
    <n v="6"/>
    <n v="0.51842439644218552"/>
    <n v="816"/>
    <n v="0"/>
    <n v="262"/>
    <n v="126"/>
    <n v="0.48157560355781448"/>
    <n v="527"/>
    <n v="0"/>
    <n v="527"/>
    <n v="0.33481575603557817"/>
    <n v="0.66518424396442177"/>
    <n v="0.33481575603557817"/>
    <n v="0"/>
    <n v="0"/>
    <n v="0"/>
    <x v="0"/>
    <s v="Village"/>
    <x v="0"/>
    <s v="Rakhine"/>
    <n v="20.226730346679702"/>
    <n v="92.836929321289105"/>
    <n v="196129"/>
    <x v="0"/>
    <m/>
  </r>
  <r>
    <x v="0"/>
    <x v="3"/>
    <x v="3"/>
    <s v="EU"/>
    <x v="1"/>
    <x v="10"/>
    <x v="0"/>
    <x v="80"/>
    <n v="301"/>
    <n v="1529"/>
    <d v="2017-01-01T00:00:00"/>
    <d v="2021-12-21T00:00:00"/>
    <m/>
    <m/>
    <n v="7"/>
    <n v="117"/>
    <n v="3"/>
    <m/>
    <m/>
    <m/>
    <m/>
    <n v="186"/>
    <x v="3"/>
    <m/>
    <m/>
    <m/>
    <m/>
    <m/>
    <m/>
    <n v="85"/>
    <n v="316"/>
    <n v="58"/>
    <n v="83"/>
    <m/>
    <m/>
    <m/>
    <m/>
    <m/>
    <m/>
    <m/>
    <m/>
    <m/>
    <m/>
    <m/>
    <m/>
    <n v="1"/>
    <n v="1529"/>
    <n v="1"/>
    <n v="1529"/>
    <n v="1"/>
    <n v="1529"/>
    <n v="6.1159999999999997"/>
    <n v="0"/>
    <n v="0"/>
    <n v="0"/>
    <n v="6"/>
    <n v="0.72988881621975144"/>
    <n v="1116"/>
    <n v="0"/>
    <n v="255"/>
    <n v="69"/>
    <n v="0.27011118378024856"/>
    <n v="542"/>
    <n v="0"/>
    <n v="542"/>
    <n v="0.35448005232177893"/>
    <n v="0.64551994767822107"/>
    <n v="0.35448005232177893"/>
    <n v="0"/>
    <n v="0"/>
    <n v="0"/>
    <x v="0"/>
    <s v="Village"/>
    <x v="0"/>
    <s v="Rakhine"/>
    <n v="20.257850650000002"/>
    <n v="92.811126709999996"/>
    <n v="196161"/>
    <x v="0"/>
    <m/>
  </r>
  <r>
    <x v="0"/>
    <x v="3"/>
    <x v="3"/>
    <s v="EU"/>
    <x v="1"/>
    <x v="10"/>
    <x v="0"/>
    <x v="81"/>
    <n v="85"/>
    <n v="369"/>
    <d v="2017-01-01T00:00:00"/>
    <d v="2021-12-21T00:00:00"/>
    <m/>
    <m/>
    <n v="2"/>
    <n v="56"/>
    <n v="2"/>
    <m/>
    <m/>
    <m/>
    <m/>
    <n v="58"/>
    <x v="3"/>
    <m/>
    <m/>
    <m/>
    <m/>
    <m/>
    <m/>
    <n v="26"/>
    <n v="190"/>
    <n v="14"/>
    <n v="32"/>
    <m/>
    <m/>
    <m/>
    <m/>
    <m/>
    <m/>
    <m/>
    <m/>
    <m/>
    <m/>
    <m/>
    <m/>
    <n v="1"/>
    <n v="369"/>
    <n v="1"/>
    <n v="369"/>
    <n v="1"/>
    <n v="369"/>
    <n v="1.476"/>
    <n v="0"/>
    <n v="0"/>
    <n v="0"/>
    <n v="1"/>
    <n v="0.94308943089430897"/>
    <n v="348"/>
    <n v="0"/>
    <n v="62"/>
    <n v="4"/>
    <n v="5.6910569105691033E-2"/>
    <n v="262"/>
    <n v="0"/>
    <n v="262"/>
    <n v="0.71002710027100269"/>
    <n v="0.28997289972899731"/>
    <n v="0.71002710027100269"/>
    <n v="0"/>
    <n v="0"/>
    <n v="0"/>
    <x v="0"/>
    <s v="Village"/>
    <x v="0"/>
    <n v="0"/>
    <n v="20.261358000000001"/>
    <n v="92.805672999999999"/>
    <n v="220593"/>
    <x v="0"/>
    <m/>
  </r>
  <r>
    <x v="0"/>
    <x v="3"/>
    <x v="3"/>
    <s v="EU"/>
    <x v="1"/>
    <x v="10"/>
    <x v="0"/>
    <x v="82"/>
    <n v="355"/>
    <n v="2168"/>
    <d v="2017-01-01T00:00:00"/>
    <d v="2021-12-21T00:00:00"/>
    <m/>
    <m/>
    <n v="23"/>
    <n v="374"/>
    <n v="2"/>
    <m/>
    <m/>
    <m/>
    <m/>
    <n v="216"/>
    <x v="3"/>
    <m/>
    <m/>
    <m/>
    <m/>
    <m/>
    <m/>
    <n v="112"/>
    <n v="423"/>
    <n v="58"/>
    <n v="65"/>
    <m/>
    <m/>
    <m/>
    <m/>
    <m/>
    <m/>
    <m/>
    <m/>
    <m/>
    <m/>
    <m/>
    <m/>
    <n v="1"/>
    <n v="2168"/>
    <n v="1"/>
    <n v="2168"/>
    <n v="1"/>
    <n v="2168"/>
    <n v="8.6720000000000006"/>
    <n v="0"/>
    <n v="0"/>
    <n v="0.3279999999999994"/>
    <n v="9"/>
    <n v="0.59778597785977861"/>
    <n v="1296"/>
    <n v="0"/>
    <n v="361"/>
    <n v="145"/>
    <n v="0.40221402214022139"/>
    <n v="658"/>
    <n v="0"/>
    <n v="658"/>
    <n v="0.30350553505535055"/>
    <n v="0.69649446494464939"/>
    <n v="0.30350553505535055"/>
    <n v="0"/>
    <n v="0"/>
    <n v="0"/>
    <x v="0"/>
    <s v="Village"/>
    <x v="0"/>
    <n v="0"/>
    <n v="20.246250152587901"/>
    <n v="92.822059631347699"/>
    <n v="196160"/>
    <x v="0"/>
    <m/>
  </r>
  <r>
    <x v="0"/>
    <x v="3"/>
    <x v="3"/>
    <s v="EU"/>
    <x v="1"/>
    <x v="10"/>
    <x v="0"/>
    <x v="83"/>
    <n v="300"/>
    <n v="1369"/>
    <d v="2017-01-01T00:00:00"/>
    <d v="2021-12-21T00:00:00"/>
    <m/>
    <m/>
    <n v="8"/>
    <n v="191"/>
    <n v="4"/>
    <m/>
    <m/>
    <m/>
    <m/>
    <n v="219"/>
    <x v="3"/>
    <m/>
    <m/>
    <m/>
    <m/>
    <m/>
    <m/>
    <n v="127"/>
    <n v="398"/>
    <n v="44"/>
    <n v="78"/>
    <m/>
    <m/>
    <m/>
    <m/>
    <m/>
    <m/>
    <m/>
    <m/>
    <m/>
    <m/>
    <m/>
    <m/>
    <n v="1"/>
    <n v="1369"/>
    <n v="1"/>
    <n v="1369"/>
    <n v="1"/>
    <n v="1369"/>
    <n v="5.476"/>
    <n v="0"/>
    <n v="0"/>
    <n v="0"/>
    <n v="5"/>
    <n v="0.95982468955441924"/>
    <n v="1314"/>
    <n v="0"/>
    <n v="228"/>
    <n v="9"/>
    <n v="4.0175310445580759E-2"/>
    <n v="647"/>
    <n v="0"/>
    <n v="647"/>
    <n v="0.47260774287801316"/>
    <n v="0.5273922571219869"/>
    <n v="0.47260774287801316"/>
    <n v="0"/>
    <n v="0"/>
    <n v="0"/>
    <x v="0"/>
    <s v="Village"/>
    <x v="0"/>
    <n v="0"/>
    <n v="20.239799499511701"/>
    <n v="92.825088500976605"/>
    <n v="196131"/>
    <x v="0"/>
    <m/>
  </r>
  <r>
    <x v="0"/>
    <x v="3"/>
    <x v="3"/>
    <s v="BMZ"/>
    <x v="1"/>
    <x v="10"/>
    <x v="0"/>
    <x v="84"/>
    <n v="331"/>
    <n v="1473"/>
    <d v="2017-01-01T00:00:00"/>
    <d v="2021-12-21T00:00:00"/>
    <m/>
    <m/>
    <n v="2"/>
    <n v="68"/>
    <n v="2"/>
    <m/>
    <m/>
    <m/>
    <m/>
    <n v="79"/>
    <x v="3"/>
    <m/>
    <m/>
    <m/>
    <m/>
    <m/>
    <m/>
    <n v="72"/>
    <n v="113"/>
    <n v="34"/>
    <n v="36"/>
    <m/>
    <m/>
    <m/>
    <m/>
    <m/>
    <m/>
    <m/>
    <m/>
    <m/>
    <m/>
    <m/>
    <m/>
    <n v="1"/>
    <n v="1473"/>
    <n v="1"/>
    <n v="1473"/>
    <n v="1"/>
    <n v="1473"/>
    <n v="5.8920000000000003"/>
    <n v="0"/>
    <n v="0"/>
    <n v="0.10799999999999965"/>
    <n v="6"/>
    <n v="0.32179226069246436"/>
    <n v="474"/>
    <n v="0"/>
    <n v="246"/>
    <n v="167"/>
    <n v="0.67820773930753564"/>
    <n v="255"/>
    <n v="0"/>
    <n v="255"/>
    <n v="0.17311608961303462"/>
    <n v="0.8268839103869654"/>
    <n v="0.17311608961303462"/>
    <n v="0"/>
    <n v="0"/>
    <n v="0"/>
    <x v="0"/>
    <s v="Village"/>
    <x v="0"/>
    <n v="0"/>
    <n v="20.128850936889599"/>
    <n v="92.872497558593807"/>
    <n v="196208"/>
    <x v="0"/>
    <m/>
  </r>
  <r>
    <x v="0"/>
    <x v="4"/>
    <x v="4"/>
    <s v="DFID/HARP"/>
    <x v="1"/>
    <x v="10"/>
    <x v="0"/>
    <x v="85"/>
    <n v="200"/>
    <n v="1065"/>
    <d v="2017-10-01T00:00:00"/>
    <d v="2020-09-30T00:00:00"/>
    <m/>
    <n v="0"/>
    <m/>
    <m/>
    <m/>
    <m/>
    <m/>
    <m/>
    <m/>
    <m/>
    <x v="0"/>
    <m/>
    <m/>
    <m/>
    <m/>
    <m/>
    <m/>
    <m/>
    <m/>
    <m/>
    <m/>
    <n v="218"/>
    <n v="213"/>
    <m/>
    <m/>
    <m/>
    <m/>
    <m/>
    <m/>
    <m/>
    <m/>
    <m/>
    <m/>
    <n v="0"/>
    <n v="0"/>
    <n v="0"/>
    <n v="0"/>
    <n v="0"/>
    <n v="0"/>
    <n v="0"/>
    <n v="1"/>
    <n v="1065"/>
    <n v="4"/>
    <n v="4"/>
    <n v="0"/>
    <n v="0"/>
    <n v="0"/>
    <n v="178"/>
    <n v="178"/>
    <n v="1"/>
    <n v="431"/>
    <n v="0"/>
    <n v="431"/>
    <n v="0.40469483568075115"/>
    <n v="0.59530516431924885"/>
    <n v="0.40469483568075115"/>
    <n v="0"/>
    <n v="0"/>
    <n v="0"/>
    <x v="0"/>
    <s v="Village"/>
    <x v="0"/>
    <s v="Muslim"/>
    <n v="20.197549819999999"/>
    <n v="92.785682679999994"/>
    <n v="196156"/>
    <x v="0"/>
    <m/>
  </r>
  <r>
    <x v="0"/>
    <x v="3"/>
    <x v="3"/>
    <s v="EU"/>
    <x v="1"/>
    <x v="10"/>
    <x v="0"/>
    <x v="86"/>
    <n v="326"/>
    <n v="4476"/>
    <d v="2017-01-01T00:00:00"/>
    <d v="2021-12-21T00:00:00"/>
    <m/>
    <m/>
    <n v="5"/>
    <n v="153"/>
    <n v="5"/>
    <m/>
    <m/>
    <m/>
    <m/>
    <n v="217"/>
    <x v="3"/>
    <m/>
    <m/>
    <m/>
    <m/>
    <m/>
    <m/>
    <n v="96"/>
    <n v="411"/>
    <n v="97"/>
    <n v="119"/>
    <m/>
    <m/>
    <m/>
    <m/>
    <m/>
    <m/>
    <m/>
    <m/>
    <m/>
    <m/>
    <m/>
    <m/>
    <n v="1"/>
    <n v="4476"/>
    <n v="1"/>
    <n v="4476"/>
    <n v="1"/>
    <n v="4476"/>
    <n v="17.904"/>
    <n v="0"/>
    <n v="0"/>
    <n v="9.6000000000000085E-2"/>
    <n v="18"/>
    <n v="0.29088471849865954"/>
    <n v="1302.0000000000002"/>
    <n v="0"/>
    <n v="746"/>
    <n v="529"/>
    <n v="0.7091152815013404"/>
    <n v="723"/>
    <n v="0"/>
    <n v="723"/>
    <n v="0.16152815013404825"/>
    <n v="0.8384718498659518"/>
    <n v="0.16152815013404825"/>
    <n v="0"/>
    <n v="0"/>
    <n v="0"/>
    <x v="0"/>
    <s v="Village"/>
    <x v="0"/>
    <n v="0"/>
    <n v="20.142469406127901"/>
    <n v="92.863967895507798"/>
    <n v="196203"/>
    <x v="0"/>
    <m/>
  </r>
  <r>
    <x v="0"/>
    <x v="3"/>
    <x v="3"/>
    <s v="EU"/>
    <x v="1"/>
    <x v="10"/>
    <x v="0"/>
    <x v="87"/>
    <n v="335"/>
    <n v="1867"/>
    <d v="2017-01-01T00:00:00"/>
    <d v="2021-12-21T00:00:00"/>
    <m/>
    <m/>
    <n v="14"/>
    <n v="113"/>
    <n v="4"/>
    <m/>
    <m/>
    <m/>
    <m/>
    <n v="210"/>
    <x v="3"/>
    <m/>
    <m/>
    <m/>
    <m/>
    <m/>
    <m/>
    <n v="217"/>
    <n v="299"/>
    <n v="89"/>
    <n v="87"/>
    <m/>
    <m/>
    <m/>
    <m/>
    <m/>
    <m/>
    <m/>
    <m/>
    <m/>
    <m/>
    <m/>
    <m/>
    <n v="1"/>
    <n v="1867"/>
    <n v="1"/>
    <n v="1867"/>
    <n v="1"/>
    <n v="1867"/>
    <n v="7.468"/>
    <n v="0"/>
    <n v="0"/>
    <n v="0"/>
    <n v="7"/>
    <n v="0.67487948580610602"/>
    <n v="1260"/>
    <n v="0"/>
    <n v="311"/>
    <n v="101"/>
    <n v="0.32512051419389398"/>
    <n v="692"/>
    <n v="0"/>
    <n v="692"/>
    <n v="0.37064809855382969"/>
    <n v="0.62935190144617037"/>
    <n v="0.37064809855382969"/>
    <n v="0"/>
    <n v="0"/>
    <n v="0"/>
    <x v="0"/>
    <s v="Village"/>
    <x v="0"/>
    <n v="0"/>
    <n v="20.170469284057599"/>
    <n v="92.8343505859375"/>
    <n v="196202"/>
    <x v="0"/>
    <m/>
  </r>
  <r>
    <x v="0"/>
    <x v="3"/>
    <x v="3"/>
    <s v="EU"/>
    <x v="1"/>
    <x v="10"/>
    <x v="0"/>
    <x v="88"/>
    <n v="863"/>
    <n v="3768"/>
    <d v="2017-01-01T00:00:00"/>
    <d v="2021-12-21T00:00:00"/>
    <m/>
    <m/>
    <n v="19"/>
    <n v="128"/>
    <n v="6"/>
    <m/>
    <m/>
    <m/>
    <m/>
    <n v="199"/>
    <x v="3"/>
    <m/>
    <m/>
    <m/>
    <m/>
    <m/>
    <m/>
    <n v="151"/>
    <n v="395"/>
    <n v="17"/>
    <n v="54"/>
    <m/>
    <m/>
    <m/>
    <m/>
    <m/>
    <m/>
    <m/>
    <m/>
    <m/>
    <m/>
    <m/>
    <m/>
    <n v="1"/>
    <n v="3768"/>
    <n v="1"/>
    <n v="3768"/>
    <n v="1"/>
    <n v="3768"/>
    <n v="15.071999999999999"/>
    <n v="0"/>
    <n v="0"/>
    <n v="0"/>
    <n v="15"/>
    <n v="0.31687898089171973"/>
    <n v="1194"/>
    <n v="0"/>
    <n v="628"/>
    <n v="429"/>
    <n v="0.68312101910828027"/>
    <n v="617"/>
    <n v="0"/>
    <n v="617"/>
    <n v="0.16374734607218683"/>
    <n v="0.83625265392781323"/>
    <n v="0.16374734607218683"/>
    <n v="0"/>
    <n v="0"/>
    <n v="0"/>
    <x v="0"/>
    <s v="Village"/>
    <x v="0"/>
    <n v="0"/>
    <n v="20.168970108032202"/>
    <n v="92.826896667480497"/>
    <n v="196206"/>
    <x v="0"/>
    <m/>
  </r>
  <r>
    <x v="0"/>
    <x v="3"/>
    <x v="3"/>
    <s v="EU"/>
    <x v="1"/>
    <x v="10"/>
    <x v="0"/>
    <x v="89"/>
    <n v="310"/>
    <n v="1750"/>
    <d v="2017-01-01T00:00:00"/>
    <d v="2021-12-21T00:00:00"/>
    <m/>
    <m/>
    <n v="193"/>
    <n v="89"/>
    <n v="5"/>
    <m/>
    <m/>
    <m/>
    <m/>
    <n v="198"/>
    <x v="3"/>
    <m/>
    <m/>
    <m/>
    <m/>
    <m/>
    <m/>
    <n v="114"/>
    <n v="289"/>
    <n v="118"/>
    <n v="183"/>
    <m/>
    <m/>
    <m/>
    <m/>
    <m/>
    <m/>
    <m/>
    <m/>
    <m/>
    <m/>
    <m/>
    <m/>
    <n v="1"/>
    <n v="1750"/>
    <n v="1"/>
    <n v="1750"/>
    <n v="1"/>
    <n v="1750"/>
    <n v="7"/>
    <n v="0"/>
    <n v="0"/>
    <n v="0"/>
    <n v="7"/>
    <n v="0.67885714285714283"/>
    <n v="1188"/>
    <n v="0"/>
    <n v="292"/>
    <n v="94"/>
    <n v="0.32114285714285717"/>
    <n v="704"/>
    <n v="0"/>
    <n v="704"/>
    <n v="0.4022857142857143"/>
    <n v="0.59771428571428564"/>
    <n v="0.4022857142857143"/>
    <n v="0"/>
    <n v="0"/>
    <n v="0"/>
    <x v="0"/>
    <s v="Village"/>
    <x v="0"/>
    <n v="0"/>
    <n v="0"/>
    <n v="0"/>
    <n v="0"/>
    <x v="0"/>
    <m/>
  </r>
  <r>
    <x v="0"/>
    <x v="3"/>
    <x v="3"/>
    <s v="EU"/>
    <x v="1"/>
    <x v="11"/>
    <x v="0"/>
    <x v="90"/>
    <n v="125"/>
    <n v="513"/>
    <d v="2017-01-01T00:00:00"/>
    <d v="2021-12-21T00:00:00"/>
    <m/>
    <m/>
    <n v="16"/>
    <n v="96"/>
    <n v="4"/>
    <m/>
    <m/>
    <m/>
    <m/>
    <n v="300"/>
    <x v="3"/>
    <m/>
    <m/>
    <m/>
    <m/>
    <m/>
    <m/>
    <n v="94"/>
    <n v="416"/>
    <n v="61"/>
    <n v="96"/>
    <m/>
    <m/>
    <m/>
    <m/>
    <m/>
    <m/>
    <m/>
    <m/>
    <m/>
    <m/>
    <m/>
    <m/>
    <n v="1"/>
    <n v="513"/>
    <n v="1"/>
    <n v="513"/>
    <n v="1"/>
    <n v="513"/>
    <n v="2.052"/>
    <n v="0"/>
    <n v="0"/>
    <n v="0"/>
    <n v="2"/>
    <n v="1"/>
    <n v="513"/>
    <n v="0"/>
    <n v="86"/>
    <n v="0"/>
    <n v="0"/>
    <n v="513"/>
    <n v="0"/>
    <n v="513"/>
    <n v="1"/>
    <n v="0"/>
    <n v="1"/>
    <n v="0"/>
    <n v="0"/>
    <n v="0"/>
    <x v="0"/>
    <s v="Village"/>
    <x v="1"/>
    <s v="Muslim"/>
    <n v="20.39902"/>
    <n v="93.249669999999995"/>
    <s v="MMR012CMP003"/>
    <x v="0"/>
    <m/>
  </r>
  <r>
    <x v="0"/>
    <x v="3"/>
    <x v="3"/>
    <s v="BMZ"/>
    <x v="1"/>
    <x v="10"/>
    <x v="0"/>
    <x v="91"/>
    <n v="92"/>
    <n v="715"/>
    <d v="2017-01-01T00:00:00"/>
    <d v="2021-12-21T00:00:00"/>
    <m/>
    <m/>
    <n v="114"/>
    <n v="348"/>
    <n v="4"/>
    <m/>
    <m/>
    <m/>
    <m/>
    <n v="514"/>
    <x v="3"/>
    <m/>
    <m/>
    <m/>
    <m/>
    <m/>
    <m/>
    <n v="127"/>
    <n v="398"/>
    <n v="162"/>
    <n v="155"/>
    <m/>
    <m/>
    <m/>
    <m/>
    <m/>
    <m/>
    <m/>
    <m/>
    <m/>
    <m/>
    <m/>
    <m/>
    <n v="1"/>
    <n v="715"/>
    <n v="1"/>
    <n v="715"/>
    <n v="1"/>
    <n v="715"/>
    <n v="2.86"/>
    <n v="0"/>
    <n v="0"/>
    <n v="0.14000000000000012"/>
    <n v="3"/>
    <n v="1"/>
    <n v="715"/>
    <n v="0"/>
    <n v="119"/>
    <n v="0"/>
    <n v="0"/>
    <n v="715"/>
    <n v="0"/>
    <n v="715"/>
    <n v="1"/>
    <n v="0"/>
    <n v="1"/>
    <n v="0"/>
    <n v="0"/>
    <n v="0"/>
    <x v="0"/>
    <s v="Village"/>
    <x v="0"/>
    <n v="0"/>
    <n v="20.172649383544901"/>
    <n v="92.874351501464801"/>
    <n v="196195"/>
    <x v="0"/>
    <m/>
  </r>
  <r>
    <x v="0"/>
    <x v="3"/>
    <x v="3"/>
    <s v="BMZ"/>
    <x v="1"/>
    <x v="10"/>
    <x v="0"/>
    <x v="92"/>
    <n v="2100"/>
    <n v="12993"/>
    <d v="2017-01-01T00:00:00"/>
    <d v="2021-12-21T00:00:00"/>
    <m/>
    <m/>
    <n v="12"/>
    <n v="97"/>
    <n v="2"/>
    <m/>
    <m/>
    <m/>
    <m/>
    <n v="218"/>
    <x v="3"/>
    <m/>
    <m/>
    <m/>
    <m/>
    <m/>
    <m/>
    <n v="246"/>
    <n v="217"/>
    <n v="78"/>
    <n v="127"/>
    <m/>
    <m/>
    <m/>
    <m/>
    <m/>
    <m/>
    <m/>
    <m/>
    <m/>
    <m/>
    <m/>
    <m/>
    <n v="1"/>
    <n v="12993"/>
    <n v="1"/>
    <n v="12993"/>
    <n v="1"/>
    <n v="12993"/>
    <n v="51.972000000000001"/>
    <n v="0"/>
    <n v="0"/>
    <n v="2.7999999999998693E-2"/>
    <n v="52"/>
    <n v="0.10066959131840221"/>
    <n v="1308"/>
    <n v="0"/>
    <n v="2166"/>
    <n v="1948"/>
    <n v="0.89933040868159775"/>
    <n v="668"/>
    <n v="0"/>
    <n v="668"/>
    <n v="5.1412298930193182E-2"/>
    <n v="0.94858770106980683"/>
    <n v="5.1412298930193182E-2"/>
    <n v="0"/>
    <n v="0"/>
    <n v="0"/>
    <x v="0"/>
    <s v="Village"/>
    <x v="0"/>
    <s v="Muslim"/>
    <n v="0"/>
    <n v="0"/>
    <n v="0"/>
    <x v="0"/>
    <m/>
  </r>
  <r>
    <x v="0"/>
    <x v="3"/>
    <x v="3"/>
    <s v="EU"/>
    <x v="1"/>
    <x v="11"/>
    <x v="0"/>
    <x v="93"/>
    <n v="325"/>
    <n v="1923"/>
    <d v="2017-01-01T00:00:00"/>
    <d v="2021-12-21T00:00:00"/>
    <m/>
    <m/>
    <n v="14"/>
    <n v="48"/>
    <n v="3"/>
    <m/>
    <m/>
    <m/>
    <m/>
    <n v="112"/>
    <x v="3"/>
    <m/>
    <m/>
    <m/>
    <m/>
    <m/>
    <m/>
    <m/>
    <m/>
    <m/>
    <m/>
    <m/>
    <m/>
    <m/>
    <m/>
    <m/>
    <m/>
    <m/>
    <m/>
    <m/>
    <m/>
    <m/>
    <m/>
    <n v="1"/>
    <n v="1923"/>
    <n v="1"/>
    <n v="1923"/>
    <n v="1"/>
    <n v="1923"/>
    <n v="7.6920000000000002"/>
    <n v="0"/>
    <n v="0"/>
    <n v="0.30799999999999983"/>
    <n v="8"/>
    <n v="0.34945397815912638"/>
    <n v="672"/>
    <n v="0"/>
    <n v="321"/>
    <n v="209"/>
    <n v="0.65054602184087362"/>
    <n v="0"/>
    <n v="0"/>
    <n v="0"/>
    <n v="0"/>
    <n v="1"/>
    <n v="0"/>
    <n v="0"/>
    <n v="0"/>
    <n v="0"/>
    <x v="0"/>
    <s v="Village"/>
    <x v="0"/>
    <s v="Muslim"/>
    <n v="0"/>
    <n v="0"/>
    <n v="196999"/>
    <x v="0"/>
    <m/>
  </r>
  <r>
    <x v="0"/>
    <x v="3"/>
    <x v="3"/>
    <s v="EU"/>
    <x v="1"/>
    <x v="11"/>
    <x v="0"/>
    <x v="94"/>
    <n v="146"/>
    <n v="801"/>
    <d v="2017-01-01T00:00:00"/>
    <d v="2021-12-21T00:00:00"/>
    <m/>
    <m/>
    <n v="17"/>
    <n v="43"/>
    <n v="2"/>
    <m/>
    <m/>
    <m/>
    <m/>
    <n v="78"/>
    <x v="3"/>
    <m/>
    <m/>
    <m/>
    <m/>
    <m/>
    <m/>
    <n v="118"/>
    <n v="216"/>
    <n v="46"/>
    <n v="65"/>
    <m/>
    <m/>
    <m/>
    <m/>
    <m/>
    <m/>
    <m/>
    <m/>
    <m/>
    <m/>
    <m/>
    <m/>
    <n v="1"/>
    <n v="801"/>
    <n v="1"/>
    <n v="801"/>
    <n v="1"/>
    <n v="801"/>
    <n v="3.2040000000000002"/>
    <n v="0"/>
    <n v="0"/>
    <n v="0"/>
    <n v="3"/>
    <n v="0.5842696629213483"/>
    <n v="468"/>
    <n v="0"/>
    <n v="134"/>
    <n v="56"/>
    <n v="0.4157303370786517"/>
    <n v="445"/>
    <n v="0"/>
    <n v="445"/>
    <n v="0.55555555555555558"/>
    <n v="0.44444444444444442"/>
    <n v="0.55555555555555558"/>
    <n v="0"/>
    <n v="0"/>
    <n v="0"/>
    <x v="0"/>
    <s v="Village"/>
    <x v="0"/>
    <n v="0"/>
    <n v="20.3927307128906"/>
    <n v="93.304817199707003"/>
    <n v="197017"/>
    <x v="0"/>
    <m/>
  </r>
  <r>
    <x v="0"/>
    <x v="3"/>
    <x v="3"/>
    <s v="EU"/>
    <x v="1"/>
    <x v="11"/>
    <x v="0"/>
    <x v="95"/>
    <n v="31"/>
    <n v="156"/>
    <d v="2017-01-01T00:00:00"/>
    <d v="2021-12-21T00:00:00"/>
    <m/>
    <m/>
    <n v="18"/>
    <n v="116"/>
    <n v="4"/>
    <m/>
    <m/>
    <m/>
    <m/>
    <n v="298"/>
    <x v="3"/>
    <m/>
    <m/>
    <m/>
    <m/>
    <m/>
    <m/>
    <n v="164"/>
    <n v="289"/>
    <n v="69"/>
    <n v="99"/>
    <m/>
    <m/>
    <m/>
    <m/>
    <m/>
    <m/>
    <m/>
    <m/>
    <m/>
    <m/>
    <m/>
    <m/>
    <n v="1"/>
    <n v="156"/>
    <n v="1"/>
    <n v="156"/>
    <n v="1"/>
    <n v="156"/>
    <n v="0.624"/>
    <n v="0"/>
    <n v="0"/>
    <n v="0.376"/>
    <n v="1"/>
    <n v="1"/>
    <n v="156"/>
    <n v="0"/>
    <n v="26"/>
    <n v="0"/>
    <n v="0"/>
    <n v="156"/>
    <n v="0"/>
    <n v="156"/>
    <n v="1"/>
    <n v="0"/>
    <n v="1"/>
    <n v="0"/>
    <n v="0"/>
    <n v="0"/>
    <x v="0"/>
    <s v="Village"/>
    <x v="0"/>
    <n v="0"/>
    <n v="20.406982421875"/>
    <n v="93.312507629394503"/>
    <n v="197022"/>
    <x v="0"/>
    <m/>
  </r>
  <r>
    <x v="0"/>
    <x v="3"/>
    <x v="3"/>
    <s v="EU"/>
    <x v="1"/>
    <x v="11"/>
    <x v="0"/>
    <x v="96"/>
    <n v="96"/>
    <n v="329"/>
    <d v="2017-01-01T00:00:00"/>
    <d v="2021-12-21T00:00:00"/>
    <m/>
    <m/>
    <n v="28"/>
    <n v="826"/>
    <n v="7"/>
    <m/>
    <m/>
    <m/>
    <m/>
    <n v="1408"/>
    <x v="3"/>
    <m/>
    <m/>
    <m/>
    <m/>
    <m/>
    <m/>
    <n v="579"/>
    <n v="458"/>
    <n v="256"/>
    <n v="287"/>
    <m/>
    <m/>
    <m/>
    <m/>
    <m/>
    <m/>
    <m/>
    <m/>
    <m/>
    <m/>
    <m/>
    <m/>
    <n v="1"/>
    <n v="329"/>
    <n v="1"/>
    <n v="329"/>
    <n v="1"/>
    <n v="329"/>
    <n v="1.3160000000000001"/>
    <n v="0"/>
    <n v="0"/>
    <n v="0"/>
    <n v="1"/>
    <n v="1"/>
    <n v="329"/>
    <n v="0"/>
    <n v="55"/>
    <n v="0"/>
    <n v="0"/>
    <n v="329"/>
    <n v="0"/>
    <n v="329"/>
    <n v="1"/>
    <n v="0"/>
    <n v="1"/>
    <n v="0"/>
    <n v="0"/>
    <n v="0"/>
    <x v="0"/>
    <s v="Village"/>
    <x v="0"/>
    <n v="0"/>
    <n v="20.404491424560501"/>
    <n v="93.321144104003906"/>
    <n v="197020"/>
    <x v="0"/>
    <m/>
  </r>
  <r>
    <x v="0"/>
    <x v="3"/>
    <x v="3"/>
    <s v="EU"/>
    <x v="1"/>
    <x v="11"/>
    <x v="0"/>
    <x v="97"/>
    <n v="37"/>
    <n v="119"/>
    <d v="2017-01-01T00:00:00"/>
    <d v="2021-12-21T00:00:00"/>
    <m/>
    <m/>
    <n v="12"/>
    <n v="208"/>
    <n v="3"/>
    <m/>
    <m/>
    <m/>
    <m/>
    <n v="255"/>
    <x v="3"/>
    <m/>
    <m/>
    <m/>
    <m/>
    <m/>
    <m/>
    <m/>
    <m/>
    <m/>
    <m/>
    <m/>
    <m/>
    <m/>
    <m/>
    <m/>
    <m/>
    <m/>
    <m/>
    <m/>
    <m/>
    <m/>
    <m/>
    <n v="1"/>
    <n v="119"/>
    <n v="1"/>
    <n v="119"/>
    <n v="1"/>
    <n v="119"/>
    <n v="0.47599999999999998"/>
    <n v="0"/>
    <n v="0"/>
    <n v="0.52400000000000002"/>
    <n v="1"/>
    <n v="1"/>
    <n v="119"/>
    <n v="0"/>
    <n v="20"/>
    <n v="0"/>
    <n v="0"/>
    <n v="0"/>
    <n v="0"/>
    <n v="0"/>
    <n v="0"/>
    <n v="1"/>
    <n v="0"/>
    <n v="0"/>
    <n v="0"/>
    <n v="0"/>
    <x v="0"/>
    <s v="Village"/>
    <x v="0"/>
    <n v="0"/>
    <n v="20.428560256958001"/>
    <n v="93.305938720703097"/>
    <n v="197027"/>
    <x v="0"/>
    <m/>
  </r>
  <r>
    <x v="0"/>
    <x v="3"/>
    <x v="3"/>
    <s v="EU"/>
    <x v="1"/>
    <x v="11"/>
    <x v="0"/>
    <x v="98"/>
    <n v="167"/>
    <n v="1027"/>
    <d v="2017-01-01T00:00:00"/>
    <d v="2021-12-21T00:00:00"/>
    <m/>
    <m/>
    <n v="6"/>
    <n v="49"/>
    <n v="2"/>
    <m/>
    <m/>
    <m/>
    <m/>
    <n v="66"/>
    <x v="3"/>
    <m/>
    <m/>
    <m/>
    <m/>
    <m/>
    <m/>
    <m/>
    <m/>
    <m/>
    <m/>
    <m/>
    <m/>
    <m/>
    <m/>
    <m/>
    <m/>
    <m/>
    <m/>
    <m/>
    <m/>
    <m/>
    <m/>
    <n v="1"/>
    <n v="1027"/>
    <n v="1"/>
    <n v="1027"/>
    <n v="1"/>
    <n v="1027"/>
    <n v="4.1079999999999997"/>
    <n v="0"/>
    <n v="0"/>
    <n v="0"/>
    <n v="4"/>
    <n v="0.38558909444985395"/>
    <n v="396"/>
    <n v="0"/>
    <n v="171"/>
    <n v="105"/>
    <n v="0.6144109055501461"/>
    <n v="0"/>
    <n v="0"/>
    <n v="0"/>
    <n v="0"/>
    <n v="1"/>
    <n v="0"/>
    <n v="0"/>
    <n v="0"/>
    <n v="0"/>
    <x v="0"/>
    <s v="Village"/>
    <x v="0"/>
    <n v="0"/>
    <n v="20.4226398468018"/>
    <n v="93.307182312011705"/>
    <n v="197028"/>
    <x v="0"/>
    <m/>
  </r>
  <r>
    <x v="0"/>
    <x v="3"/>
    <x v="3"/>
    <s v="EU"/>
    <x v="1"/>
    <x v="11"/>
    <x v="0"/>
    <x v="99"/>
    <n v="90"/>
    <n v="414"/>
    <d v="2017-01-01T00:00:00"/>
    <d v="2021-12-21T00:00:00"/>
    <m/>
    <m/>
    <n v="0"/>
    <n v="9"/>
    <n v="1"/>
    <m/>
    <m/>
    <m/>
    <m/>
    <n v="12"/>
    <x v="3"/>
    <m/>
    <m/>
    <m/>
    <m/>
    <m/>
    <m/>
    <m/>
    <m/>
    <m/>
    <m/>
    <m/>
    <m/>
    <m/>
    <m/>
    <m/>
    <m/>
    <m/>
    <m/>
    <m/>
    <m/>
    <m/>
    <m/>
    <n v="1"/>
    <n v="414"/>
    <n v="1"/>
    <n v="414"/>
    <n v="1"/>
    <n v="414"/>
    <n v="1.6559999999999999"/>
    <n v="0"/>
    <n v="0"/>
    <n v="0.34400000000000008"/>
    <n v="2"/>
    <n v="0.17391304347826086"/>
    <n v="72"/>
    <n v="0"/>
    <n v="69"/>
    <n v="57"/>
    <n v="0.82608695652173914"/>
    <n v="0"/>
    <n v="0"/>
    <n v="0"/>
    <n v="0"/>
    <n v="1"/>
    <n v="0"/>
    <n v="0"/>
    <n v="0"/>
    <n v="0"/>
    <x v="0"/>
    <s v="Village"/>
    <x v="0"/>
    <n v="0"/>
    <n v="20.437318801879901"/>
    <n v="93.302917480468807"/>
    <n v="197034"/>
    <x v="0"/>
    <m/>
  </r>
  <r>
    <x v="0"/>
    <x v="3"/>
    <x v="3"/>
    <s v="EU"/>
    <x v="1"/>
    <x v="11"/>
    <x v="0"/>
    <x v="100"/>
    <n v="78"/>
    <n v="308"/>
    <d v="2017-01-01T00:00:00"/>
    <d v="2021-12-21T00:00:00"/>
    <m/>
    <m/>
    <n v="4"/>
    <n v="46"/>
    <n v="2"/>
    <m/>
    <m/>
    <m/>
    <m/>
    <n v="54"/>
    <x v="3"/>
    <m/>
    <m/>
    <m/>
    <m/>
    <m/>
    <m/>
    <m/>
    <m/>
    <m/>
    <m/>
    <m/>
    <m/>
    <m/>
    <m/>
    <m/>
    <m/>
    <m/>
    <m/>
    <m/>
    <m/>
    <m/>
    <m/>
    <n v="1"/>
    <n v="308"/>
    <n v="1"/>
    <n v="308"/>
    <n v="1"/>
    <n v="308"/>
    <n v="1.232"/>
    <n v="0"/>
    <n v="0"/>
    <n v="0"/>
    <n v="1"/>
    <n v="1"/>
    <n v="308"/>
    <n v="0"/>
    <n v="51"/>
    <n v="0"/>
    <n v="0"/>
    <n v="0"/>
    <n v="0"/>
    <n v="0"/>
    <n v="0"/>
    <n v="1"/>
    <n v="0"/>
    <n v="0"/>
    <n v="0"/>
    <n v="0"/>
    <x v="0"/>
    <s v="Village"/>
    <x v="0"/>
    <n v="0"/>
    <n v="20.442419052123999"/>
    <n v="93.300033569335895"/>
    <n v="197036"/>
    <x v="0"/>
    <m/>
  </r>
  <r>
    <x v="0"/>
    <x v="3"/>
    <x v="3"/>
    <s v="EU"/>
    <x v="1"/>
    <x v="11"/>
    <x v="0"/>
    <x v="101"/>
    <n v="85"/>
    <n v="413"/>
    <d v="2017-01-01T00:00:00"/>
    <d v="2021-12-21T00:00:00"/>
    <m/>
    <m/>
    <n v="0"/>
    <n v="23"/>
    <n v="1"/>
    <m/>
    <m/>
    <m/>
    <m/>
    <n v="27"/>
    <x v="3"/>
    <m/>
    <m/>
    <m/>
    <m/>
    <m/>
    <m/>
    <m/>
    <m/>
    <m/>
    <m/>
    <m/>
    <m/>
    <m/>
    <m/>
    <m/>
    <m/>
    <m/>
    <m/>
    <m/>
    <m/>
    <m/>
    <m/>
    <n v="1"/>
    <n v="413"/>
    <n v="1"/>
    <n v="413"/>
    <n v="1"/>
    <n v="413"/>
    <n v="1.6519999999999999"/>
    <n v="0"/>
    <n v="0"/>
    <n v="0.34800000000000009"/>
    <n v="2"/>
    <n v="0.39225181598062953"/>
    <n v="162"/>
    <n v="0"/>
    <n v="69"/>
    <n v="42"/>
    <n v="0.60774818401937047"/>
    <n v="0"/>
    <n v="0"/>
    <n v="0"/>
    <n v="0"/>
    <n v="1"/>
    <n v="0"/>
    <n v="0"/>
    <n v="0"/>
    <n v="0"/>
    <x v="0"/>
    <s v="Village"/>
    <x v="0"/>
    <n v="0"/>
    <n v="20.430749893188501"/>
    <n v="93.304450988769503"/>
    <n v="197033"/>
    <x v="0"/>
    <m/>
  </r>
  <r>
    <x v="0"/>
    <x v="3"/>
    <x v="3"/>
    <s v="EU"/>
    <x v="1"/>
    <x v="11"/>
    <x v="0"/>
    <x v="102"/>
    <n v="353"/>
    <n v="2111"/>
    <d v="2017-01-01T00:00:00"/>
    <d v="2021-12-21T00:00:00"/>
    <m/>
    <m/>
    <n v="3"/>
    <n v="87"/>
    <n v="2"/>
    <m/>
    <m/>
    <m/>
    <m/>
    <n v="83"/>
    <x v="3"/>
    <m/>
    <m/>
    <m/>
    <m/>
    <m/>
    <m/>
    <m/>
    <m/>
    <m/>
    <m/>
    <m/>
    <m/>
    <m/>
    <m/>
    <m/>
    <m/>
    <m/>
    <m/>
    <m/>
    <m/>
    <m/>
    <m/>
    <n v="1"/>
    <n v="2111"/>
    <n v="1"/>
    <n v="2111"/>
    <n v="1"/>
    <n v="2111"/>
    <n v="8.4440000000000008"/>
    <n v="0"/>
    <n v="0"/>
    <n v="0"/>
    <n v="8"/>
    <n v="0.23590715300805307"/>
    <n v="498"/>
    <n v="0"/>
    <n v="352"/>
    <n v="269"/>
    <n v="0.76409284699194691"/>
    <n v="0"/>
    <n v="0"/>
    <n v="0"/>
    <n v="0"/>
    <n v="1"/>
    <n v="0"/>
    <n v="0"/>
    <n v="0"/>
    <n v="0"/>
    <x v="0"/>
    <s v="Village"/>
    <x v="0"/>
    <n v="0"/>
    <n v="20.448799133300799"/>
    <n v="93.300239562988295"/>
    <n v="197040"/>
    <x v="0"/>
    <m/>
  </r>
  <r>
    <x v="0"/>
    <x v="3"/>
    <x v="3"/>
    <s v="EU"/>
    <x v="1"/>
    <x v="11"/>
    <x v="0"/>
    <x v="103"/>
    <n v="295"/>
    <n v="1698"/>
    <d v="2017-01-01T00:00:00"/>
    <d v="2021-12-21T00:00:00"/>
    <m/>
    <m/>
    <n v="2"/>
    <n v="53"/>
    <n v="2"/>
    <m/>
    <m/>
    <m/>
    <m/>
    <n v="77"/>
    <x v="3"/>
    <m/>
    <m/>
    <m/>
    <m/>
    <m/>
    <m/>
    <m/>
    <m/>
    <m/>
    <m/>
    <m/>
    <m/>
    <m/>
    <m/>
    <m/>
    <m/>
    <m/>
    <m/>
    <m/>
    <m/>
    <m/>
    <m/>
    <n v="1"/>
    <n v="1698"/>
    <n v="1"/>
    <n v="1698"/>
    <n v="1"/>
    <n v="1698"/>
    <n v="6.7919999999999998"/>
    <n v="0"/>
    <n v="0"/>
    <n v="0.20800000000000018"/>
    <n v="7"/>
    <n v="0.27208480565371024"/>
    <n v="462"/>
    <n v="0"/>
    <n v="283"/>
    <n v="206"/>
    <n v="0.72791519434628982"/>
    <n v="0"/>
    <n v="0"/>
    <n v="0"/>
    <n v="0"/>
    <n v="1"/>
    <n v="0"/>
    <n v="0"/>
    <n v="0"/>
    <n v="0"/>
    <x v="0"/>
    <s v="Village"/>
    <x v="0"/>
    <n v="0"/>
    <n v="20.463020324706999"/>
    <n v="93.296417236328097"/>
    <n v="197039"/>
    <x v="0"/>
    <m/>
  </r>
  <r>
    <x v="0"/>
    <x v="3"/>
    <x v="3"/>
    <s v="EU"/>
    <x v="1"/>
    <x v="11"/>
    <x v="0"/>
    <x v="104"/>
    <n v="140"/>
    <n v="985"/>
    <d v="2017-01-01T00:00:00"/>
    <d v="2021-12-21T00:00:00"/>
    <m/>
    <m/>
    <n v="7"/>
    <n v="27"/>
    <n v="3"/>
    <m/>
    <m/>
    <m/>
    <m/>
    <n v="65"/>
    <x v="3"/>
    <m/>
    <m/>
    <m/>
    <m/>
    <m/>
    <m/>
    <m/>
    <m/>
    <m/>
    <m/>
    <m/>
    <m/>
    <m/>
    <m/>
    <m/>
    <m/>
    <m/>
    <m/>
    <m/>
    <m/>
    <m/>
    <m/>
    <n v="1"/>
    <n v="985"/>
    <n v="1"/>
    <n v="985"/>
    <n v="1"/>
    <n v="985"/>
    <n v="3.94"/>
    <n v="0"/>
    <n v="0"/>
    <n v="6.0000000000000053E-2"/>
    <n v="4"/>
    <n v="0.39593908629441626"/>
    <n v="390"/>
    <n v="0"/>
    <n v="164"/>
    <n v="99"/>
    <n v="0.60406091370558368"/>
    <n v="0"/>
    <n v="0"/>
    <n v="0"/>
    <n v="0"/>
    <n v="1"/>
    <n v="0"/>
    <n v="0"/>
    <n v="0"/>
    <n v="0"/>
    <x v="0"/>
    <s v="Village"/>
    <x v="0"/>
    <n v="0"/>
    <n v="20.4733695983887"/>
    <n v="93.291687011718807"/>
    <n v="197041"/>
    <x v="0"/>
    <m/>
  </r>
  <r>
    <x v="0"/>
    <x v="3"/>
    <x v="3"/>
    <s v="EU"/>
    <x v="1"/>
    <x v="11"/>
    <x v="0"/>
    <x v="105"/>
    <n v="157"/>
    <n v="735"/>
    <d v="2017-01-01T00:00:00"/>
    <d v="2021-12-21T00:00:00"/>
    <m/>
    <m/>
    <n v="0"/>
    <n v="32"/>
    <n v="3"/>
    <m/>
    <m/>
    <m/>
    <m/>
    <n v="72"/>
    <x v="3"/>
    <m/>
    <m/>
    <m/>
    <m/>
    <m/>
    <m/>
    <m/>
    <m/>
    <m/>
    <m/>
    <m/>
    <m/>
    <m/>
    <m/>
    <m/>
    <m/>
    <m/>
    <m/>
    <m/>
    <m/>
    <m/>
    <m/>
    <n v="1"/>
    <n v="735"/>
    <n v="1"/>
    <n v="735"/>
    <n v="1"/>
    <n v="735"/>
    <n v="2.94"/>
    <n v="0"/>
    <n v="0"/>
    <n v="6.0000000000000053E-2"/>
    <n v="3"/>
    <n v="0.58775510204081638"/>
    <n v="432.00000000000006"/>
    <n v="0"/>
    <n v="123"/>
    <n v="51"/>
    <n v="0.41224489795918362"/>
    <n v="0"/>
    <n v="0"/>
    <n v="0"/>
    <n v="0"/>
    <n v="1"/>
    <n v="0"/>
    <n v="0"/>
    <n v="0"/>
    <n v="0"/>
    <x v="0"/>
    <s v="Village"/>
    <x v="0"/>
    <n v="0"/>
    <n v="20.478410720825199"/>
    <n v="93.28662109375"/>
    <n v="197042"/>
    <x v="0"/>
    <m/>
  </r>
  <r>
    <x v="0"/>
    <x v="3"/>
    <x v="3"/>
    <s v="EU"/>
    <x v="1"/>
    <x v="11"/>
    <x v="0"/>
    <x v="106"/>
    <n v="35"/>
    <n v="142"/>
    <d v="2017-01-01T00:00:00"/>
    <d v="2021-12-21T00:00:00"/>
    <m/>
    <m/>
    <n v="0"/>
    <n v="117"/>
    <n v="3"/>
    <m/>
    <m/>
    <m/>
    <m/>
    <n v="235"/>
    <x v="3"/>
    <m/>
    <m/>
    <m/>
    <m/>
    <m/>
    <m/>
    <m/>
    <m/>
    <m/>
    <m/>
    <m/>
    <m/>
    <m/>
    <m/>
    <m/>
    <m/>
    <m/>
    <m/>
    <m/>
    <m/>
    <m/>
    <m/>
    <n v="1"/>
    <n v="142"/>
    <n v="1"/>
    <n v="142"/>
    <n v="1"/>
    <n v="142"/>
    <n v="0.56799999999999995"/>
    <n v="0"/>
    <n v="0"/>
    <n v="0.43200000000000005"/>
    <n v="1"/>
    <n v="1"/>
    <n v="142"/>
    <n v="0"/>
    <n v="24"/>
    <n v="0"/>
    <n v="0"/>
    <n v="0"/>
    <n v="0"/>
    <n v="0"/>
    <n v="0"/>
    <n v="1"/>
    <n v="0"/>
    <n v="0"/>
    <n v="0"/>
    <n v="0"/>
    <x v="0"/>
    <s v="Village"/>
    <x v="0"/>
    <n v="0"/>
    <n v="20.481389999389599"/>
    <n v="93.283447265625"/>
    <n v="197043"/>
    <x v="0"/>
    <m/>
  </r>
  <r>
    <x v="0"/>
    <x v="3"/>
    <x v="3"/>
    <s v="EU"/>
    <x v="1"/>
    <x v="11"/>
    <x v="0"/>
    <x v="107"/>
    <n v="148"/>
    <n v="630"/>
    <d v="2017-01-01T00:00:00"/>
    <d v="2021-12-21T00:00:00"/>
    <m/>
    <m/>
    <n v="6"/>
    <n v="92"/>
    <n v="3"/>
    <m/>
    <m/>
    <m/>
    <m/>
    <n v="204"/>
    <x v="3"/>
    <m/>
    <m/>
    <m/>
    <m/>
    <m/>
    <m/>
    <m/>
    <m/>
    <m/>
    <m/>
    <m/>
    <m/>
    <m/>
    <m/>
    <m/>
    <m/>
    <m/>
    <m/>
    <m/>
    <m/>
    <m/>
    <m/>
    <n v="1"/>
    <n v="630"/>
    <n v="1"/>
    <n v="630"/>
    <n v="1"/>
    <n v="630"/>
    <n v="2.52"/>
    <n v="0"/>
    <n v="0"/>
    <n v="0.48"/>
    <n v="3"/>
    <n v="1"/>
    <n v="630"/>
    <n v="0"/>
    <n v="105"/>
    <n v="0"/>
    <n v="0"/>
    <n v="0"/>
    <n v="0"/>
    <n v="0"/>
    <n v="0"/>
    <n v="1"/>
    <n v="0"/>
    <n v="0"/>
    <n v="0"/>
    <n v="0"/>
    <x v="0"/>
    <s v="Village"/>
    <x v="0"/>
    <n v="0"/>
    <n v="20.422460556030298"/>
    <n v="93.317733764648395"/>
    <n v="197089"/>
    <x v="0"/>
    <m/>
  </r>
  <r>
    <x v="0"/>
    <x v="3"/>
    <x v="3"/>
    <s v="EU"/>
    <x v="1"/>
    <x v="11"/>
    <x v="0"/>
    <x v="108"/>
    <n v="135"/>
    <n v="593"/>
    <d v="2017-01-01T00:00:00"/>
    <d v="2021-12-21T00:00:00"/>
    <m/>
    <m/>
    <n v="7"/>
    <n v="55"/>
    <n v="2"/>
    <m/>
    <m/>
    <m/>
    <m/>
    <n v="114"/>
    <x v="3"/>
    <m/>
    <m/>
    <m/>
    <m/>
    <m/>
    <m/>
    <m/>
    <m/>
    <m/>
    <m/>
    <m/>
    <m/>
    <m/>
    <m/>
    <m/>
    <m/>
    <m/>
    <m/>
    <m/>
    <m/>
    <m/>
    <m/>
    <n v="1"/>
    <n v="593"/>
    <n v="1"/>
    <n v="593"/>
    <n v="1"/>
    <n v="593"/>
    <n v="2.3719999999999999"/>
    <n v="0"/>
    <n v="0"/>
    <n v="0"/>
    <n v="2"/>
    <n v="1"/>
    <n v="593"/>
    <n v="0"/>
    <n v="99"/>
    <n v="0"/>
    <n v="0"/>
    <n v="0"/>
    <n v="0"/>
    <n v="0"/>
    <n v="0"/>
    <n v="1"/>
    <n v="0"/>
    <n v="0"/>
    <n v="0"/>
    <n v="0"/>
    <x v="0"/>
    <s v="Village"/>
    <x v="0"/>
    <n v="0"/>
    <n v="20.445030212402301"/>
    <n v="93.312812805175795"/>
    <n v="197090"/>
    <x v="0"/>
    <m/>
  </r>
  <r>
    <x v="0"/>
    <x v="3"/>
    <x v="3"/>
    <s v="EU"/>
    <x v="1"/>
    <x v="11"/>
    <x v="0"/>
    <x v="109"/>
    <n v="139"/>
    <n v="585"/>
    <d v="2017-01-01T00:00:00"/>
    <d v="2021-12-21T00:00:00"/>
    <m/>
    <m/>
    <n v="3"/>
    <n v="69"/>
    <n v="1"/>
    <m/>
    <m/>
    <m/>
    <m/>
    <n v="54"/>
    <x v="3"/>
    <m/>
    <m/>
    <m/>
    <m/>
    <m/>
    <m/>
    <m/>
    <m/>
    <m/>
    <m/>
    <m/>
    <m/>
    <m/>
    <m/>
    <m/>
    <m/>
    <m/>
    <m/>
    <m/>
    <m/>
    <m/>
    <m/>
    <n v="1"/>
    <n v="585"/>
    <n v="1"/>
    <n v="585"/>
    <n v="1"/>
    <n v="585"/>
    <n v="2.34"/>
    <n v="0"/>
    <n v="0"/>
    <n v="0"/>
    <n v="2"/>
    <n v="0.55384615384615388"/>
    <n v="324"/>
    <n v="0"/>
    <n v="98"/>
    <n v="44"/>
    <n v="0.44615384615384612"/>
    <n v="0"/>
    <n v="0"/>
    <n v="0"/>
    <n v="0"/>
    <n v="1"/>
    <n v="0"/>
    <n v="0"/>
    <n v="0"/>
    <n v="0"/>
    <x v="0"/>
    <s v="Village"/>
    <x v="0"/>
    <n v="0"/>
    <n v="20.466840744018601"/>
    <n v="93.304931640625"/>
    <n v="197149"/>
    <x v="0"/>
    <m/>
  </r>
  <r>
    <x v="0"/>
    <x v="3"/>
    <x v="3"/>
    <s v="EU"/>
    <x v="1"/>
    <x v="11"/>
    <x v="0"/>
    <x v="110"/>
    <n v="408"/>
    <n v="2009"/>
    <d v="2017-01-01T00:00:00"/>
    <d v="2021-12-21T00:00:00"/>
    <m/>
    <m/>
    <n v="1"/>
    <n v="14"/>
    <n v="1"/>
    <m/>
    <m/>
    <m/>
    <m/>
    <n v="20"/>
    <x v="3"/>
    <m/>
    <m/>
    <m/>
    <m/>
    <m/>
    <m/>
    <m/>
    <m/>
    <m/>
    <m/>
    <m/>
    <m/>
    <m/>
    <m/>
    <m/>
    <m/>
    <m/>
    <m/>
    <m/>
    <m/>
    <m/>
    <m/>
    <n v="1"/>
    <n v="2009"/>
    <n v="1"/>
    <n v="2009"/>
    <n v="1"/>
    <n v="2009"/>
    <n v="8.0359999999999996"/>
    <n v="0"/>
    <n v="0"/>
    <n v="0"/>
    <n v="8"/>
    <n v="5.9731209556993528E-2"/>
    <n v="120"/>
    <n v="0"/>
    <n v="335"/>
    <n v="315"/>
    <n v="0.94026879044300649"/>
    <n v="0"/>
    <n v="0"/>
    <n v="0"/>
    <n v="0"/>
    <n v="1"/>
    <n v="0"/>
    <n v="0"/>
    <n v="0"/>
    <n v="0"/>
    <x v="0"/>
    <s v="Village"/>
    <x v="1"/>
    <s v="Muslim"/>
    <n v="20.480898"/>
    <n v="93.299485000000004"/>
    <s v="MMR012CMP006"/>
    <x v="0"/>
    <m/>
  </r>
  <r>
    <x v="0"/>
    <x v="3"/>
    <x v="3"/>
    <s v="EU"/>
    <x v="1"/>
    <x v="11"/>
    <x v="0"/>
    <x v="111"/>
    <n v="47"/>
    <n v="190"/>
    <d v="2017-01-01T00:00:00"/>
    <d v="2021-12-21T00:00:00"/>
    <m/>
    <m/>
    <n v="3"/>
    <n v="60"/>
    <n v="2"/>
    <m/>
    <m/>
    <m/>
    <m/>
    <n v="43"/>
    <x v="3"/>
    <m/>
    <m/>
    <m/>
    <m/>
    <m/>
    <m/>
    <m/>
    <m/>
    <m/>
    <m/>
    <m/>
    <m/>
    <m/>
    <m/>
    <m/>
    <m/>
    <m/>
    <m/>
    <m/>
    <m/>
    <m/>
    <m/>
    <n v="1"/>
    <n v="190"/>
    <n v="1"/>
    <n v="190"/>
    <n v="1"/>
    <n v="190"/>
    <n v="0.76"/>
    <n v="0"/>
    <n v="0"/>
    <n v="0.24"/>
    <n v="1"/>
    <n v="1"/>
    <n v="190"/>
    <n v="0"/>
    <n v="32"/>
    <n v="0"/>
    <n v="0"/>
    <n v="0"/>
    <n v="0"/>
    <n v="0"/>
    <n v="0"/>
    <n v="1"/>
    <n v="0"/>
    <n v="0"/>
    <n v="0"/>
    <n v="0"/>
    <x v="0"/>
    <s v="Village"/>
    <x v="0"/>
    <n v="0"/>
    <n v="0"/>
    <n v="0"/>
    <n v="0"/>
    <x v="0"/>
    <m/>
  </r>
  <r>
    <x v="0"/>
    <x v="3"/>
    <x v="3"/>
    <s v="EU"/>
    <x v="1"/>
    <x v="11"/>
    <x v="0"/>
    <x v="112"/>
    <n v="150"/>
    <n v="532"/>
    <d v="2017-01-01T00:00:00"/>
    <d v="2021-12-21T00:00:00"/>
    <m/>
    <m/>
    <n v="0"/>
    <n v="84"/>
    <n v="2"/>
    <m/>
    <m/>
    <m/>
    <m/>
    <n v="45"/>
    <x v="3"/>
    <m/>
    <m/>
    <m/>
    <m/>
    <m/>
    <m/>
    <m/>
    <m/>
    <m/>
    <m/>
    <m/>
    <m/>
    <m/>
    <m/>
    <m/>
    <m/>
    <m/>
    <m/>
    <m/>
    <m/>
    <m/>
    <m/>
    <n v="1"/>
    <n v="532"/>
    <n v="1"/>
    <n v="532"/>
    <n v="1"/>
    <n v="532"/>
    <n v="2.1280000000000001"/>
    <n v="0"/>
    <n v="0"/>
    <n v="0"/>
    <n v="2"/>
    <n v="0.50751879699248126"/>
    <n v="270.00000000000006"/>
    <n v="0"/>
    <n v="89"/>
    <n v="44"/>
    <n v="0.49248120300751874"/>
    <n v="0"/>
    <n v="0"/>
    <n v="0"/>
    <n v="0"/>
    <n v="1"/>
    <n v="0"/>
    <n v="0"/>
    <n v="0"/>
    <n v="0"/>
    <x v="0"/>
    <s v="Village"/>
    <x v="0"/>
    <n v="0"/>
    <n v="20.440990447998001"/>
    <n v="93.336273193359403"/>
    <n v="197092"/>
    <x v="0"/>
    <m/>
  </r>
  <r>
    <x v="0"/>
    <x v="3"/>
    <x v="3"/>
    <s v="EU"/>
    <x v="1"/>
    <x v="11"/>
    <x v="0"/>
    <x v="113"/>
    <n v="142"/>
    <n v="542"/>
    <d v="2017-01-01T00:00:00"/>
    <d v="2021-12-21T00:00:00"/>
    <m/>
    <m/>
    <n v="11"/>
    <n v="65"/>
    <n v="2"/>
    <m/>
    <m/>
    <m/>
    <m/>
    <n v="56"/>
    <x v="3"/>
    <m/>
    <m/>
    <m/>
    <m/>
    <m/>
    <m/>
    <m/>
    <m/>
    <m/>
    <m/>
    <m/>
    <m/>
    <m/>
    <m/>
    <m/>
    <m/>
    <m/>
    <m/>
    <m/>
    <m/>
    <m/>
    <m/>
    <n v="1"/>
    <n v="542"/>
    <n v="1"/>
    <n v="542"/>
    <n v="1"/>
    <n v="542"/>
    <n v="2.1680000000000001"/>
    <n v="0"/>
    <n v="0"/>
    <n v="0"/>
    <n v="2"/>
    <n v="0.61992619926199266"/>
    <n v="336"/>
    <n v="0"/>
    <n v="90"/>
    <n v="34"/>
    <n v="0.38007380073800734"/>
    <n v="0"/>
    <n v="0"/>
    <n v="0"/>
    <n v="0"/>
    <n v="1"/>
    <n v="0"/>
    <n v="0"/>
    <n v="0"/>
    <n v="0"/>
    <x v="0"/>
    <s v="Village"/>
    <x v="0"/>
    <n v="0"/>
    <n v="20.438470840454102"/>
    <n v="93.344322204589801"/>
    <n v="197100"/>
    <x v="0"/>
    <m/>
  </r>
  <r>
    <x v="0"/>
    <x v="3"/>
    <x v="3"/>
    <s v="EU"/>
    <x v="1"/>
    <x v="11"/>
    <x v="0"/>
    <x v="114"/>
    <n v="290"/>
    <n v="1314"/>
    <d v="2017-01-01T00:00:00"/>
    <d v="2021-12-21T00:00:00"/>
    <m/>
    <m/>
    <n v="7"/>
    <n v="135"/>
    <n v="3"/>
    <m/>
    <m/>
    <m/>
    <m/>
    <n v="159"/>
    <x v="3"/>
    <m/>
    <m/>
    <m/>
    <m/>
    <m/>
    <m/>
    <m/>
    <m/>
    <m/>
    <m/>
    <m/>
    <m/>
    <m/>
    <m/>
    <m/>
    <m/>
    <m/>
    <m/>
    <m/>
    <m/>
    <m/>
    <m/>
    <n v="1"/>
    <n v="1314"/>
    <n v="1"/>
    <n v="1314"/>
    <n v="1"/>
    <n v="1314"/>
    <n v="5.2560000000000002"/>
    <n v="0"/>
    <n v="0"/>
    <n v="0"/>
    <n v="5"/>
    <n v="0.72602739726027399"/>
    <n v="954"/>
    <n v="0"/>
    <n v="219"/>
    <n v="60"/>
    <n v="0.27397260273972601"/>
    <n v="0"/>
    <n v="0"/>
    <n v="0"/>
    <n v="0"/>
    <n v="1"/>
    <n v="0"/>
    <n v="0"/>
    <n v="0"/>
    <n v="0"/>
    <x v="0"/>
    <s v="Village"/>
    <x v="0"/>
    <n v="0"/>
    <n v="20.424299240112301"/>
    <n v="93.337341308593807"/>
    <n v="197099"/>
    <x v="0"/>
    <m/>
  </r>
  <r>
    <x v="0"/>
    <x v="3"/>
    <x v="3"/>
    <s v="EU"/>
    <x v="1"/>
    <x v="11"/>
    <x v="0"/>
    <x v="115"/>
    <n v="215"/>
    <n v="1125"/>
    <d v="2017-01-01T00:00:00"/>
    <d v="2021-12-21T00:00:00"/>
    <m/>
    <m/>
    <n v="0"/>
    <n v="40"/>
    <n v="1"/>
    <m/>
    <m/>
    <m/>
    <m/>
    <n v="36"/>
    <x v="3"/>
    <m/>
    <m/>
    <m/>
    <m/>
    <m/>
    <m/>
    <m/>
    <m/>
    <m/>
    <m/>
    <m/>
    <m/>
    <m/>
    <m/>
    <m/>
    <m/>
    <m/>
    <m/>
    <m/>
    <m/>
    <m/>
    <m/>
    <n v="1"/>
    <n v="1125"/>
    <n v="1"/>
    <n v="1125"/>
    <n v="1"/>
    <n v="1125"/>
    <n v="4.5"/>
    <n v="0"/>
    <n v="0"/>
    <n v="0.5"/>
    <n v="5"/>
    <n v="0.192"/>
    <n v="216"/>
    <n v="0"/>
    <n v="188"/>
    <n v="152"/>
    <n v="0.80800000000000005"/>
    <n v="0"/>
    <n v="0"/>
    <n v="0"/>
    <n v="0"/>
    <n v="1"/>
    <n v="0"/>
    <n v="0"/>
    <n v="0"/>
    <n v="0"/>
    <x v="0"/>
    <s v="Village"/>
    <x v="0"/>
    <n v="0"/>
    <n v="20.470190048217798"/>
    <n v="93.3311767578125"/>
    <n v="197102"/>
    <x v="0"/>
    <m/>
  </r>
  <r>
    <x v="0"/>
    <x v="3"/>
    <x v="3"/>
    <s v="EU"/>
    <x v="1"/>
    <x v="11"/>
    <x v="0"/>
    <x v="116"/>
    <n v="181"/>
    <n v="940"/>
    <d v="2017-01-01T00:00:00"/>
    <d v="2021-12-21T00:00:00"/>
    <m/>
    <m/>
    <n v="0"/>
    <n v="78"/>
    <n v="2"/>
    <m/>
    <m/>
    <m/>
    <m/>
    <n v="88"/>
    <x v="3"/>
    <m/>
    <m/>
    <m/>
    <m/>
    <m/>
    <m/>
    <m/>
    <m/>
    <m/>
    <m/>
    <m/>
    <m/>
    <m/>
    <m/>
    <m/>
    <m/>
    <m/>
    <m/>
    <m/>
    <m/>
    <m/>
    <m/>
    <n v="1"/>
    <n v="940"/>
    <n v="1"/>
    <n v="940"/>
    <n v="1"/>
    <n v="940"/>
    <n v="3.76"/>
    <n v="0"/>
    <n v="0"/>
    <n v="0.24000000000000021"/>
    <n v="4"/>
    <n v="0.5617021276595745"/>
    <n v="528"/>
    <n v="0"/>
    <n v="157"/>
    <n v="69"/>
    <n v="0.4382978723404255"/>
    <n v="0"/>
    <n v="0"/>
    <n v="0"/>
    <n v="0"/>
    <n v="1"/>
    <n v="0"/>
    <n v="0"/>
    <n v="0"/>
    <n v="0"/>
    <x v="0"/>
    <s v="Village"/>
    <x v="0"/>
    <n v="0"/>
    <n v="20.494003295898398"/>
    <n v="93.324035644531307"/>
    <n v="220651"/>
    <x v="0"/>
    <m/>
  </r>
  <r>
    <x v="0"/>
    <x v="3"/>
    <x v="3"/>
    <s v="EU"/>
    <x v="1"/>
    <x v="11"/>
    <x v="0"/>
    <x v="117"/>
    <n v="170"/>
    <n v="743"/>
    <d v="2017-01-01T00:00:00"/>
    <d v="2021-12-21T00:00:00"/>
    <m/>
    <m/>
    <n v="14"/>
    <n v="69"/>
    <n v="3"/>
    <m/>
    <m/>
    <m/>
    <m/>
    <n v="71"/>
    <x v="3"/>
    <m/>
    <m/>
    <m/>
    <m/>
    <m/>
    <m/>
    <m/>
    <m/>
    <m/>
    <m/>
    <m/>
    <m/>
    <m/>
    <m/>
    <m/>
    <m/>
    <m/>
    <m/>
    <m/>
    <m/>
    <m/>
    <m/>
    <n v="1"/>
    <n v="743"/>
    <n v="1"/>
    <n v="743"/>
    <n v="1"/>
    <n v="743"/>
    <n v="2.972"/>
    <n v="0"/>
    <n v="0"/>
    <n v="2.8000000000000025E-2"/>
    <n v="3"/>
    <n v="0.57335127860026913"/>
    <n v="425.99999999999994"/>
    <n v="0"/>
    <n v="124"/>
    <n v="53"/>
    <n v="0.42664872139973087"/>
    <n v="0"/>
    <n v="0"/>
    <n v="0"/>
    <n v="0"/>
    <n v="1"/>
    <n v="0"/>
    <n v="0"/>
    <n v="0"/>
    <n v="0"/>
    <x v="0"/>
    <s v="Village"/>
    <x v="0"/>
    <n v="0"/>
    <n v="20.476139068603501"/>
    <n v="93.338516235351605"/>
    <n v="197103"/>
    <x v="0"/>
    <m/>
  </r>
  <r>
    <x v="0"/>
    <x v="3"/>
    <x v="3"/>
    <s v="EU"/>
    <x v="1"/>
    <x v="11"/>
    <x v="0"/>
    <x v="118"/>
    <n v="121"/>
    <n v="421"/>
    <d v="2017-01-01T00:00:00"/>
    <d v="2021-12-21T00:00:00"/>
    <m/>
    <m/>
    <n v="0"/>
    <n v="98"/>
    <n v="2"/>
    <m/>
    <m/>
    <m/>
    <m/>
    <n v="112"/>
    <x v="3"/>
    <m/>
    <m/>
    <m/>
    <m/>
    <m/>
    <m/>
    <m/>
    <m/>
    <m/>
    <m/>
    <m/>
    <m/>
    <m/>
    <m/>
    <m/>
    <m/>
    <m/>
    <m/>
    <m/>
    <m/>
    <m/>
    <m/>
    <n v="1"/>
    <n v="421"/>
    <n v="1"/>
    <n v="421"/>
    <n v="1"/>
    <n v="421"/>
    <n v="1.6839999999999999"/>
    <n v="0"/>
    <n v="0"/>
    <n v="0.31600000000000006"/>
    <n v="2"/>
    <n v="1"/>
    <n v="421"/>
    <n v="0"/>
    <n v="70"/>
    <n v="0"/>
    <n v="0"/>
    <n v="0"/>
    <n v="0"/>
    <n v="0"/>
    <n v="0"/>
    <n v="1"/>
    <n v="0"/>
    <n v="0"/>
    <n v="0"/>
    <n v="0"/>
    <x v="0"/>
    <s v="Village"/>
    <x v="0"/>
    <s v="Mixed"/>
    <n v="20.394809720000001"/>
    <n v="93.251609799999997"/>
    <n v="196994"/>
    <x v="0"/>
    <m/>
  </r>
  <r>
    <x v="0"/>
    <x v="3"/>
    <x v="3"/>
    <s v="EU"/>
    <x v="1"/>
    <x v="11"/>
    <x v="0"/>
    <x v="119"/>
    <n v="203"/>
    <n v="1118"/>
    <d v="2017-01-01T00:00:00"/>
    <d v="2021-12-21T00:00:00"/>
    <m/>
    <m/>
    <n v="18"/>
    <n v="111"/>
    <n v="2"/>
    <m/>
    <m/>
    <m/>
    <m/>
    <n v="97"/>
    <x v="3"/>
    <m/>
    <m/>
    <m/>
    <m/>
    <m/>
    <m/>
    <m/>
    <m/>
    <m/>
    <m/>
    <m/>
    <m/>
    <m/>
    <m/>
    <m/>
    <m/>
    <m/>
    <m/>
    <m/>
    <m/>
    <m/>
    <m/>
    <n v="1"/>
    <n v="1118"/>
    <n v="1"/>
    <n v="1118"/>
    <n v="1"/>
    <n v="1118"/>
    <n v="4.4720000000000004"/>
    <n v="0"/>
    <n v="0"/>
    <n v="0"/>
    <n v="4"/>
    <n v="0.52057245080500891"/>
    <n v="582"/>
    <n v="0"/>
    <n v="186"/>
    <n v="89"/>
    <n v="0.47942754919499109"/>
    <n v="0"/>
    <n v="0"/>
    <n v="0"/>
    <n v="0"/>
    <n v="1"/>
    <n v="0"/>
    <n v="0"/>
    <n v="0"/>
    <n v="0"/>
    <x v="0"/>
    <s v="Village"/>
    <x v="0"/>
    <n v="0"/>
    <n v="20.391029357910199"/>
    <n v="93.257637023925795"/>
    <n v="196997"/>
    <x v="0"/>
    <m/>
  </r>
  <r>
    <x v="0"/>
    <x v="3"/>
    <x v="3"/>
    <s v="EU"/>
    <x v="1"/>
    <x v="11"/>
    <x v="0"/>
    <x v="120"/>
    <n v="31"/>
    <n v="170"/>
    <d v="2017-01-01T00:00:00"/>
    <d v="2021-12-21T00:00:00"/>
    <m/>
    <m/>
    <n v="0"/>
    <n v="54"/>
    <n v="4"/>
    <m/>
    <m/>
    <m/>
    <m/>
    <n v="154"/>
    <x v="3"/>
    <m/>
    <m/>
    <m/>
    <m/>
    <m/>
    <m/>
    <m/>
    <m/>
    <m/>
    <m/>
    <m/>
    <m/>
    <m/>
    <m/>
    <m/>
    <m/>
    <m/>
    <m/>
    <m/>
    <m/>
    <m/>
    <m/>
    <n v="1"/>
    <n v="170"/>
    <n v="1"/>
    <n v="170"/>
    <n v="1"/>
    <n v="170"/>
    <n v="0.68"/>
    <n v="0"/>
    <n v="0"/>
    <n v="0.31999999999999995"/>
    <n v="1"/>
    <n v="1"/>
    <n v="170"/>
    <n v="0"/>
    <n v="28"/>
    <n v="0"/>
    <n v="0"/>
    <n v="0"/>
    <n v="0"/>
    <n v="0"/>
    <n v="0"/>
    <n v="1"/>
    <n v="0"/>
    <n v="0"/>
    <n v="0"/>
    <n v="0"/>
    <x v="0"/>
    <s v="Village"/>
    <x v="0"/>
    <s v="Rakhine"/>
    <n v="20.396680830000001"/>
    <n v="93.252868649999996"/>
    <n v="196998"/>
    <x v="0"/>
    <m/>
  </r>
  <r>
    <x v="0"/>
    <x v="3"/>
    <x v="3"/>
    <s v="BMZ"/>
    <x v="1"/>
    <x v="11"/>
    <x v="0"/>
    <x v="121"/>
    <n v="180"/>
    <n v="964"/>
    <d v="2017-01-01T00:00:00"/>
    <d v="2021-12-21T00:00:00"/>
    <m/>
    <m/>
    <n v="3"/>
    <n v="76"/>
    <n v="3"/>
    <m/>
    <m/>
    <m/>
    <m/>
    <n v="116"/>
    <x v="3"/>
    <m/>
    <m/>
    <m/>
    <m/>
    <m/>
    <m/>
    <m/>
    <m/>
    <m/>
    <m/>
    <m/>
    <m/>
    <m/>
    <m/>
    <m/>
    <m/>
    <m/>
    <m/>
    <m/>
    <m/>
    <m/>
    <m/>
    <n v="1"/>
    <n v="964"/>
    <n v="1"/>
    <n v="964"/>
    <n v="1"/>
    <n v="964"/>
    <n v="3.8559999999999999"/>
    <n v="0"/>
    <n v="0"/>
    <n v="0.14400000000000013"/>
    <n v="4"/>
    <n v="0.72199170124481327"/>
    <n v="696"/>
    <n v="0"/>
    <n v="161"/>
    <n v="45"/>
    <n v="0.27800829875518673"/>
    <n v="0"/>
    <n v="0"/>
    <n v="0"/>
    <n v="0"/>
    <n v="1"/>
    <n v="0"/>
    <n v="0"/>
    <n v="0"/>
    <n v="0"/>
    <x v="0"/>
    <s v="Village"/>
    <x v="0"/>
    <n v="0"/>
    <n v="20.410079956054702"/>
    <n v="93.37109375"/>
    <n v="197114"/>
    <x v="0"/>
    <m/>
  </r>
  <r>
    <x v="0"/>
    <x v="3"/>
    <x v="3"/>
    <s v="BMZ"/>
    <x v="1"/>
    <x v="11"/>
    <x v="0"/>
    <x v="122"/>
    <n v="130"/>
    <n v="398"/>
    <d v="2017-01-01T00:00:00"/>
    <d v="2021-12-21T00:00:00"/>
    <m/>
    <m/>
    <n v="43"/>
    <n v="48"/>
    <n v="2"/>
    <m/>
    <m/>
    <m/>
    <m/>
    <n v="78"/>
    <x v="3"/>
    <m/>
    <m/>
    <m/>
    <m/>
    <m/>
    <m/>
    <m/>
    <m/>
    <m/>
    <m/>
    <m/>
    <m/>
    <m/>
    <m/>
    <m/>
    <m/>
    <m/>
    <m/>
    <m/>
    <m/>
    <m/>
    <m/>
    <n v="1"/>
    <n v="398"/>
    <n v="1"/>
    <n v="398"/>
    <n v="1"/>
    <n v="398"/>
    <n v="1.5920000000000001"/>
    <n v="0"/>
    <n v="0"/>
    <n v="0.40799999999999992"/>
    <n v="2"/>
    <n v="1"/>
    <n v="398"/>
    <n v="0"/>
    <n v="66"/>
    <n v="0"/>
    <n v="0"/>
    <n v="0"/>
    <n v="0"/>
    <n v="0"/>
    <n v="0"/>
    <n v="1"/>
    <n v="0"/>
    <n v="0"/>
    <n v="0"/>
    <n v="0"/>
    <x v="0"/>
    <s v="Village"/>
    <x v="0"/>
    <n v="0"/>
    <n v="20.382389068603501"/>
    <n v="93.373863220214801"/>
    <n v="197111"/>
    <x v="0"/>
    <m/>
  </r>
  <r>
    <x v="0"/>
    <x v="3"/>
    <x v="3"/>
    <s v="BMZ"/>
    <x v="1"/>
    <x v="11"/>
    <x v="0"/>
    <x v="123"/>
    <n v="191"/>
    <n v="713"/>
    <d v="2017-01-01T00:00:00"/>
    <d v="2021-12-21T00:00:00"/>
    <m/>
    <m/>
    <n v="11"/>
    <n v="93"/>
    <n v="2"/>
    <m/>
    <m/>
    <m/>
    <m/>
    <n v="89"/>
    <x v="3"/>
    <m/>
    <m/>
    <m/>
    <m/>
    <m/>
    <m/>
    <m/>
    <m/>
    <m/>
    <m/>
    <m/>
    <m/>
    <m/>
    <m/>
    <m/>
    <m/>
    <m/>
    <m/>
    <m/>
    <m/>
    <m/>
    <m/>
    <n v="1"/>
    <n v="713"/>
    <n v="1"/>
    <n v="713"/>
    <n v="1"/>
    <n v="713"/>
    <n v="2.8519999999999999"/>
    <n v="0"/>
    <n v="0"/>
    <n v="0.14800000000000013"/>
    <n v="3"/>
    <n v="0.74894810659186539"/>
    <n v="534"/>
    <n v="0"/>
    <n v="119"/>
    <n v="30"/>
    <n v="0.25105189340813461"/>
    <n v="0"/>
    <n v="0"/>
    <n v="0"/>
    <n v="0"/>
    <n v="1"/>
    <n v="0"/>
    <n v="0"/>
    <n v="0"/>
    <n v="0"/>
    <x v="0"/>
    <s v="Village"/>
    <x v="0"/>
    <n v="0"/>
    <n v="20.389610290527301"/>
    <n v="93.371490478515597"/>
    <n v="197112"/>
    <x v="0"/>
    <m/>
  </r>
  <r>
    <x v="0"/>
    <x v="3"/>
    <x v="3"/>
    <s v="BMZ"/>
    <x v="1"/>
    <x v="11"/>
    <x v="0"/>
    <x v="124"/>
    <n v="27"/>
    <n v="53"/>
    <d v="2017-01-01T00:00:00"/>
    <d v="2021-12-21T00:00:00"/>
    <m/>
    <m/>
    <n v="2"/>
    <n v="23"/>
    <n v="1"/>
    <m/>
    <m/>
    <m/>
    <m/>
    <n v="22"/>
    <x v="3"/>
    <m/>
    <m/>
    <m/>
    <m/>
    <m/>
    <m/>
    <m/>
    <m/>
    <m/>
    <m/>
    <m/>
    <m/>
    <m/>
    <m/>
    <m/>
    <m/>
    <m/>
    <m/>
    <m/>
    <m/>
    <m/>
    <m/>
    <n v="1"/>
    <n v="53"/>
    <n v="1"/>
    <n v="53"/>
    <n v="1"/>
    <n v="53"/>
    <n v="0.21199999999999999"/>
    <n v="0"/>
    <n v="0"/>
    <n v="0.78800000000000003"/>
    <n v="1"/>
    <n v="1"/>
    <n v="53"/>
    <n v="0"/>
    <n v="9"/>
    <n v="0"/>
    <n v="0"/>
    <n v="0"/>
    <n v="0"/>
    <n v="0"/>
    <n v="0"/>
    <n v="1"/>
    <n v="0"/>
    <n v="0"/>
    <n v="0"/>
    <n v="0"/>
    <x v="0"/>
    <s v="Village"/>
    <x v="0"/>
    <n v="0"/>
    <n v="20.384975433349599"/>
    <n v="93.373054504394503"/>
    <n v="220653"/>
    <x v="0"/>
    <m/>
  </r>
  <r>
    <x v="0"/>
    <x v="3"/>
    <x v="3"/>
    <s v="BMZ"/>
    <x v="1"/>
    <x v="11"/>
    <x v="0"/>
    <x v="125"/>
    <n v="63"/>
    <n v="249"/>
    <d v="2017-01-01T00:00:00"/>
    <d v="2021-12-21T00:00:00"/>
    <m/>
    <m/>
    <n v="0"/>
    <n v="88"/>
    <n v="2"/>
    <m/>
    <m/>
    <m/>
    <m/>
    <n v="108"/>
    <x v="3"/>
    <m/>
    <m/>
    <m/>
    <m/>
    <m/>
    <m/>
    <m/>
    <m/>
    <m/>
    <m/>
    <m/>
    <m/>
    <m/>
    <m/>
    <m/>
    <m/>
    <m/>
    <m/>
    <m/>
    <m/>
    <m/>
    <m/>
    <n v="1"/>
    <n v="249"/>
    <n v="1"/>
    <n v="249"/>
    <n v="1"/>
    <n v="249"/>
    <n v="0.996"/>
    <n v="0"/>
    <n v="0"/>
    <n v="4.0000000000000036E-3"/>
    <n v="1"/>
    <n v="1"/>
    <n v="249"/>
    <n v="0"/>
    <n v="42"/>
    <n v="0"/>
    <n v="0"/>
    <n v="0"/>
    <n v="0"/>
    <n v="0"/>
    <n v="0"/>
    <n v="1"/>
    <n v="0"/>
    <n v="0"/>
    <n v="0"/>
    <n v="0"/>
    <x v="0"/>
    <s v="Village"/>
    <x v="0"/>
    <n v="0"/>
    <n v="0"/>
    <n v="0"/>
    <n v="197110"/>
    <x v="0"/>
    <m/>
  </r>
  <r>
    <x v="0"/>
    <x v="5"/>
    <x v="5"/>
    <s v="UNICEF"/>
    <x v="1"/>
    <x v="12"/>
    <x v="0"/>
    <x v="126"/>
    <n v="40"/>
    <n v="217"/>
    <d v="2019-03-06T00:00:00"/>
    <d v="2020-04-30T00:00:00"/>
    <n v="107"/>
    <m/>
    <m/>
    <n v="8"/>
    <m/>
    <m/>
    <m/>
    <n v="2"/>
    <m/>
    <n v="40"/>
    <x v="1"/>
    <n v="2"/>
    <m/>
    <m/>
    <n v="1"/>
    <m/>
    <m/>
    <n v="41"/>
    <n v="145"/>
    <n v="72"/>
    <n v="114"/>
    <n v="56"/>
    <n v="51"/>
    <n v="40"/>
    <n v="1"/>
    <n v="40"/>
    <n v="80"/>
    <m/>
    <n v="1"/>
    <n v="1"/>
    <m/>
    <m/>
    <m/>
    <n v="1"/>
    <n v="217"/>
    <n v="0"/>
    <n v="0"/>
    <n v="1"/>
    <n v="217"/>
    <n v="0.86799999999999999"/>
    <n v="0"/>
    <n v="0"/>
    <n v="0.13200000000000001"/>
    <n v="1"/>
    <n v="1"/>
    <n v="217"/>
    <n v="100"/>
    <n v="36"/>
    <n v="0"/>
    <n v="0"/>
    <n v="217"/>
    <n v="217"/>
    <n v="217"/>
    <n v="1"/>
    <n v="0"/>
    <n v="1"/>
    <n v="217"/>
    <n v="80"/>
    <n v="217"/>
    <x v="1"/>
    <s v="Village"/>
    <x v="2"/>
    <s v="Rakhine"/>
    <n v="20.041981"/>
    <n v="93.373951000000005"/>
    <s v="MMR012CMP013"/>
    <x v="0"/>
    <m/>
  </r>
  <r>
    <x v="0"/>
    <x v="6"/>
    <x v="6"/>
    <s v="DFID/HARP"/>
    <x v="1"/>
    <x v="10"/>
    <x v="0"/>
    <x v="127"/>
    <n v="249"/>
    <n v="1362"/>
    <d v="2017-10-01T00:00:00"/>
    <d v="2020-09-30T00:00:00"/>
    <m/>
    <n v="0"/>
    <m/>
    <m/>
    <m/>
    <m/>
    <m/>
    <m/>
    <m/>
    <m/>
    <x v="0"/>
    <m/>
    <m/>
    <m/>
    <m/>
    <m/>
    <m/>
    <m/>
    <m/>
    <m/>
    <m/>
    <m/>
    <m/>
    <m/>
    <m/>
    <m/>
    <m/>
    <m/>
    <m/>
    <m/>
    <m/>
    <m/>
    <m/>
    <n v="0"/>
    <n v="0"/>
    <n v="0"/>
    <n v="0"/>
    <n v="0"/>
    <n v="0"/>
    <n v="0"/>
    <n v="1"/>
    <n v="1362"/>
    <n v="5"/>
    <n v="5"/>
    <n v="0"/>
    <n v="0"/>
    <n v="0"/>
    <n v="227"/>
    <n v="227"/>
    <n v="1"/>
    <n v="0"/>
    <n v="0"/>
    <n v="0"/>
    <n v="0"/>
    <n v="1"/>
    <n v="0"/>
    <n v="0"/>
    <n v="0"/>
    <n v="0"/>
    <x v="0"/>
    <s v="Village"/>
    <x v="2"/>
    <s v="Rakhine"/>
    <n v="20.151471999999998"/>
    <n v="92.887277999999995"/>
    <s v="MMR012CMP111"/>
    <x v="0"/>
    <m/>
  </r>
  <r>
    <x v="0"/>
    <x v="4"/>
    <x v="4"/>
    <s v="DFID/HARP"/>
    <x v="1"/>
    <x v="10"/>
    <x v="0"/>
    <x v="128"/>
    <n v="420"/>
    <n v="2179"/>
    <d v="2017-10-01T00:00:00"/>
    <d v="2020-09-30T00:00:00"/>
    <m/>
    <n v="0"/>
    <m/>
    <m/>
    <m/>
    <m/>
    <m/>
    <m/>
    <m/>
    <m/>
    <x v="0"/>
    <m/>
    <m/>
    <m/>
    <m/>
    <m/>
    <m/>
    <m/>
    <n v="25"/>
    <m/>
    <n v="30"/>
    <m/>
    <m/>
    <m/>
    <m/>
    <m/>
    <m/>
    <m/>
    <m/>
    <m/>
    <m/>
    <m/>
    <m/>
    <n v="0"/>
    <n v="0"/>
    <n v="0"/>
    <n v="0"/>
    <n v="0"/>
    <n v="0"/>
    <n v="0"/>
    <n v="1"/>
    <n v="2179"/>
    <n v="9"/>
    <n v="9"/>
    <n v="0"/>
    <n v="0"/>
    <n v="0"/>
    <n v="363"/>
    <n v="363"/>
    <n v="1"/>
    <n v="55"/>
    <n v="0"/>
    <n v="55"/>
    <n v="2.5240936209270308E-2"/>
    <n v="0.97475906379072974"/>
    <n v="2.5240936209270308E-2"/>
    <n v="0"/>
    <n v="0"/>
    <n v="0"/>
    <x v="0"/>
    <s v="Village"/>
    <x v="2"/>
    <s v="Rakhine"/>
    <n v="20.151471999999998"/>
    <n v="92.887277999999995"/>
    <s v="MMR012CMP112"/>
    <x v="0"/>
    <m/>
  </r>
  <r>
    <x v="0"/>
    <x v="4"/>
    <x v="4"/>
    <s v="DFID/HARP"/>
    <x v="1"/>
    <x v="10"/>
    <x v="0"/>
    <x v="129"/>
    <n v="235"/>
    <n v="1390"/>
    <d v="2017-10-01T00:00:00"/>
    <d v="2020-09-30T00:00:00"/>
    <m/>
    <n v="0"/>
    <m/>
    <m/>
    <m/>
    <m/>
    <m/>
    <m/>
    <m/>
    <m/>
    <x v="0"/>
    <m/>
    <m/>
    <m/>
    <m/>
    <m/>
    <m/>
    <n v="257"/>
    <n v="828"/>
    <m/>
    <m/>
    <m/>
    <m/>
    <m/>
    <m/>
    <m/>
    <m/>
    <m/>
    <m/>
    <m/>
    <m/>
    <m/>
    <m/>
    <n v="0"/>
    <n v="0"/>
    <n v="0"/>
    <n v="0"/>
    <n v="0"/>
    <n v="0"/>
    <n v="0"/>
    <n v="1"/>
    <n v="1390"/>
    <n v="6"/>
    <n v="6"/>
    <n v="0"/>
    <n v="0"/>
    <n v="0"/>
    <n v="232"/>
    <n v="232"/>
    <n v="1"/>
    <n v="1085"/>
    <n v="0"/>
    <n v="1085"/>
    <n v="0.78057553956834536"/>
    <n v="0.21942446043165464"/>
    <n v="0.78057553956834536"/>
    <n v="0"/>
    <n v="0"/>
    <n v="0"/>
    <x v="0"/>
    <s v="Village"/>
    <x v="0"/>
    <s v="Muslim"/>
    <n v="20.19171906"/>
    <n v="92.808166499999999"/>
    <n v="196155"/>
    <x v="0"/>
    <m/>
  </r>
  <r>
    <x v="0"/>
    <x v="4"/>
    <x v="4"/>
    <s v="DFID/HARP"/>
    <x v="1"/>
    <x v="10"/>
    <x v="0"/>
    <x v="130"/>
    <n v="72"/>
    <n v="442"/>
    <d v="2017-10-01T00:00:00"/>
    <d v="2020-09-30T00:00:00"/>
    <m/>
    <n v="0"/>
    <m/>
    <m/>
    <m/>
    <m/>
    <m/>
    <m/>
    <m/>
    <m/>
    <x v="0"/>
    <m/>
    <m/>
    <m/>
    <m/>
    <m/>
    <m/>
    <n v="91"/>
    <n v="207"/>
    <n v="92"/>
    <n v="285"/>
    <m/>
    <m/>
    <m/>
    <m/>
    <m/>
    <m/>
    <m/>
    <m/>
    <m/>
    <m/>
    <m/>
    <m/>
    <n v="0"/>
    <n v="0"/>
    <n v="0"/>
    <n v="0"/>
    <n v="0"/>
    <n v="0"/>
    <n v="0"/>
    <n v="1"/>
    <n v="442"/>
    <n v="2"/>
    <n v="2"/>
    <n v="0"/>
    <n v="0"/>
    <n v="0"/>
    <n v="74"/>
    <n v="74"/>
    <n v="1"/>
    <n v="442"/>
    <n v="0"/>
    <n v="442"/>
    <n v="1"/>
    <n v="0"/>
    <n v="1"/>
    <n v="0"/>
    <n v="0"/>
    <n v="0"/>
    <x v="0"/>
    <s v="Village"/>
    <x v="2"/>
    <s v="Maramargyi"/>
    <n v="20.148584"/>
    <n v="92.880319999999998"/>
    <s v="MMR012CMP056"/>
    <x v="0"/>
    <m/>
  </r>
  <r>
    <x v="0"/>
    <x v="4"/>
    <x v="4"/>
    <s v="DFID/HARP"/>
    <x v="1"/>
    <x v="10"/>
    <x v="0"/>
    <x v="131"/>
    <n v="151"/>
    <n v="625"/>
    <d v="2017-10-01T00:00:00"/>
    <d v="2020-09-30T00:00:00"/>
    <m/>
    <n v="0"/>
    <m/>
    <m/>
    <m/>
    <m/>
    <m/>
    <m/>
    <m/>
    <m/>
    <x v="0"/>
    <m/>
    <m/>
    <m/>
    <m/>
    <m/>
    <m/>
    <n v="181"/>
    <n v="402"/>
    <n v="20"/>
    <n v="194"/>
    <m/>
    <m/>
    <m/>
    <m/>
    <m/>
    <m/>
    <m/>
    <m/>
    <m/>
    <m/>
    <m/>
    <m/>
    <n v="0"/>
    <n v="0"/>
    <n v="0"/>
    <n v="0"/>
    <n v="0"/>
    <n v="0"/>
    <n v="0"/>
    <n v="1"/>
    <n v="625"/>
    <n v="3"/>
    <n v="3"/>
    <n v="0"/>
    <n v="0"/>
    <n v="0"/>
    <n v="104"/>
    <n v="104"/>
    <n v="1"/>
    <n v="625"/>
    <n v="0"/>
    <n v="625"/>
    <n v="1"/>
    <n v="0"/>
    <n v="1"/>
    <n v="0"/>
    <n v="0"/>
    <n v="0"/>
    <x v="0"/>
    <s v="Village"/>
    <x v="2"/>
    <s v="Rakhine"/>
    <n v="20.155805999999998"/>
    <n v="92.879138999999995"/>
    <s v="MMR012CMP093"/>
    <x v="0"/>
    <m/>
  </r>
  <r>
    <x v="0"/>
    <x v="6"/>
    <x v="6"/>
    <s v="DFID/HARP"/>
    <x v="1"/>
    <x v="10"/>
    <x v="0"/>
    <x v="132"/>
    <n v="155"/>
    <n v="745"/>
    <d v="2017-10-01T00:00:00"/>
    <d v="2020-09-30T00:00:00"/>
    <m/>
    <n v="0"/>
    <m/>
    <n v="10"/>
    <m/>
    <m/>
    <m/>
    <m/>
    <m/>
    <n v="28"/>
    <x v="0"/>
    <m/>
    <m/>
    <m/>
    <m/>
    <m/>
    <m/>
    <n v="107"/>
    <n v="108"/>
    <n v="33"/>
    <n v="32"/>
    <m/>
    <m/>
    <m/>
    <m/>
    <m/>
    <m/>
    <m/>
    <m/>
    <m/>
    <m/>
    <m/>
    <m/>
    <n v="1"/>
    <n v="745"/>
    <n v="0"/>
    <n v="0"/>
    <n v="1"/>
    <n v="745"/>
    <n v="2.98"/>
    <n v="0"/>
    <n v="0"/>
    <n v="2.0000000000000018E-2"/>
    <n v="3"/>
    <n v="0.22550335570469798"/>
    <n v="168"/>
    <n v="0"/>
    <n v="124"/>
    <n v="96"/>
    <n v="0.77449664429530207"/>
    <n v="280"/>
    <n v="0"/>
    <n v="280"/>
    <n v="0.37583892617449666"/>
    <n v="0.62416107382550334"/>
    <n v="0.37583892617449666"/>
    <n v="0"/>
    <n v="0"/>
    <n v="0"/>
    <x v="0"/>
    <s v="Village"/>
    <x v="0"/>
    <s v="Rakhine"/>
    <n v="20.16259956"/>
    <n v="92.834457400000005"/>
    <n v="196210"/>
    <x v="0"/>
    <m/>
  </r>
  <r>
    <x v="0"/>
    <x v="6"/>
    <x v="6"/>
    <s v="DFID/HARP"/>
    <x v="1"/>
    <x v="10"/>
    <x v="0"/>
    <x v="133"/>
    <n v="758"/>
    <n v="5579"/>
    <d v="2017-10-01T00:00:00"/>
    <d v="2020-09-30T00:00:00"/>
    <m/>
    <n v="0"/>
    <m/>
    <n v="16"/>
    <m/>
    <m/>
    <m/>
    <m/>
    <m/>
    <n v="158"/>
    <x v="0"/>
    <m/>
    <m/>
    <m/>
    <m/>
    <m/>
    <m/>
    <n v="116"/>
    <n v="645"/>
    <n v="135"/>
    <n v="164"/>
    <m/>
    <m/>
    <m/>
    <m/>
    <n v="760"/>
    <m/>
    <m/>
    <n v="1"/>
    <m/>
    <m/>
    <m/>
    <m/>
    <n v="1"/>
    <n v="5579"/>
    <n v="0"/>
    <n v="0"/>
    <n v="1"/>
    <n v="5579"/>
    <n v="22.315999999999999"/>
    <n v="0"/>
    <n v="0"/>
    <n v="0"/>
    <n v="22"/>
    <n v="0.16992292525542213"/>
    <n v="948.00000000000011"/>
    <n v="0"/>
    <n v="930"/>
    <n v="772"/>
    <n v="0.83007707474457781"/>
    <n v="1060"/>
    <n v="0"/>
    <n v="5579"/>
    <n v="1"/>
    <n v="0"/>
    <n v="0.18999820756407959"/>
    <n v="5579"/>
    <n v="0"/>
    <n v="5579"/>
    <x v="0"/>
    <s v="Village"/>
    <x v="0"/>
    <s v="Muslim"/>
    <n v="20.15736008"/>
    <n v="92.838653559999997"/>
    <n v="196211"/>
    <x v="0"/>
    <m/>
  </r>
  <r>
    <x v="0"/>
    <x v="6"/>
    <x v="6"/>
    <s v="DFID/HARP"/>
    <x v="1"/>
    <x v="10"/>
    <x v="0"/>
    <x v="134"/>
    <n v="427"/>
    <n v="2427"/>
    <d v="2017-10-01T00:00:00"/>
    <d v="2020-09-30T00:00:00"/>
    <m/>
    <n v="0"/>
    <m/>
    <n v="18"/>
    <m/>
    <m/>
    <m/>
    <m/>
    <m/>
    <n v="35"/>
    <x v="0"/>
    <m/>
    <m/>
    <m/>
    <m/>
    <m/>
    <m/>
    <n v="122"/>
    <n v="287"/>
    <n v="591"/>
    <n v="566"/>
    <m/>
    <m/>
    <m/>
    <m/>
    <n v="423"/>
    <m/>
    <m/>
    <n v="0.92"/>
    <m/>
    <m/>
    <m/>
    <m/>
    <n v="1"/>
    <n v="2427"/>
    <n v="0"/>
    <n v="0"/>
    <n v="1"/>
    <n v="2427"/>
    <n v="9.7080000000000002"/>
    <n v="0"/>
    <n v="0"/>
    <n v="0.29199999999999982"/>
    <n v="10"/>
    <n v="8.6526576019777507E-2"/>
    <n v="210"/>
    <n v="0"/>
    <n v="405"/>
    <n v="370"/>
    <n v="0.91347342398022247"/>
    <n v="1566"/>
    <n v="0"/>
    <n v="2427"/>
    <n v="1"/>
    <n v="0"/>
    <n v="0.64524103831891222"/>
    <n v="2427"/>
    <n v="0"/>
    <n v="2427"/>
    <x v="0"/>
    <s v="Village"/>
    <x v="0"/>
    <s v="Muslim"/>
    <n v="20.147863431600001"/>
    <n v="92.846768572000002"/>
    <n v="196209"/>
    <x v="0"/>
    <m/>
  </r>
  <r>
    <x v="0"/>
    <x v="3"/>
    <x v="3"/>
    <s v="BMZ"/>
    <x v="1"/>
    <x v="10"/>
    <x v="0"/>
    <x v="135"/>
    <n v="452"/>
    <n v="1901"/>
    <d v="2017-01-01T00:00:00"/>
    <d v="2021-12-21T00:00:00"/>
    <m/>
    <m/>
    <m/>
    <m/>
    <m/>
    <m/>
    <m/>
    <m/>
    <m/>
    <m/>
    <x v="3"/>
    <m/>
    <m/>
    <m/>
    <m/>
    <m/>
    <m/>
    <m/>
    <m/>
    <m/>
    <m/>
    <m/>
    <m/>
    <m/>
    <m/>
    <m/>
    <m/>
    <m/>
    <m/>
    <m/>
    <m/>
    <m/>
    <m/>
    <n v="0"/>
    <n v="0"/>
    <n v="0"/>
    <n v="0"/>
    <n v="0"/>
    <n v="0"/>
    <n v="0"/>
    <n v="1"/>
    <n v="1901"/>
    <n v="8"/>
    <n v="8"/>
    <n v="0"/>
    <n v="0"/>
    <n v="0"/>
    <n v="317"/>
    <n v="317"/>
    <n v="1"/>
    <n v="0"/>
    <n v="0"/>
    <n v="0"/>
    <n v="0"/>
    <n v="1"/>
    <n v="0"/>
    <n v="0"/>
    <n v="0"/>
    <n v="0"/>
    <x v="0"/>
    <s v="Village"/>
    <x v="0"/>
    <n v="0"/>
    <n v="20.760820389999999"/>
    <n v="92.960083010000005"/>
    <n v="196893"/>
    <x v="0"/>
    <m/>
  </r>
  <r>
    <x v="0"/>
    <x v="4"/>
    <x v="4"/>
    <s v="DFID/HARP"/>
    <x v="1"/>
    <x v="10"/>
    <x v="0"/>
    <x v="136"/>
    <n v="17"/>
    <n v="74"/>
    <d v="2017-10-01T00:00:00"/>
    <d v="2020-09-30T00:00:00"/>
    <m/>
    <n v="0"/>
    <m/>
    <m/>
    <m/>
    <m/>
    <m/>
    <m/>
    <m/>
    <m/>
    <x v="0"/>
    <m/>
    <m/>
    <m/>
    <m/>
    <m/>
    <m/>
    <m/>
    <m/>
    <m/>
    <m/>
    <m/>
    <m/>
    <m/>
    <m/>
    <m/>
    <m/>
    <m/>
    <m/>
    <m/>
    <m/>
    <m/>
    <m/>
    <n v="0"/>
    <n v="0"/>
    <n v="0"/>
    <n v="0"/>
    <n v="0"/>
    <n v="0"/>
    <n v="0"/>
    <n v="1"/>
    <n v="74"/>
    <n v="1"/>
    <n v="1"/>
    <n v="0"/>
    <n v="0"/>
    <n v="0"/>
    <n v="12"/>
    <n v="12"/>
    <n v="1"/>
    <n v="0"/>
    <n v="0"/>
    <n v="0"/>
    <n v="0"/>
    <n v="1"/>
    <n v="0"/>
    <n v="0"/>
    <n v="0"/>
    <n v="0"/>
    <x v="0"/>
    <s v="Village"/>
    <x v="0"/>
    <s v="Muslim"/>
    <n v="20.193460460000001"/>
    <n v="92.867782590000004"/>
    <n v="196147"/>
    <x v="0"/>
    <m/>
  </r>
  <r>
    <x v="0"/>
    <x v="7"/>
    <x v="7"/>
    <s v="ECHO, OFDA, CDC"/>
    <x v="1"/>
    <x v="8"/>
    <x v="0"/>
    <x v="137"/>
    <n v="400"/>
    <n v="2050"/>
    <d v="2019-03-01T00:00:00"/>
    <s v=" 02/28/2021"/>
    <m/>
    <n v="62"/>
    <n v="0"/>
    <n v="0"/>
    <n v="1"/>
    <m/>
    <m/>
    <m/>
    <m/>
    <m/>
    <x v="3"/>
    <m/>
    <m/>
    <m/>
    <m/>
    <m/>
    <s v="data  about PSN should be provide by CMA "/>
    <n v="417"/>
    <n v="463"/>
    <n v="614"/>
    <n v="556"/>
    <n v="0"/>
    <n v="0"/>
    <n v="0"/>
    <n v="0"/>
    <n v="2050"/>
    <n v="1019"/>
    <s v="HP session od SI targeted the all population od ANYv 2050"/>
    <s v="NA"/>
    <s v="NA"/>
    <n v="0"/>
    <m/>
    <n v="0"/>
    <n v="0"/>
    <n v="0"/>
    <n v="1"/>
    <n v="2050"/>
    <n v="1"/>
    <n v="2050"/>
    <n v="8.1999999999999993"/>
    <n v="0"/>
    <n v="0"/>
    <n v="0"/>
    <n v="8"/>
    <n v="0"/>
    <n v="0"/>
    <n v="0"/>
    <n v="342"/>
    <n v="342"/>
    <n v="1"/>
    <n v="2050"/>
    <n v="0"/>
    <n v="2050"/>
    <n v="1"/>
    <n v="0"/>
    <n v="1"/>
    <n v="2050"/>
    <n v="1019"/>
    <n v="2050"/>
    <x v="0"/>
    <s v="Village"/>
    <x v="0"/>
    <s v="Muslim"/>
    <n v="20.099340439999999"/>
    <n v="92.989143369999994"/>
    <n v="197558"/>
    <x v="0"/>
    <m/>
  </r>
  <r>
    <x v="0"/>
    <x v="1"/>
    <x v="1"/>
    <s v="BMZ"/>
    <x v="1"/>
    <x v="8"/>
    <x v="0"/>
    <x v="138"/>
    <n v="36"/>
    <n v="172"/>
    <d v="2018-09-16T00:00:00"/>
    <d v="2020-12-31T00:00:00"/>
    <n v="52"/>
    <m/>
    <m/>
    <m/>
    <n v="0"/>
    <m/>
    <n v="172"/>
    <n v="0"/>
    <m/>
    <n v="0"/>
    <x v="2"/>
    <n v="0"/>
    <n v="2"/>
    <m/>
    <m/>
    <m/>
    <m/>
    <m/>
    <m/>
    <m/>
    <m/>
    <m/>
    <m/>
    <m/>
    <m/>
    <m/>
    <m/>
    <m/>
    <m/>
    <m/>
    <m/>
    <m/>
    <m/>
    <n v="0"/>
    <n v="0"/>
    <n v="1"/>
    <n v="172"/>
    <n v="1"/>
    <n v="172"/>
    <n v="0.68799999999999994"/>
    <n v="0"/>
    <n v="0"/>
    <n v="0.31200000000000006"/>
    <n v="1"/>
    <n v="0"/>
    <n v="0"/>
    <n v="0"/>
    <n v="29"/>
    <n v="29"/>
    <n v="1"/>
    <n v="0"/>
    <n v="0"/>
    <n v="0"/>
    <n v="0"/>
    <n v="1"/>
    <n v="0"/>
    <n v="0"/>
    <n v="0"/>
    <n v="0"/>
    <x v="1"/>
    <s v="Village"/>
    <x v="0"/>
    <n v="0"/>
    <n v="20.005199432373001"/>
    <n v="92.948463439941406"/>
    <n v="197565"/>
    <x v="0"/>
    <m/>
  </r>
  <r>
    <x v="0"/>
    <x v="8"/>
    <x v="8"/>
    <s v="HQ"/>
    <x v="1"/>
    <x v="10"/>
    <x v="0"/>
    <x v="139"/>
    <n v="338"/>
    <n v="1520"/>
    <d v="2018-09-15T00:00:00"/>
    <d v="2020-02-28T00:00:00"/>
    <m/>
    <m/>
    <m/>
    <m/>
    <m/>
    <m/>
    <m/>
    <m/>
    <m/>
    <n v="53"/>
    <x v="0"/>
    <m/>
    <n v="21"/>
    <n v="21"/>
    <m/>
    <m/>
    <m/>
    <n v="310"/>
    <n v="358"/>
    <n v="441"/>
    <n v="411"/>
    <m/>
    <m/>
    <m/>
    <m/>
    <n v="338"/>
    <m/>
    <m/>
    <m/>
    <m/>
    <m/>
    <m/>
    <m/>
    <n v="0"/>
    <n v="0"/>
    <n v="0"/>
    <n v="0"/>
    <n v="0"/>
    <n v="0"/>
    <n v="0"/>
    <n v="1"/>
    <n v="1520"/>
    <n v="6"/>
    <n v="6"/>
    <n v="0.22302631578947368"/>
    <n v="339"/>
    <n v="0"/>
    <n v="253"/>
    <n v="200"/>
    <n v="0.77697368421052637"/>
    <n v="1520"/>
    <n v="0"/>
    <n v="1520"/>
    <n v="1"/>
    <n v="0"/>
    <n v="1"/>
    <n v="1520"/>
    <n v="0"/>
    <n v="1520"/>
    <x v="0"/>
    <s v="Village"/>
    <x v="0"/>
    <n v="0"/>
    <n v="20.199499130248999"/>
    <n v="92.834327697753906"/>
    <n v="196126"/>
    <x v="0"/>
    <m/>
  </r>
  <r>
    <x v="0"/>
    <x v="8"/>
    <x v="8"/>
    <s v="HQ"/>
    <x v="1"/>
    <x v="10"/>
    <x v="0"/>
    <x v="140"/>
    <n v="213"/>
    <n v="1156"/>
    <d v="2018-09-15T00:00:00"/>
    <d v="2020-02-28T00:00:00"/>
    <m/>
    <m/>
    <m/>
    <m/>
    <m/>
    <m/>
    <m/>
    <m/>
    <m/>
    <n v="50"/>
    <x v="0"/>
    <m/>
    <n v="13"/>
    <n v="13"/>
    <m/>
    <m/>
    <m/>
    <n v="239"/>
    <n v="281"/>
    <n v="310"/>
    <n v="335"/>
    <m/>
    <m/>
    <m/>
    <m/>
    <n v="213"/>
    <m/>
    <m/>
    <m/>
    <m/>
    <m/>
    <m/>
    <m/>
    <n v="0"/>
    <n v="0"/>
    <n v="0"/>
    <n v="0"/>
    <n v="0"/>
    <n v="0"/>
    <n v="0"/>
    <n v="1"/>
    <n v="1156"/>
    <n v="5"/>
    <n v="5"/>
    <n v="0.27076124567474047"/>
    <n v="313"/>
    <n v="0"/>
    <n v="193"/>
    <n v="143"/>
    <n v="0.72923875432525953"/>
    <n v="1156"/>
    <n v="0"/>
    <n v="1156"/>
    <n v="1"/>
    <n v="0"/>
    <n v="1"/>
    <n v="1156"/>
    <n v="0"/>
    <n v="1156"/>
    <x v="0"/>
    <s v="Village"/>
    <x v="0"/>
    <n v="0"/>
    <n v="20.194370269775401"/>
    <n v="92.834007263183594"/>
    <n v="196128"/>
    <x v="0"/>
    <m/>
  </r>
  <r>
    <x v="0"/>
    <x v="8"/>
    <x v="8"/>
    <s v="HQ"/>
    <x v="1"/>
    <x v="10"/>
    <x v="0"/>
    <x v="141"/>
    <n v="358"/>
    <n v="1931"/>
    <d v="2018-09-15T00:00:00"/>
    <d v="2020-02-28T00:00:00"/>
    <m/>
    <m/>
    <m/>
    <m/>
    <m/>
    <m/>
    <m/>
    <m/>
    <m/>
    <n v="33"/>
    <x v="0"/>
    <m/>
    <n v="5"/>
    <n v="5"/>
    <m/>
    <m/>
    <m/>
    <n v="390"/>
    <n v="464"/>
    <n v="551"/>
    <n v="526"/>
    <m/>
    <m/>
    <m/>
    <m/>
    <n v="358"/>
    <m/>
    <m/>
    <m/>
    <m/>
    <m/>
    <m/>
    <m/>
    <n v="0"/>
    <n v="0"/>
    <n v="0"/>
    <n v="0"/>
    <n v="0"/>
    <n v="0"/>
    <n v="0"/>
    <n v="1"/>
    <n v="1931"/>
    <n v="8"/>
    <n v="8"/>
    <n v="0.10512687726566546"/>
    <n v="203"/>
    <n v="0"/>
    <n v="322"/>
    <n v="289"/>
    <n v="0.8948731227343345"/>
    <n v="1931"/>
    <n v="0"/>
    <n v="1931"/>
    <n v="1"/>
    <n v="0"/>
    <n v="1"/>
    <n v="1931"/>
    <n v="0"/>
    <n v="1931"/>
    <x v="0"/>
    <s v="Village"/>
    <x v="0"/>
    <n v="0"/>
    <n v="20.183790210000002"/>
    <n v="92.864143369999994"/>
    <n v="196197"/>
    <x v="0"/>
    <m/>
  </r>
  <r>
    <x v="0"/>
    <x v="8"/>
    <x v="8"/>
    <s v="HQ"/>
    <x v="1"/>
    <x v="10"/>
    <x v="0"/>
    <x v="142"/>
    <n v="88"/>
    <n v="354"/>
    <d v="2018-09-15T00:00:00"/>
    <d v="2020-02-28T00:00:00"/>
    <m/>
    <m/>
    <m/>
    <m/>
    <m/>
    <m/>
    <m/>
    <m/>
    <m/>
    <n v="50"/>
    <x v="0"/>
    <m/>
    <n v="1"/>
    <n v="1"/>
    <m/>
    <m/>
    <m/>
    <n v="121"/>
    <n v="151"/>
    <n v="46"/>
    <n v="36"/>
    <m/>
    <m/>
    <m/>
    <m/>
    <n v="88"/>
    <m/>
    <m/>
    <m/>
    <m/>
    <m/>
    <m/>
    <m/>
    <n v="0"/>
    <n v="0"/>
    <n v="0"/>
    <n v="0"/>
    <n v="0"/>
    <n v="0"/>
    <n v="0"/>
    <n v="1"/>
    <n v="354"/>
    <n v="1"/>
    <n v="1"/>
    <n v="0.85028248587570621"/>
    <n v="301"/>
    <n v="0"/>
    <n v="59"/>
    <n v="9"/>
    <n v="0.14971751412429379"/>
    <n v="354"/>
    <n v="0"/>
    <n v="354"/>
    <n v="1"/>
    <n v="0"/>
    <n v="1"/>
    <n v="354"/>
    <n v="0"/>
    <n v="354"/>
    <x v="0"/>
    <s v="Village"/>
    <x v="0"/>
    <n v="0"/>
    <n v="0"/>
    <n v="0"/>
    <n v="0"/>
    <x v="0"/>
    <m/>
  </r>
  <r>
    <x v="0"/>
    <x v="8"/>
    <x v="8"/>
    <s v="HQ"/>
    <x v="1"/>
    <x v="10"/>
    <x v="0"/>
    <x v="143"/>
    <n v="164"/>
    <n v="812"/>
    <d v="2018-09-15T00:00:00"/>
    <d v="2020-02-28T00:00:00"/>
    <m/>
    <m/>
    <m/>
    <m/>
    <m/>
    <m/>
    <m/>
    <m/>
    <m/>
    <n v="20"/>
    <x v="0"/>
    <m/>
    <n v="4"/>
    <n v="4"/>
    <m/>
    <m/>
    <m/>
    <n v="277"/>
    <n v="319"/>
    <n v="99"/>
    <n v="117"/>
    <m/>
    <m/>
    <m/>
    <m/>
    <n v="164"/>
    <m/>
    <m/>
    <m/>
    <m/>
    <m/>
    <m/>
    <m/>
    <n v="0"/>
    <n v="0"/>
    <n v="0"/>
    <n v="0"/>
    <n v="0"/>
    <n v="0"/>
    <n v="0"/>
    <n v="1"/>
    <n v="812"/>
    <n v="3"/>
    <n v="3"/>
    <n v="0.15270935960591134"/>
    <n v="124"/>
    <n v="0"/>
    <n v="135"/>
    <n v="115"/>
    <n v="0.84729064039408863"/>
    <n v="812"/>
    <n v="0"/>
    <n v="812"/>
    <n v="1"/>
    <n v="0"/>
    <n v="1"/>
    <n v="812"/>
    <n v="0"/>
    <n v="812"/>
    <x v="0"/>
    <s v="Village"/>
    <x v="0"/>
    <s v="Rakhine"/>
    <n v="20.245159149999999"/>
    <n v="92.807418819999995"/>
    <n v="196137"/>
    <x v="0"/>
    <m/>
  </r>
  <r>
    <x v="0"/>
    <x v="9"/>
    <x v="9"/>
    <s v="GIZ"/>
    <x v="1"/>
    <x v="13"/>
    <x v="0"/>
    <x v="144"/>
    <n v="128"/>
    <n v="583"/>
    <d v="2019-07-01T00:00:00"/>
    <d v="2020-07-31T00:00:00"/>
    <n v="90"/>
    <m/>
    <m/>
    <m/>
    <n v="4"/>
    <m/>
    <m/>
    <m/>
    <m/>
    <n v="6"/>
    <x v="3"/>
    <n v="3"/>
    <n v="3"/>
    <m/>
    <m/>
    <m/>
    <m/>
    <n v="1"/>
    <n v="10"/>
    <m/>
    <m/>
    <m/>
    <m/>
    <n v="11"/>
    <m/>
    <m/>
    <m/>
    <m/>
    <m/>
    <m/>
    <m/>
    <m/>
    <m/>
    <n v="0"/>
    <n v="0"/>
    <n v="1"/>
    <n v="583"/>
    <n v="1"/>
    <n v="583"/>
    <n v="2.3319999999999999"/>
    <n v="0"/>
    <n v="0"/>
    <n v="0"/>
    <n v="2"/>
    <n v="6.1749571183533448E-2"/>
    <n v="36"/>
    <n v="150"/>
    <n v="97"/>
    <n v="91"/>
    <n v="0.93825042881646659"/>
    <n v="11"/>
    <n v="66"/>
    <n v="11"/>
    <n v="1.8867924528301886E-2"/>
    <n v="0.98113207547169812"/>
    <n v="1.8867924528301886E-2"/>
    <n v="0"/>
    <n v="0"/>
    <n v="0"/>
    <x v="1"/>
    <s v="Village"/>
    <x v="0"/>
    <s v="Rakhine"/>
    <n v="20.646560668945298"/>
    <n v="92.976043701171903"/>
    <n v="196937"/>
    <x v="0"/>
    <m/>
  </r>
  <r>
    <x v="0"/>
    <x v="9"/>
    <x v="9"/>
    <s v="GIZ"/>
    <x v="1"/>
    <x v="13"/>
    <x v="0"/>
    <x v="145"/>
    <n v="178"/>
    <n v="849"/>
    <d v="2019-07-01T00:00:00"/>
    <d v="2020-07-31T00:00:00"/>
    <n v="154"/>
    <m/>
    <m/>
    <m/>
    <m/>
    <m/>
    <n v="3"/>
    <m/>
    <m/>
    <n v="35"/>
    <x v="3"/>
    <n v="1"/>
    <n v="2"/>
    <m/>
    <m/>
    <m/>
    <m/>
    <m/>
    <n v="12"/>
    <m/>
    <m/>
    <m/>
    <m/>
    <n v="12"/>
    <m/>
    <m/>
    <m/>
    <m/>
    <m/>
    <m/>
    <m/>
    <m/>
    <m/>
    <n v="0"/>
    <n v="0"/>
    <n v="3.5335689045936395E-3"/>
    <n v="3"/>
    <n v="3.5335689045936395E-3"/>
    <n v="3"/>
    <n v="1.2E-2"/>
    <n v="0.99646643109540634"/>
    <n v="846"/>
    <n v="2.988"/>
    <n v="3"/>
    <n v="0.24734982332155478"/>
    <n v="210"/>
    <n v="50"/>
    <n v="142"/>
    <n v="107"/>
    <n v="0.75265017667844525"/>
    <n v="12"/>
    <n v="72"/>
    <n v="12"/>
    <n v="1.4134275618374558E-2"/>
    <n v="0.98586572438162545"/>
    <n v="1.4134275618374558E-2"/>
    <n v="0"/>
    <n v="0"/>
    <n v="0"/>
    <x v="1"/>
    <s v="Village"/>
    <x v="0"/>
    <n v="0"/>
    <n v="92.998542785644503"/>
    <n v="20.6563606262207"/>
    <n v="196940"/>
    <x v="0"/>
    <m/>
  </r>
  <r>
    <x v="0"/>
    <x v="9"/>
    <x v="9"/>
    <s v="GIZ"/>
    <x v="1"/>
    <x v="13"/>
    <x v="0"/>
    <x v="146"/>
    <n v="176"/>
    <n v="880"/>
    <d v="2019-07-01T00:00:00"/>
    <d v="2020-07-31T00:00:00"/>
    <n v="105"/>
    <m/>
    <m/>
    <m/>
    <m/>
    <m/>
    <n v="3"/>
    <m/>
    <m/>
    <n v="50"/>
    <x v="3"/>
    <n v="1"/>
    <n v="2"/>
    <m/>
    <m/>
    <m/>
    <m/>
    <m/>
    <n v="12"/>
    <m/>
    <m/>
    <m/>
    <m/>
    <n v="12"/>
    <m/>
    <m/>
    <m/>
    <m/>
    <m/>
    <m/>
    <m/>
    <m/>
    <m/>
    <n v="0"/>
    <n v="0"/>
    <n v="3.4090909090909089E-3"/>
    <n v="3"/>
    <n v="3.4090909090909089E-3"/>
    <n v="3"/>
    <n v="1.2E-2"/>
    <n v="0.99659090909090908"/>
    <n v="877"/>
    <n v="3.988"/>
    <n v="4"/>
    <n v="0.34090909090909088"/>
    <n v="300"/>
    <n v="50"/>
    <n v="147"/>
    <n v="97"/>
    <n v="0.65909090909090917"/>
    <n v="12"/>
    <n v="72"/>
    <n v="12"/>
    <n v="1.3636363636363636E-2"/>
    <n v="0.98636363636363633"/>
    <n v="1.3636363636363636E-2"/>
    <n v="0"/>
    <n v="0"/>
    <n v="0"/>
    <x v="1"/>
    <s v="Village"/>
    <x v="0"/>
    <n v="0"/>
    <n v="92.983703613281307"/>
    <n v="20.776130676269499"/>
    <n v="196962"/>
    <x v="0"/>
    <m/>
  </r>
  <r>
    <x v="0"/>
    <x v="9"/>
    <x v="9"/>
    <s v="GIZ"/>
    <x v="1"/>
    <x v="13"/>
    <x v="0"/>
    <x v="147"/>
    <n v="29"/>
    <n v="137"/>
    <d v="2019-07-01T00:00:00"/>
    <d v="2020-07-31T00:00:00"/>
    <n v="30"/>
    <m/>
    <m/>
    <m/>
    <n v="2"/>
    <m/>
    <n v="2"/>
    <m/>
    <m/>
    <n v="15"/>
    <x v="3"/>
    <m/>
    <m/>
    <m/>
    <m/>
    <m/>
    <m/>
    <m/>
    <n v="12"/>
    <m/>
    <m/>
    <m/>
    <m/>
    <n v="12"/>
    <m/>
    <m/>
    <m/>
    <m/>
    <m/>
    <m/>
    <m/>
    <m/>
    <m/>
    <n v="0"/>
    <n v="0"/>
    <n v="1"/>
    <n v="137"/>
    <n v="1"/>
    <n v="137"/>
    <n v="0.54800000000000004"/>
    <n v="0"/>
    <n v="0"/>
    <n v="0.45199999999999996"/>
    <n v="1"/>
    <n v="0.65693430656934304"/>
    <n v="90"/>
    <n v="0"/>
    <n v="23"/>
    <n v="8"/>
    <n v="0.34306569343065696"/>
    <n v="12"/>
    <n v="72"/>
    <n v="12"/>
    <n v="8.7591240875912413E-2"/>
    <n v="0.91240875912408759"/>
    <n v="8.7591240875912413E-2"/>
    <n v="0"/>
    <n v="0"/>
    <n v="0"/>
    <x v="1"/>
    <s v="Village"/>
    <x v="0"/>
    <n v="0"/>
    <n v="92.929412841796903"/>
    <n v="20.642980575561499"/>
    <n v="196919"/>
    <x v="0"/>
    <m/>
  </r>
  <r>
    <x v="0"/>
    <x v="9"/>
    <x v="9"/>
    <s v="GIZ"/>
    <x v="1"/>
    <x v="13"/>
    <x v="0"/>
    <x v="148"/>
    <n v="361"/>
    <n v="1669"/>
    <d v="2019-07-01T00:00:00"/>
    <d v="2020-07-31T00:00:00"/>
    <n v="512"/>
    <m/>
    <m/>
    <m/>
    <n v="4"/>
    <m/>
    <n v="5"/>
    <n v="1"/>
    <m/>
    <n v="210"/>
    <x v="3"/>
    <n v="4"/>
    <n v="6"/>
    <m/>
    <n v="1"/>
    <m/>
    <m/>
    <m/>
    <n v="12"/>
    <m/>
    <m/>
    <m/>
    <m/>
    <n v="12"/>
    <m/>
    <m/>
    <m/>
    <m/>
    <m/>
    <m/>
    <m/>
    <m/>
    <m/>
    <n v="0.14979029358897544"/>
    <n v="250"/>
    <n v="1"/>
    <n v="1669"/>
    <n v="1"/>
    <n v="1669"/>
    <n v="6.6760000000000002"/>
    <n v="0"/>
    <n v="0"/>
    <n v="0.32399999999999984"/>
    <n v="7"/>
    <n v="0.75494307968843621"/>
    <n v="1260"/>
    <n v="200"/>
    <n v="278"/>
    <n v="68"/>
    <n v="0.24505692031156379"/>
    <n v="12"/>
    <n v="72"/>
    <n v="12"/>
    <n v="7.1899340922708206E-3"/>
    <n v="0.99281006590772913"/>
    <n v="7.1899340922708206E-3"/>
    <n v="0"/>
    <n v="0"/>
    <n v="0"/>
    <x v="1"/>
    <s v="Village"/>
    <x v="0"/>
    <s v="Rakhine"/>
    <n v="20.705930710000001"/>
    <n v="93.001953130000004"/>
    <n v="196943"/>
    <x v="0"/>
    <m/>
  </r>
  <r>
    <x v="0"/>
    <x v="9"/>
    <x v="9"/>
    <s v="GIZ"/>
    <x v="1"/>
    <x v="13"/>
    <x v="0"/>
    <x v="149"/>
    <n v="86"/>
    <n v="404"/>
    <d v="2019-07-01T00:00:00"/>
    <d v="2020-07-31T00:00:00"/>
    <n v="55"/>
    <m/>
    <m/>
    <m/>
    <n v="3"/>
    <m/>
    <m/>
    <m/>
    <m/>
    <n v="35"/>
    <x v="3"/>
    <n v="2"/>
    <n v="4"/>
    <m/>
    <m/>
    <m/>
    <m/>
    <m/>
    <n v="12"/>
    <m/>
    <m/>
    <m/>
    <m/>
    <n v="9"/>
    <m/>
    <m/>
    <m/>
    <m/>
    <m/>
    <m/>
    <m/>
    <m/>
    <m/>
    <n v="0"/>
    <n v="0"/>
    <n v="1"/>
    <n v="404"/>
    <n v="1"/>
    <n v="404"/>
    <n v="1.6160000000000001"/>
    <n v="0"/>
    <n v="0"/>
    <n v="0.3839999999999999"/>
    <n v="2"/>
    <n v="0.51980198019801982"/>
    <n v="210"/>
    <n v="100"/>
    <n v="67"/>
    <n v="32"/>
    <n v="0.48019801980198018"/>
    <n v="12"/>
    <n v="54"/>
    <n v="12"/>
    <n v="2.9702970297029702E-2"/>
    <n v="0.97029702970297027"/>
    <n v="2.9702970297029702E-2"/>
    <n v="0"/>
    <n v="0"/>
    <n v="0"/>
    <x v="1"/>
    <s v="Village"/>
    <x v="0"/>
    <n v="0"/>
    <n v="20.640909189999999"/>
    <n v="92.979751590000006"/>
    <n v="196938"/>
    <x v="0"/>
    <m/>
  </r>
  <r>
    <x v="0"/>
    <x v="9"/>
    <x v="9"/>
    <s v="GIZ"/>
    <x v="1"/>
    <x v="13"/>
    <x v="0"/>
    <x v="150"/>
    <n v="181"/>
    <n v="833"/>
    <d v="2019-07-01T00:00:00"/>
    <d v="2020-07-31T00:00:00"/>
    <n v="195"/>
    <m/>
    <m/>
    <m/>
    <m/>
    <m/>
    <n v="4"/>
    <m/>
    <m/>
    <n v="75"/>
    <x v="3"/>
    <n v="1"/>
    <n v="4"/>
    <m/>
    <m/>
    <m/>
    <m/>
    <n v="1"/>
    <n v="11"/>
    <m/>
    <m/>
    <m/>
    <m/>
    <n v="11"/>
    <m/>
    <m/>
    <m/>
    <m/>
    <m/>
    <m/>
    <m/>
    <m/>
    <m/>
    <n v="0"/>
    <n v="0"/>
    <n v="4.8019207683073226E-3"/>
    <n v="3.9999999999999996"/>
    <n v="4.8019207683073226E-3"/>
    <n v="3.9999999999999996"/>
    <n v="1.5999999999999997E-2"/>
    <n v="0.99519807923169268"/>
    <n v="829"/>
    <n v="2.984"/>
    <n v="3"/>
    <n v="0.54021608643457386"/>
    <n v="450"/>
    <n v="50"/>
    <n v="139"/>
    <n v="64"/>
    <n v="0.45978391356542614"/>
    <n v="12"/>
    <n v="66"/>
    <n v="12"/>
    <n v="1.4405762304921969E-2"/>
    <n v="0.98559423769507803"/>
    <n v="1.4405762304921969E-2"/>
    <n v="0"/>
    <n v="0"/>
    <n v="0"/>
    <x v="1"/>
    <s v="Village"/>
    <x v="0"/>
    <n v="0"/>
    <n v="92.934356689453097"/>
    <n v="20.657760620117202"/>
    <n v="196925"/>
    <x v="0"/>
    <m/>
  </r>
  <r>
    <x v="0"/>
    <x v="9"/>
    <x v="9"/>
    <s v="GIZ"/>
    <x v="1"/>
    <x v="13"/>
    <x v="0"/>
    <x v="151"/>
    <n v="34"/>
    <n v="198"/>
    <d v="2019-07-01T00:00:00"/>
    <d v="2020-07-31T00:00:00"/>
    <n v="205"/>
    <m/>
    <m/>
    <m/>
    <n v="2"/>
    <m/>
    <n v="2"/>
    <m/>
    <m/>
    <n v="4"/>
    <x v="3"/>
    <n v="1"/>
    <m/>
    <m/>
    <m/>
    <m/>
    <m/>
    <m/>
    <n v="12"/>
    <m/>
    <m/>
    <m/>
    <m/>
    <n v="12"/>
    <m/>
    <m/>
    <m/>
    <m/>
    <m/>
    <m/>
    <m/>
    <m/>
    <m/>
    <n v="0"/>
    <n v="0"/>
    <n v="1"/>
    <n v="198"/>
    <n v="1"/>
    <n v="198"/>
    <n v="0.79200000000000004"/>
    <n v="0"/>
    <n v="0"/>
    <n v="0.20799999999999996"/>
    <n v="1"/>
    <n v="0.12121212121212122"/>
    <n v="24"/>
    <n v="50"/>
    <n v="33"/>
    <n v="29"/>
    <n v="0.87878787878787878"/>
    <n v="12"/>
    <n v="72"/>
    <n v="12"/>
    <n v="6.0606060606060608E-2"/>
    <n v="0.93939393939393945"/>
    <n v="6.0606060606060608E-2"/>
    <n v="0"/>
    <n v="0"/>
    <n v="0"/>
    <x v="1"/>
    <s v="Village"/>
    <x v="0"/>
    <n v="0"/>
    <n v="92.928596496582003"/>
    <n v="20.649574279785199"/>
    <n v="196920"/>
    <x v="0"/>
    <m/>
  </r>
  <r>
    <x v="0"/>
    <x v="9"/>
    <x v="9"/>
    <s v="GIZ"/>
    <x v="1"/>
    <x v="13"/>
    <x v="0"/>
    <x v="152"/>
    <n v="76"/>
    <n v="365"/>
    <d v="2019-07-01T00:00:00"/>
    <d v="2020-07-31T00:00:00"/>
    <n v="400"/>
    <m/>
    <m/>
    <m/>
    <n v="1"/>
    <m/>
    <m/>
    <m/>
    <m/>
    <n v="4"/>
    <x v="3"/>
    <m/>
    <n v="2"/>
    <m/>
    <m/>
    <m/>
    <m/>
    <m/>
    <n v="12"/>
    <m/>
    <m/>
    <m/>
    <m/>
    <n v="12"/>
    <m/>
    <m/>
    <m/>
    <m/>
    <m/>
    <m/>
    <m/>
    <m/>
    <m/>
    <n v="0"/>
    <n v="0"/>
    <n v="1"/>
    <n v="365"/>
    <n v="1"/>
    <n v="365"/>
    <n v="1.46"/>
    <n v="0"/>
    <n v="0"/>
    <n v="0"/>
    <n v="1"/>
    <n v="6.575342465753424E-2"/>
    <n v="23.999999999999996"/>
    <n v="0"/>
    <n v="61"/>
    <n v="57"/>
    <n v="0.9342465753424658"/>
    <n v="12"/>
    <n v="72"/>
    <n v="12"/>
    <n v="3.287671232876712E-2"/>
    <n v="0.9671232876712329"/>
    <n v="3.287671232876712E-2"/>
    <n v="0"/>
    <n v="0"/>
    <n v="0"/>
    <x v="1"/>
    <s v="Village"/>
    <x v="0"/>
    <n v="0"/>
    <n v="92.978729248046903"/>
    <n v="20.768480300903299"/>
    <n v="196960"/>
    <x v="0"/>
    <m/>
  </r>
  <r>
    <x v="0"/>
    <x v="9"/>
    <x v="9"/>
    <s v="GIZ"/>
    <x v="1"/>
    <x v="13"/>
    <x v="0"/>
    <x v="153"/>
    <n v="289"/>
    <n v="1331"/>
    <d v="2019-07-01T00:00:00"/>
    <d v="2020-07-31T00:00:00"/>
    <n v="100"/>
    <m/>
    <m/>
    <m/>
    <n v="1"/>
    <m/>
    <n v="4"/>
    <m/>
    <m/>
    <n v="51"/>
    <x v="3"/>
    <n v="2"/>
    <n v="10"/>
    <m/>
    <m/>
    <m/>
    <m/>
    <n v="1"/>
    <n v="10"/>
    <m/>
    <m/>
    <m/>
    <m/>
    <n v="10"/>
    <m/>
    <m/>
    <m/>
    <m/>
    <m/>
    <m/>
    <m/>
    <m/>
    <m/>
    <n v="0"/>
    <n v="0"/>
    <n v="1"/>
    <n v="1331"/>
    <n v="1"/>
    <n v="1331"/>
    <n v="5.3239999999999998"/>
    <n v="0"/>
    <n v="0"/>
    <n v="0"/>
    <n v="5"/>
    <n v="0.22990232907588279"/>
    <n v="306"/>
    <n v="100"/>
    <n v="222"/>
    <n v="171"/>
    <n v="0.77009767092411718"/>
    <n v="11"/>
    <n v="60"/>
    <n v="11"/>
    <n v="8.2644628099173556E-3"/>
    <n v="0.99173553719008267"/>
    <n v="8.2644628099173556E-3"/>
    <n v="0"/>
    <n v="0"/>
    <n v="0"/>
    <x v="1"/>
    <s v="Village"/>
    <x v="0"/>
    <n v="0"/>
    <n v="92.981712341308594"/>
    <n v="20.772109985351602"/>
    <n v="196959"/>
    <x v="0"/>
    <m/>
  </r>
  <r>
    <x v="0"/>
    <x v="9"/>
    <x v="9"/>
    <s v="GIZ"/>
    <x v="1"/>
    <x v="13"/>
    <x v="0"/>
    <x v="154"/>
    <n v="219"/>
    <n v="959"/>
    <d v="2019-07-01T00:00:00"/>
    <d v="2020-07-31T00:00:00"/>
    <n v="158"/>
    <m/>
    <m/>
    <m/>
    <n v="2"/>
    <m/>
    <n v="3"/>
    <m/>
    <m/>
    <n v="50"/>
    <x v="3"/>
    <n v="2"/>
    <n v="1"/>
    <m/>
    <m/>
    <m/>
    <m/>
    <m/>
    <n v="12"/>
    <m/>
    <m/>
    <m/>
    <m/>
    <n v="12"/>
    <m/>
    <m/>
    <m/>
    <m/>
    <m/>
    <m/>
    <m/>
    <m/>
    <m/>
    <n v="0"/>
    <n v="0"/>
    <n v="1"/>
    <n v="959"/>
    <n v="1"/>
    <n v="959"/>
    <n v="3.8359999999999999"/>
    <n v="0"/>
    <n v="0"/>
    <n v="0.16400000000000015"/>
    <n v="4"/>
    <n v="0.31282586027111575"/>
    <n v="300"/>
    <n v="100"/>
    <n v="160"/>
    <n v="110"/>
    <n v="0.68717413972888419"/>
    <n v="12"/>
    <n v="72"/>
    <n v="12"/>
    <n v="1.251303441084463E-2"/>
    <n v="0.98748696558915539"/>
    <n v="1.251303441084463E-2"/>
    <n v="0"/>
    <n v="0"/>
    <n v="0"/>
    <x v="1"/>
    <s v="Village"/>
    <x v="0"/>
    <n v="0"/>
    <n v="92.985267639160199"/>
    <n v="20.7800903320313"/>
    <n v="196963"/>
    <x v="0"/>
    <m/>
  </r>
  <r>
    <x v="0"/>
    <x v="9"/>
    <x v="9"/>
    <s v="GIZ"/>
    <x v="1"/>
    <x v="13"/>
    <x v="0"/>
    <x v="155"/>
    <n v="158"/>
    <n v="456"/>
    <d v="2019-07-01T00:00:00"/>
    <d v="2020-07-31T00:00:00"/>
    <n v="101"/>
    <m/>
    <m/>
    <m/>
    <n v="3"/>
    <m/>
    <n v="1"/>
    <n v="1"/>
    <m/>
    <n v="250"/>
    <x v="3"/>
    <n v="1"/>
    <m/>
    <m/>
    <n v="1"/>
    <m/>
    <m/>
    <n v="7"/>
    <n v="18"/>
    <m/>
    <m/>
    <m/>
    <m/>
    <n v="25"/>
    <m/>
    <m/>
    <m/>
    <m/>
    <m/>
    <m/>
    <m/>
    <m/>
    <m/>
    <n v="0.54824561403508776"/>
    <n v="250.00000000000003"/>
    <n v="1"/>
    <n v="456"/>
    <n v="1"/>
    <n v="456"/>
    <n v="1.8240000000000001"/>
    <n v="0"/>
    <n v="0"/>
    <n v="0.17599999999999993"/>
    <n v="2"/>
    <n v="1"/>
    <n v="456"/>
    <n v="50"/>
    <n v="76"/>
    <n v="0"/>
    <n v="0"/>
    <n v="25"/>
    <n v="150"/>
    <n v="25"/>
    <n v="5.4824561403508769E-2"/>
    <n v="0.94517543859649122"/>
    <n v="5.4824561403508769E-2"/>
    <n v="0"/>
    <n v="0"/>
    <n v="0"/>
    <x v="1"/>
    <s v="Village"/>
    <x v="0"/>
    <n v="0"/>
    <n v="0"/>
    <n v="0"/>
    <n v="196948"/>
    <x v="0"/>
    <m/>
  </r>
  <r>
    <x v="0"/>
    <x v="9"/>
    <x v="9"/>
    <s v="GIZ"/>
    <x v="1"/>
    <x v="13"/>
    <x v="0"/>
    <x v="156"/>
    <n v="140"/>
    <n v="740"/>
    <d v="2019-07-01T00:00:00"/>
    <d v="2020-07-31T00:00:00"/>
    <n v="103"/>
    <m/>
    <m/>
    <m/>
    <n v="1"/>
    <m/>
    <n v="3"/>
    <n v="1"/>
    <m/>
    <n v="30"/>
    <x v="3"/>
    <n v="4"/>
    <n v="1"/>
    <m/>
    <m/>
    <m/>
    <m/>
    <n v="2"/>
    <n v="23"/>
    <m/>
    <m/>
    <m/>
    <m/>
    <n v="25"/>
    <m/>
    <m/>
    <m/>
    <m/>
    <m/>
    <m/>
    <m/>
    <m/>
    <m/>
    <n v="0.33783783783783783"/>
    <n v="250"/>
    <n v="1"/>
    <n v="740"/>
    <n v="1"/>
    <n v="740"/>
    <n v="2.96"/>
    <n v="0"/>
    <n v="0"/>
    <n v="4.0000000000000036E-2"/>
    <n v="3"/>
    <n v="0.24324324324324326"/>
    <n v="180"/>
    <n v="200"/>
    <n v="123"/>
    <n v="93"/>
    <n v="0.7567567567567568"/>
    <n v="25"/>
    <n v="150"/>
    <n v="25"/>
    <n v="3.3783783783783786E-2"/>
    <n v="0.96621621621621623"/>
    <n v="3.3783783783783786E-2"/>
    <n v="0"/>
    <n v="0"/>
    <n v="0"/>
    <x v="1"/>
    <s v="Village"/>
    <x v="0"/>
    <n v="0"/>
    <n v="0"/>
    <n v="0"/>
    <n v="0"/>
    <x v="0"/>
    <m/>
  </r>
  <r>
    <x v="0"/>
    <x v="9"/>
    <x v="9"/>
    <s v="GIZ"/>
    <x v="1"/>
    <x v="13"/>
    <x v="0"/>
    <x v="157"/>
    <n v="62"/>
    <n v="142"/>
    <d v="2019-07-01T00:00:00"/>
    <d v="2020-07-31T00:00:00"/>
    <n v="30"/>
    <m/>
    <m/>
    <m/>
    <n v="1"/>
    <m/>
    <n v="2"/>
    <m/>
    <m/>
    <n v="5"/>
    <x v="3"/>
    <n v="2"/>
    <n v="1"/>
    <m/>
    <m/>
    <m/>
    <m/>
    <n v="7"/>
    <n v="16"/>
    <m/>
    <m/>
    <m/>
    <m/>
    <n v="23"/>
    <m/>
    <m/>
    <m/>
    <m/>
    <m/>
    <m/>
    <m/>
    <m/>
    <m/>
    <n v="0"/>
    <n v="0"/>
    <n v="1"/>
    <n v="142"/>
    <n v="1"/>
    <n v="142"/>
    <n v="0.56799999999999995"/>
    <n v="0"/>
    <n v="0"/>
    <n v="0.43200000000000005"/>
    <n v="1"/>
    <n v="0.21126760563380281"/>
    <n v="30"/>
    <n v="100"/>
    <n v="24"/>
    <n v="19"/>
    <n v="0.78873239436619724"/>
    <n v="23"/>
    <n v="138"/>
    <n v="23"/>
    <n v="0.1619718309859155"/>
    <n v="0.8380281690140845"/>
    <n v="0.1619718309859155"/>
    <n v="0"/>
    <n v="0"/>
    <n v="0"/>
    <x v="1"/>
    <s v="Village"/>
    <x v="0"/>
    <n v="0"/>
    <n v="20.7489204406738"/>
    <n v="92.958816528320298"/>
    <n v="196894"/>
    <x v="0"/>
    <m/>
  </r>
  <r>
    <x v="0"/>
    <x v="9"/>
    <x v="9"/>
    <s v="GIZ"/>
    <x v="1"/>
    <x v="13"/>
    <x v="0"/>
    <x v="158"/>
    <n v="103"/>
    <n v="449"/>
    <d v="2019-07-01T00:00:00"/>
    <d v="2020-07-31T00:00:00"/>
    <n v="53"/>
    <m/>
    <m/>
    <n v="8"/>
    <n v="1"/>
    <m/>
    <n v="4"/>
    <m/>
    <m/>
    <n v="96"/>
    <x v="3"/>
    <n v="2"/>
    <n v="6"/>
    <m/>
    <m/>
    <m/>
    <m/>
    <n v="0"/>
    <n v="25"/>
    <m/>
    <m/>
    <m/>
    <m/>
    <n v="25"/>
    <m/>
    <m/>
    <m/>
    <m/>
    <m/>
    <m/>
    <m/>
    <m/>
    <m/>
    <n v="1"/>
    <n v="449"/>
    <n v="1"/>
    <n v="449"/>
    <n v="1"/>
    <n v="449"/>
    <n v="1.796"/>
    <n v="0"/>
    <n v="0"/>
    <n v="0.20399999999999996"/>
    <n v="2"/>
    <n v="1"/>
    <n v="449"/>
    <n v="100"/>
    <n v="75"/>
    <n v="0"/>
    <n v="0"/>
    <n v="25"/>
    <n v="150"/>
    <n v="25"/>
    <n v="5.5679287305122498E-2"/>
    <n v="0.9443207126948775"/>
    <n v="5.5679287305122498E-2"/>
    <n v="0"/>
    <n v="0"/>
    <n v="0"/>
    <x v="1"/>
    <s v="Village"/>
    <x v="0"/>
    <s v="Mro"/>
    <n v="20.720500950000002"/>
    <n v="92.937339780000002"/>
    <n v="196950"/>
    <x v="0"/>
    <m/>
  </r>
  <r>
    <x v="0"/>
    <x v="9"/>
    <x v="9"/>
    <s v="GIZ"/>
    <x v="1"/>
    <x v="13"/>
    <x v="0"/>
    <x v="159"/>
    <n v="26"/>
    <n v="98"/>
    <d v="2019-07-01T00:00:00"/>
    <d v="2020-07-31T00:00:00"/>
    <n v="30"/>
    <m/>
    <m/>
    <m/>
    <m/>
    <m/>
    <m/>
    <m/>
    <m/>
    <m/>
    <x v="0"/>
    <m/>
    <m/>
    <m/>
    <m/>
    <m/>
    <m/>
    <n v="5"/>
    <n v="20"/>
    <m/>
    <m/>
    <m/>
    <m/>
    <m/>
    <m/>
    <m/>
    <m/>
    <m/>
    <m/>
    <m/>
    <m/>
    <m/>
    <m/>
    <n v="0"/>
    <n v="0"/>
    <n v="0"/>
    <n v="0"/>
    <n v="0"/>
    <n v="0"/>
    <n v="0"/>
    <n v="1"/>
    <n v="98"/>
    <n v="1"/>
    <n v="1"/>
    <n v="0"/>
    <n v="0"/>
    <n v="0"/>
    <n v="16"/>
    <n v="16"/>
    <n v="1"/>
    <n v="25"/>
    <n v="0"/>
    <n v="25"/>
    <n v="0.25510204081632654"/>
    <n v="0.74489795918367352"/>
    <n v="0.25510204081632654"/>
    <n v="0"/>
    <n v="0"/>
    <n v="0"/>
    <x v="1"/>
    <s v="Village"/>
    <x v="0"/>
    <n v="0"/>
    <n v="0"/>
    <n v="0"/>
    <n v="0"/>
    <x v="0"/>
    <m/>
  </r>
  <r>
    <x v="0"/>
    <x v="9"/>
    <x v="9"/>
    <s v="GIZ"/>
    <x v="1"/>
    <x v="10"/>
    <x v="0"/>
    <x v="160"/>
    <n v="389"/>
    <n v="1790"/>
    <d v="2019-08-01T00:00:00"/>
    <d v="2020-07-31T00:00:00"/>
    <n v="350"/>
    <m/>
    <m/>
    <n v="230"/>
    <n v="0"/>
    <m/>
    <m/>
    <n v="0"/>
    <m/>
    <n v="80"/>
    <x v="2"/>
    <n v="0"/>
    <n v="20"/>
    <m/>
    <m/>
    <m/>
    <m/>
    <m/>
    <n v="50"/>
    <m/>
    <m/>
    <m/>
    <m/>
    <n v="45"/>
    <m/>
    <m/>
    <m/>
    <m/>
    <m/>
    <m/>
    <m/>
    <m/>
    <m/>
    <n v="1"/>
    <n v="1790"/>
    <n v="0"/>
    <n v="0"/>
    <n v="1"/>
    <n v="1790"/>
    <n v="7.16"/>
    <n v="0"/>
    <n v="0"/>
    <n v="0"/>
    <n v="7"/>
    <n v="0.26815642458100558"/>
    <n v="480"/>
    <n v="0"/>
    <n v="298"/>
    <n v="218"/>
    <n v="0.73184357541899447"/>
    <n v="50"/>
    <n v="270"/>
    <n v="50"/>
    <n v="2.7932960893854747E-2"/>
    <n v="0.97206703910614523"/>
    <n v="2.7932960893854747E-2"/>
    <n v="0"/>
    <n v="0"/>
    <n v="0"/>
    <x v="1"/>
    <s v="Village"/>
    <x v="0"/>
    <s v="Muslim"/>
    <n v="20.235199999999999"/>
    <n v="92.805000000000007"/>
    <n v="196143"/>
    <x v="0"/>
    <m/>
  </r>
  <r>
    <x v="0"/>
    <x v="9"/>
    <x v="9"/>
    <s v="GIZ"/>
    <x v="1"/>
    <x v="10"/>
    <x v="0"/>
    <x v="161"/>
    <n v="410"/>
    <n v="2100"/>
    <d v="2019-08-01T00:00:00"/>
    <d v="2020-07-31T00:00:00"/>
    <n v="200"/>
    <m/>
    <n v="10"/>
    <n v="50"/>
    <m/>
    <m/>
    <m/>
    <n v="1"/>
    <m/>
    <n v="280"/>
    <x v="2"/>
    <n v="5"/>
    <n v="9"/>
    <m/>
    <m/>
    <m/>
    <m/>
    <m/>
    <n v="50"/>
    <m/>
    <m/>
    <m/>
    <m/>
    <n v="50"/>
    <m/>
    <m/>
    <m/>
    <m/>
    <m/>
    <m/>
    <m/>
    <m/>
    <m/>
    <n v="1"/>
    <n v="2100"/>
    <n v="0"/>
    <n v="0"/>
    <n v="1"/>
    <n v="2100"/>
    <n v="8.4"/>
    <n v="0"/>
    <n v="0"/>
    <n v="0"/>
    <n v="8"/>
    <n v="0.8"/>
    <n v="1680"/>
    <n v="250"/>
    <n v="350"/>
    <n v="70"/>
    <n v="0.19999999999999996"/>
    <n v="50"/>
    <n v="300"/>
    <n v="50"/>
    <n v="2.3809523809523808E-2"/>
    <n v="0.97619047619047616"/>
    <n v="2.3809523809523808E-2"/>
    <n v="0"/>
    <n v="0"/>
    <n v="0"/>
    <x v="1"/>
    <s v="Village"/>
    <x v="0"/>
    <n v="0"/>
    <n v="20.2351894378662"/>
    <n v="92.790191650390597"/>
    <n v="196138"/>
    <x v="0"/>
    <m/>
  </r>
  <r>
    <x v="0"/>
    <x v="9"/>
    <x v="9"/>
    <s v="GIZ"/>
    <x v="1"/>
    <x v="10"/>
    <x v="0"/>
    <x v="162"/>
    <n v="187"/>
    <n v="913"/>
    <d v="2019-08-01T00:00:00"/>
    <d v="2020-07-31T00:00:00"/>
    <n v="110"/>
    <m/>
    <n v="7"/>
    <n v="10"/>
    <n v="0"/>
    <m/>
    <m/>
    <m/>
    <m/>
    <n v="12"/>
    <x v="2"/>
    <n v="0"/>
    <n v="14"/>
    <m/>
    <m/>
    <m/>
    <m/>
    <m/>
    <n v="50"/>
    <m/>
    <m/>
    <m/>
    <m/>
    <n v="50"/>
    <m/>
    <m/>
    <m/>
    <m/>
    <m/>
    <m/>
    <m/>
    <m/>
    <m/>
    <n v="1"/>
    <n v="913"/>
    <n v="0"/>
    <n v="0"/>
    <n v="1"/>
    <n v="913"/>
    <n v="3.6520000000000001"/>
    <n v="0"/>
    <n v="0"/>
    <n v="0.34799999999999986"/>
    <n v="4"/>
    <n v="7.8860898138006577E-2"/>
    <n v="72"/>
    <n v="0"/>
    <n v="152"/>
    <n v="140"/>
    <n v="0.92113910186199344"/>
    <n v="50"/>
    <n v="300"/>
    <n v="50"/>
    <n v="5.4764512595837894E-2"/>
    <n v="0.94523548740416208"/>
    <n v="5.4764512595837894E-2"/>
    <n v="0"/>
    <n v="0"/>
    <n v="0"/>
    <x v="1"/>
    <s v="Village"/>
    <x v="0"/>
    <n v="0"/>
    <n v="0"/>
    <n v="0"/>
    <n v="0"/>
    <x v="0"/>
    <m/>
  </r>
  <r>
    <x v="0"/>
    <x v="9"/>
    <x v="9"/>
    <s v="GIZ"/>
    <x v="1"/>
    <x v="10"/>
    <x v="0"/>
    <x v="163"/>
    <n v="164"/>
    <n v="1172"/>
    <d v="2019-08-01T00:00:00"/>
    <d v="2020-07-31T00:00:00"/>
    <n v="50"/>
    <m/>
    <n v="2"/>
    <n v="70"/>
    <n v="0"/>
    <m/>
    <n v="0"/>
    <n v="0"/>
    <m/>
    <n v="20"/>
    <x v="2"/>
    <m/>
    <n v="10"/>
    <m/>
    <m/>
    <m/>
    <m/>
    <m/>
    <n v="50"/>
    <m/>
    <m/>
    <m/>
    <m/>
    <n v="50"/>
    <m/>
    <m/>
    <m/>
    <m/>
    <m/>
    <m/>
    <m/>
    <m/>
    <m/>
    <n v="1"/>
    <n v="1172"/>
    <n v="0"/>
    <n v="0"/>
    <n v="1"/>
    <n v="1172"/>
    <n v="4.6879999999999997"/>
    <n v="0"/>
    <n v="0"/>
    <n v="0.31200000000000028"/>
    <n v="5"/>
    <n v="0.10238907849829351"/>
    <n v="120"/>
    <n v="0"/>
    <n v="195"/>
    <n v="175"/>
    <n v="0.89761092150170652"/>
    <n v="50"/>
    <n v="300"/>
    <n v="50"/>
    <n v="4.2662116040955635E-2"/>
    <n v="0.9573378839590444"/>
    <n v="4.2662116040955635E-2"/>
    <n v="0"/>
    <n v="0"/>
    <n v="0"/>
    <x v="1"/>
    <s v="Village"/>
    <x v="0"/>
    <n v="0"/>
    <n v="0"/>
    <n v="0"/>
    <n v="0"/>
    <x v="0"/>
    <m/>
  </r>
  <r>
    <x v="0"/>
    <x v="9"/>
    <x v="9"/>
    <s v="GIZ"/>
    <x v="1"/>
    <x v="10"/>
    <x v="0"/>
    <x v="164"/>
    <n v="126"/>
    <n v="636"/>
    <d v="2019-08-01T00:00:00"/>
    <d v="2020-07-31T00:00:00"/>
    <n v="136"/>
    <m/>
    <m/>
    <n v="23"/>
    <n v="0"/>
    <m/>
    <m/>
    <m/>
    <m/>
    <n v="10"/>
    <x v="2"/>
    <n v="0"/>
    <n v="15"/>
    <m/>
    <m/>
    <m/>
    <m/>
    <m/>
    <n v="50"/>
    <m/>
    <m/>
    <m/>
    <m/>
    <n v="48"/>
    <m/>
    <m/>
    <m/>
    <m/>
    <m/>
    <m/>
    <m/>
    <m/>
    <m/>
    <n v="1"/>
    <n v="636"/>
    <n v="0"/>
    <n v="0"/>
    <n v="1"/>
    <n v="636"/>
    <n v="2.544"/>
    <n v="0"/>
    <n v="0"/>
    <n v="0.45599999999999996"/>
    <n v="3"/>
    <n v="9.4339622641509441E-2"/>
    <n v="60.000000000000007"/>
    <n v="0"/>
    <n v="106"/>
    <n v="96"/>
    <n v="0.90566037735849059"/>
    <n v="50"/>
    <n v="288"/>
    <n v="50"/>
    <n v="7.8616352201257858E-2"/>
    <n v="0.92138364779874216"/>
    <n v="7.8616352201257858E-2"/>
    <n v="0"/>
    <n v="0"/>
    <n v="0"/>
    <x v="1"/>
    <s v="Village"/>
    <x v="0"/>
    <n v="0"/>
    <n v="0"/>
    <n v="0"/>
    <n v="0"/>
    <x v="0"/>
    <m/>
  </r>
  <r>
    <x v="0"/>
    <x v="9"/>
    <x v="9"/>
    <s v="GIZ"/>
    <x v="1"/>
    <x v="10"/>
    <x v="0"/>
    <x v="165"/>
    <n v="240"/>
    <n v="1150"/>
    <d v="2019-08-01T00:00:00"/>
    <d v="2020-07-31T00:00:00"/>
    <n v="320"/>
    <m/>
    <n v="10"/>
    <n v="40"/>
    <n v="0"/>
    <m/>
    <n v="0"/>
    <n v="0"/>
    <m/>
    <n v="100"/>
    <x v="2"/>
    <n v="6"/>
    <n v="15"/>
    <m/>
    <m/>
    <m/>
    <m/>
    <m/>
    <n v="50"/>
    <m/>
    <m/>
    <m/>
    <m/>
    <n v="46"/>
    <m/>
    <m/>
    <m/>
    <m/>
    <m/>
    <m/>
    <m/>
    <m/>
    <m/>
    <n v="1"/>
    <n v="1150"/>
    <n v="0"/>
    <n v="0"/>
    <n v="1"/>
    <n v="1150"/>
    <n v="4.5999999999999996"/>
    <n v="0"/>
    <n v="0"/>
    <n v="0.40000000000000036"/>
    <n v="5"/>
    <n v="0.52173913043478259"/>
    <n v="600"/>
    <n v="300"/>
    <n v="192"/>
    <n v="92"/>
    <n v="0.47826086956521741"/>
    <n v="50"/>
    <n v="276"/>
    <n v="50"/>
    <n v="4.3478260869565216E-2"/>
    <n v="0.95652173913043481"/>
    <n v="4.3478260869565216E-2"/>
    <n v="0"/>
    <n v="0"/>
    <n v="0"/>
    <x v="1"/>
    <s v="Village"/>
    <x v="0"/>
    <s v="Muslim"/>
    <n v="20.212700000000002"/>
    <n v="92.820800000000006"/>
    <n v="196144"/>
    <x v="0"/>
    <m/>
  </r>
  <r>
    <x v="0"/>
    <x v="9"/>
    <x v="9"/>
    <s v="GIZ"/>
    <x v="1"/>
    <x v="10"/>
    <x v="0"/>
    <x v="166"/>
    <n v="430"/>
    <n v="1530"/>
    <d v="2019-08-01T00:00:00"/>
    <d v="2020-07-31T00:00:00"/>
    <n v="480"/>
    <m/>
    <n v="30"/>
    <n v="124"/>
    <n v="0"/>
    <m/>
    <m/>
    <n v="1"/>
    <m/>
    <n v="130"/>
    <x v="2"/>
    <n v="6"/>
    <n v="2"/>
    <m/>
    <m/>
    <m/>
    <m/>
    <m/>
    <n v="50"/>
    <m/>
    <m/>
    <m/>
    <m/>
    <n v="42"/>
    <m/>
    <m/>
    <m/>
    <m/>
    <m/>
    <m/>
    <m/>
    <m/>
    <m/>
    <n v="1"/>
    <n v="1530"/>
    <n v="0"/>
    <n v="0"/>
    <n v="1"/>
    <n v="1530"/>
    <n v="6.12"/>
    <n v="0"/>
    <n v="0"/>
    <n v="0"/>
    <n v="6"/>
    <n v="0.50980392156862742"/>
    <n v="780"/>
    <n v="300"/>
    <n v="255"/>
    <n v="125"/>
    <n v="0.49019607843137258"/>
    <n v="50"/>
    <n v="252"/>
    <n v="50"/>
    <n v="3.2679738562091505E-2"/>
    <n v="0.9673202614379085"/>
    <n v="3.2679738562091505E-2"/>
    <n v="0"/>
    <n v="0"/>
    <n v="0"/>
    <x v="1"/>
    <s v="Village"/>
    <x v="0"/>
    <s v="Muslim"/>
    <n v="20.219509120000001"/>
    <n v="92.811332699999994"/>
    <n v="196145"/>
    <x v="0"/>
    <m/>
  </r>
  <r>
    <x v="0"/>
    <x v="9"/>
    <x v="9"/>
    <s v="GIZ"/>
    <x v="1"/>
    <x v="10"/>
    <x v="0"/>
    <x v="167"/>
    <n v="150"/>
    <n v="590"/>
    <d v="2019-08-01T00:00:00"/>
    <d v="2020-07-31T00:00:00"/>
    <n v="112"/>
    <m/>
    <n v="4"/>
    <n v="20"/>
    <n v="0"/>
    <m/>
    <n v="0"/>
    <n v="1"/>
    <m/>
    <n v="10"/>
    <x v="2"/>
    <n v="2"/>
    <n v="0"/>
    <m/>
    <m/>
    <m/>
    <m/>
    <m/>
    <n v="50"/>
    <m/>
    <m/>
    <m/>
    <m/>
    <n v="43"/>
    <m/>
    <m/>
    <m/>
    <m/>
    <m/>
    <m/>
    <m/>
    <m/>
    <m/>
    <n v="1"/>
    <n v="590"/>
    <n v="0"/>
    <n v="0"/>
    <n v="1"/>
    <n v="590"/>
    <n v="2.36"/>
    <n v="0"/>
    <n v="0"/>
    <n v="0"/>
    <n v="2"/>
    <n v="0.10169491525423729"/>
    <n v="60.000000000000007"/>
    <n v="100"/>
    <n v="98"/>
    <n v="88"/>
    <n v="0.89830508474576276"/>
    <n v="50"/>
    <n v="258"/>
    <n v="50"/>
    <n v="8.4745762711864403E-2"/>
    <n v="0.9152542372881356"/>
    <n v="8.4745762711864403E-2"/>
    <n v="0"/>
    <n v="0"/>
    <n v="0"/>
    <x v="1"/>
    <s v="Village"/>
    <x v="0"/>
    <s v="Rakhine"/>
    <n v="20.2199096679688"/>
    <n v="92.7716064453125"/>
    <n v="196141"/>
    <x v="0"/>
    <m/>
  </r>
  <r>
    <x v="0"/>
    <x v="9"/>
    <x v="9"/>
    <s v="GIZ"/>
    <x v="1"/>
    <x v="10"/>
    <x v="0"/>
    <x v="168"/>
    <n v="289"/>
    <n v="3400"/>
    <d v="2019-08-01T00:00:00"/>
    <d v="2020-07-31T00:00:00"/>
    <n v="287"/>
    <m/>
    <n v="0"/>
    <n v="200"/>
    <n v="0"/>
    <m/>
    <n v="0"/>
    <n v="0"/>
    <m/>
    <n v="50"/>
    <x v="2"/>
    <n v="3"/>
    <n v="6"/>
    <m/>
    <m/>
    <m/>
    <m/>
    <m/>
    <n v="50"/>
    <m/>
    <m/>
    <m/>
    <m/>
    <n v="44"/>
    <m/>
    <m/>
    <m/>
    <m/>
    <m/>
    <m/>
    <m/>
    <m/>
    <m/>
    <n v="1"/>
    <n v="3400"/>
    <n v="0"/>
    <n v="0"/>
    <n v="1"/>
    <n v="3400"/>
    <n v="13.6"/>
    <n v="0"/>
    <n v="0"/>
    <n v="0.40000000000000036"/>
    <n v="14"/>
    <n v="8.8235294117647065E-2"/>
    <n v="300"/>
    <n v="150"/>
    <n v="567"/>
    <n v="517"/>
    <n v="0.91176470588235292"/>
    <n v="50"/>
    <n v="264"/>
    <n v="50"/>
    <n v="1.4705882352941176E-2"/>
    <n v="0.98529411764705888"/>
    <n v="1.4705882352941176E-2"/>
    <n v="0"/>
    <n v="0"/>
    <n v="0"/>
    <x v="1"/>
    <s v="Village"/>
    <x v="0"/>
    <s v="Muslim"/>
    <n v="20.208799362182599"/>
    <n v="92.794113159179702"/>
    <n v="196142"/>
    <x v="0"/>
    <m/>
  </r>
  <r>
    <x v="0"/>
    <x v="1"/>
    <x v="1"/>
    <s v="BMZ"/>
    <x v="1"/>
    <x v="8"/>
    <x v="0"/>
    <x v="169"/>
    <n v="106"/>
    <n v="469"/>
    <d v="2018-09-16T00:00:00"/>
    <d v="2020-12-31T00:00:00"/>
    <n v="189"/>
    <m/>
    <m/>
    <m/>
    <n v="0"/>
    <m/>
    <n v="469"/>
    <n v="1"/>
    <m/>
    <n v="30"/>
    <x v="1"/>
    <n v="14"/>
    <n v="9"/>
    <m/>
    <m/>
    <m/>
    <m/>
    <m/>
    <m/>
    <m/>
    <m/>
    <m/>
    <m/>
    <m/>
    <m/>
    <m/>
    <m/>
    <m/>
    <m/>
    <m/>
    <m/>
    <m/>
    <m/>
    <n v="0.53304904051172708"/>
    <n v="250"/>
    <n v="1"/>
    <n v="469"/>
    <n v="1"/>
    <n v="469"/>
    <n v="1.8759999999999999"/>
    <n v="0"/>
    <n v="0"/>
    <n v="0.12400000000000011"/>
    <n v="2"/>
    <n v="0.38379530916844351"/>
    <n v="180"/>
    <n v="700"/>
    <n v="78"/>
    <n v="48"/>
    <n v="0.61620469083155649"/>
    <n v="0"/>
    <n v="0"/>
    <n v="0"/>
    <n v="0"/>
    <n v="1"/>
    <n v="0"/>
    <n v="0"/>
    <n v="0"/>
    <n v="0"/>
    <x v="1"/>
    <s v="Village"/>
    <x v="0"/>
    <n v="0"/>
    <n v="92.994781494140597"/>
    <n v="19.9693508148193"/>
    <n v="197541"/>
    <x v="0"/>
    <m/>
  </r>
  <r>
    <x v="0"/>
    <x v="1"/>
    <x v="1"/>
    <s v="BMZ"/>
    <x v="1"/>
    <x v="8"/>
    <x v="0"/>
    <x v="170"/>
    <n v="37"/>
    <n v="207"/>
    <d v="2018-09-16T00:00:00"/>
    <d v="2020-12-31T00:00:00"/>
    <n v="33"/>
    <m/>
    <m/>
    <m/>
    <n v="1"/>
    <m/>
    <n v="207"/>
    <n v="0"/>
    <m/>
    <n v="0"/>
    <x v="1"/>
    <n v="2"/>
    <n v="3"/>
    <m/>
    <m/>
    <m/>
    <m/>
    <m/>
    <m/>
    <m/>
    <m/>
    <m/>
    <m/>
    <m/>
    <m/>
    <m/>
    <m/>
    <m/>
    <m/>
    <m/>
    <m/>
    <m/>
    <m/>
    <n v="0"/>
    <n v="0"/>
    <n v="1"/>
    <n v="207"/>
    <n v="1"/>
    <n v="207"/>
    <n v="0.82799999999999996"/>
    <n v="0"/>
    <n v="0"/>
    <n v="0.17200000000000004"/>
    <n v="1"/>
    <n v="0"/>
    <n v="0"/>
    <n v="100"/>
    <n v="35"/>
    <n v="35"/>
    <n v="1"/>
    <n v="0"/>
    <n v="0"/>
    <n v="0"/>
    <n v="0"/>
    <n v="1"/>
    <n v="0"/>
    <n v="0"/>
    <n v="0"/>
    <n v="0"/>
    <x v="1"/>
    <s v="Village"/>
    <x v="0"/>
    <n v="0"/>
    <n v="93.005447387695298"/>
    <n v="19.914190292358398"/>
    <n v="197567"/>
    <x v="0"/>
    <m/>
  </r>
  <r>
    <x v="0"/>
    <x v="1"/>
    <x v="1"/>
    <s v="BMZ"/>
    <x v="1"/>
    <x v="8"/>
    <x v="0"/>
    <x v="171"/>
    <n v="486"/>
    <n v="2042"/>
    <d v="2018-09-16T00:00:00"/>
    <d v="2020-12-31T00:00:00"/>
    <n v="531"/>
    <m/>
    <m/>
    <m/>
    <n v="5"/>
    <m/>
    <n v="2042"/>
    <n v="1"/>
    <m/>
    <n v="30"/>
    <x v="1"/>
    <n v="10"/>
    <n v="21"/>
    <m/>
    <m/>
    <m/>
    <m/>
    <m/>
    <m/>
    <m/>
    <m/>
    <m/>
    <m/>
    <m/>
    <m/>
    <m/>
    <m/>
    <m/>
    <m/>
    <m/>
    <m/>
    <m/>
    <m/>
    <n v="0.12242899118511263"/>
    <n v="250"/>
    <n v="1"/>
    <n v="2042"/>
    <n v="1"/>
    <n v="2042"/>
    <n v="8.1679999999999993"/>
    <n v="0"/>
    <n v="0"/>
    <n v="0"/>
    <n v="8"/>
    <n v="8.8148873653281098E-2"/>
    <n v="180"/>
    <n v="500"/>
    <n v="340"/>
    <n v="310"/>
    <n v="0.91185112634671894"/>
    <n v="0"/>
    <n v="0"/>
    <n v="0"/>
    <n v="0"/>
    <n v="1"/>
    <n v="0"/>
    <n v="0"/>
    <n v="0"/>
    <n v="0"/>
    <x v="1"/>
    <s v="Village"/>
    <x v="0"/>
    <m/>
    <n v="20.0305500030518"/>
    <n v="92.966842651367202"/>
    <n v="197538"/>
    <x v="0"/>
    <m/>
  </r>
  <r>
    <x v="0"/>
    <x v="1"/>
    <x v="1"/>
    <s v="BMZ"/>
    <x v="1"/>
    <x v="8"/>
    <x v="0"/>
    <x v="172"/>
    <n v="340"/>
    <n v="1408"/>
    <d v="2018-09-16T00:00:00"/>
    <d v="2020-12-31T00:00:00"/>
    <n v="223"/>
    <m/>
    <m/>
    <m/>
    <n v="0"/>
    <m/>
    <n v="1408"/>
    <n v="0"/>
    <m/>
    <n v="30"/>
    <x v="2"/>
    <n v="1"/>
    <n v="8"/>
    <m/>
    <m/>
    <m/>
    <m/>
    <m/>
    <m/>
    <m/>
    <m/>
    <m/>
    <m/>
    <m/>
    <m/>
    <m/>
    <m/>
    <m/>
    <m/>
    <m/>
    <m/>
    <m/>
    <m/>
    <n v="0"/>
    <n v="0"/>
    <n v="1"/>
    <n v="1408"/>
    <n v="1"/>
    <n v="1408"/>
    <n v="5.6319999999999997"/>
    <n v="0"/>
    <n v="0"/>
    <n v="0.36800000000000033"/>
    <n v="6"/>
    <n v="0.12784090909090909"/>
    <n v="180"/>
    <n v="50"/>
    <n v="235"/>
    <n v="205"/>
    <n v="0.87215909090909094"/>
    <n v="0"/>
    <n v="0"/>
    <n v="0"/>
    <n v="0"/>
    <n v="1"/>
    <n v="0"/>
    <n v="0"/>
    <n v="0"/>
    <n v="0"/>
    <x v="1"/>
    <s v="Village"/>
    <x v="0"/>
    <n v="0"/>
    <n v="92.925521850585895"/>
    <n v="20.091190338134801"/>
    <n v="217989"/>
    <x v="0"/>
    <m/>
  </r>
  <r>
    <x v="0"/>
    <x v="1"/>
    <x v="1"/>
    <s v="BMZ"/>
    <x v="1"/>
    <x v="8"/>
    <x v="0"/>
    <x v="173"/>
    <n v="72"/>
    <n v="308"/>
    <d v="2018-09-16T00:00:00"/>
    <d v="2020-12-31T00:00:00"/>
    <n v="65"/>
    <m/>
    <m/>
    <m/>
    <n v="1"/>
    <m/>
    <n v="308"/>
    <n v="0"/>
    <m/>
    <n v="3"/>
    <x v="2"/>
    <n v="0"/>
    <n v="3"/>
    <m/>
    <m/>
    <m/>
    <m/>
    <m/>
    <m/>
    <m/>
    <m/>
    <m/>
    <m/>
    <m/>
    <m/>
    <m/>
    <m/>
    <m/>
    <m/>
    <m/>
    <m/>
    <m/>
    <m/>
    <n v="0"/>
    <n v="0"/>
    <n v="1"/>
    <n v="308"/>
    <n v="1"/>
    <n v="308"/>
    <n v="1.232"/>
    <n v="0"/>
    <n v="0"/>
    <n v="0"/>
    <n v="1"/>
    <n v="5.844155844155844E-2"/>
    <n v="18"/>
    <n v="0"/>
    <n v="51"/>
    <n v="48"/>
    <n v="0.94155844155844159"/>
    <n v="0"/>
    <n v="0"/>
    <n v="0"/>
    <n v="0"/>
    <n v="1"/>
    <n v="0"/>
    <n v="0"/>
    <n v="0"/>
    <n v="0"/>
    <x v="1"/>
    <s v="Village"/>
    <x v="0"/>
    <n v="0"/>
    <n v="20.06903076"/>
    <n v="92.930137630000004"/>
    <n v="197562"/>
    <x v="0"/>
    <m/>
  </r>
  <r>
    <x v="0"/>
    <x v="10"/>
    <x v="10"/>
    <s v="WV' Korea"/>
    <x v="2"/>
    <x v="14"/>
    <x v="0"/>
    <x v="174"/>
    <n v="43"/>
    <n v="185"/>
    <d v="2017-12-12T00:00:00"/>
    <d v="2020-09-30T00:00:00"/>
    <m/>
    <m/>
    <n v="1"/>
    <m/>
    <m/>
    <m/>
    <m/>
    <m/>
    <m/>
    <n v="33"/>
    <x v="0"/>
    <n v="2"/>
    <m/>
    <m/>
    <m/>
    <m/>
    <m/>
    <n v="11"/>
    <n v="18"/>
    <m/>
    <m/>
    <m/>
    <m/>
    <m/>
    <m/>
    <m/>
    <m/>
    <m/>
    <m/>
    <m/>
    <m/>
    <m/>
    <m/>
    <n v="1"/>
    <n v="185"/>
    <n v="0"/>
    <n v="0"/>
    <n v="1"/>
    <n v="185"/>
    <n v="0.74"/>
    <n v="0"/>
    <n v="0"/>
    <n v="0.26"/>
    <n v="1"/>
    <n v="1"/>
    <n v="185"/>
    <n v="100"/>
    <n v="31"/>
    <n v="0"/>
    <n v="0"/>
    <n v="29"/>
    <n v="0"/>
    <n v="29"/>
    <n v="0.15675675675675677"/>
    <n v="0.84324324324324329"/>
    <n v="0.15675675675675677"/>
    <n v="0"/>
    <n v="0"/>
    <n v="0"/>
    <x v="0"/>
    <s v="Village"/>
    <x v="0"/>
    <n v="0"/>
    <n v="0"/>
    <n v="0"/>
    <n v="0"/>
    <x v="0"/>
    <m/>
  </r>
  <r>
    <x v="0"/>
    <x v="10"/>
    <x v="10"/>
    <s v="WV' Korea"/>
    <x v="2"/>
    <x v="14"/>
    <x v="0"/>
    <x v="175"/>
    <n v="33"/>
    <n v="174"/>
    <d v="2017-12-12T00:00:00"/>
    <d v="2020-09-30T00:00:00"/>
    <m/>
    <m/>
    <n v="1"/>
    <m/>
    <m/>
    <m/>
    <m/>
    <m/>
    <m/>
    <n v="26"/>
    <x v="0"/>
    <m/>
    <m/>
    <m/>
    <m/>
    <m/>
    <m/>
    <n v="5"/>
    <n v="20"/>
    <m/>
    <m/>
    <m/>
    <m/>
    <m/>
    <m/>
    <m/>
    <m/>
    <m/>
    <m/>
    <m/>
    <m/>
    <m/>
    <m/>
    <n v="1"/>
    <n v="174"/>
    <n v="0"/>
    <n v="0"/>
    <n v="1"/>
    <n v="174"/>
    <n v="0.69599999999999995"/>
    <n v="0"/>
    <n v="0"/>
    <n v="0.30400000000000005"/>
    <n v="1"/>
    <n v="0.89655172413793105"/>
    <n v="156"/>
    <n v="0"/>
    <n v="29"/>
    <n v="3"/>
    <n v="0.10344827586206895"/>
    <n v="25"/>
    <n v="0"/>
    <n v="25"/>
    <n v="0.14367816091954022"/>
    <n v="0.85632183908045978"/>
    <n v="0.14367816091954022"/>
    <n v="0"/>
    <n v="0"/>
    <n v="0"/>
    <x v="0"/>
    <s v="Village"/>
    <x v="0"/>
    <n v="0"/>
    <n v="0"/>
    <n v="0"/>
    <n v="0"/>
    <x v="0"/>
    <m/>
  </r>
  <r>
    <x v="0"/>
    <x v="10"/>
    <x v="10"/>
    <s v="WV' Korea"/>
    <x v="2"/>
    <x v="14"/>
    <x v="0"/>
    <x v="176"/>
    <n v="15"/>
    <n v="49"/>
    <d v="2017-12-12T00:00:00"/>
    <d v="2020-09-30T00:00:00"/>
    <m/>
    <m/>
    <m/>
    <m/>
    <m/>
    <m/>
    <m/>
    <m/>
    <m/>
    <n v="15"/>
    <x v="0"/>
    <m/>
    <m/>
    <m/>
    <m/>
    <m/>
    <m/>
    <n v="4"/>
    <n v="6"/>
    <m/>
    <m/>
    <m/>
    <m/>
    <m/>
    <m/>
    <m/>
    <m/>
    <m/>
    <m/>
    <m/>
    <m/>
    <m/>
    <m/>
    <n v="0"/>
    <n v="0"/>
    <n v="0"/>
    <n v="0"/>
    <n v="0"/>
    <n v="0"/>
    <n v="0"/>
    <n v="1"/>
    <n v="49"/>
    <n v="1"/>
    <n v="1"/>
    <n v="1"/>
    <n v="49"/>
    <n v="0"/>
    <n v="8"/>
    <n v="0"/>
    <n v="0"/>
    <n v="10"/>
    <n v="0"/>
    <n v="10"/>
    <n v="0.20408163265306123"/>
    <n v="0.79591836734693877"/>
    <n v="0.20408163265306123"/>
    <n v="0"/>
    <n v="0"/>
    <n v="0"/>
    <x v="0"/>
    <s v="Village"/>
    <x v="0"/>
    <n v="0"/>
    <n v="0"/>
    <n v="0"/>
    <n v="0"/>
    <x v="0"/>
    <m/>
  </r>
  <r>
    <x v="0"/>
    <x v="10"/>
    <x v="10"/>
    <s v="WV' Korea"/>
    <x v="2"/>
    <x v="14"/>
    <x v="0"/>
    <x v="177"/>
    <n v="78"/>
    <n v="302"/>
    <d v="2017-12-12T00:00:00"/>
    <d v="2020-09-30T00:00:00"/>
    <m/>
    <m/>
    <n v="2"/>
    <m/>
    <m/>
    <m/>
    <m/>
    <m/>
    <m/>
    <n v="50"/>
    <x v="0"/>
    <n v="1"/>
    <m/>
    <m/>
    <m/>
    <m/>
    <m/>
    <n v="11"/>
    <n v="18"/>
    <m/>
    <m/>
    <m/>
    <m/>
    <m/>
    <m/>
    <m/>
    <m/>
    <m/>
    <m/>
    <m/>
    <m/>
    <m/>
    <m/>
    <n v="1"/>
    <n v="302"/>
    <n v="0"/>
    <n v="0"/>
    <n v="1"/>
    <n v="302"/>
    <n v="1.208"/>
    <n v="0"/>
    <n v="0"/>
    <n v="0"/>
    <n v="1"/>
    <n v="0.99337748344370858"/>
    <n v="300"/>
    <n v="50"/>
    <n v="50"/>
    <n v="0"/>
    <n v="6.6225165562914245E-3"/>
    <n v="29"/>
    <n v="0"/>
    <n v="29"/>
    <n v="9.602649006622517E-2"/>
    <n v="0.90397350993377479"/>
    <n v="9.602649006622517E-2"/>
    <n v="0"/>
    <n v="0"/>
    <n v="0"/>
    <x v="0"/>
    <s v="Village"/>
    <x v="0"/>
    <n v="0"/>
    <n v="0"/>
    <n v="0"/>
    <n v="0"/>
    <x v="0"/>
    <m/>
  </r>
  <r>
    <x v="0"/>
    <x v="10"/>
    <x v="10"/>
    <s v="WV' Korea"/>
    <x v="2"/>
    <x v="14"/>
    <x v="0"/>
    <x v="178"/>
    <n v="62"/>
    <n v="308"/>
    <d v="2017-12-12T00:00:00"/>
    <d v="2020-09-30T00:00:00"/>
    <m/>
    <m/>
    <n v="1"/>
    <m/>
    <m/>
    <m/>
    <m/>
    <m/>
    <m/>
    <n v="59"/>
    <x v="0"/>
    <n v="2"/>
    <m/>
    <m/>
    <m/>
    <m/>
    <m/>
    <n v="10"/>
    <n v="15"/>
    <m/>
    <m/>
    <m/>
    <m/>
    <m/>
    <m/>
    <m/>
    <m/>
    <m/>
    <m/>
    <m/>
    <m/>
    <m/>
    <m/>
    <n v="1"/>
    <n v="308"/>
    <n v="0"/>
    <n v="0"/>
    <n v="1"/>
    <n v="308"/>
    <n v="1.232"/>
    <n v="0"/>
    <n v="0"/>
    <n v="0"/>
    <n v="1"/>
    <n v="1"/>
    <n v="308"/>
    <n v="100"/>
    <n v="51"/>
    <n v="0"/>
    <n v="0"/>
    <n v="25"/>
    <n v="0"/>
    <n v="25"/>
    <n v="8.1168831168831168E-2"/>
    <n v="0.91883116883116878"/>
    <n v="8.1168831168831168E-2"/>
    <n v="0"/>
    <n v="0"/>
    <n v="0"/>
    <x v="0"/>
    <s v="Village"/>
    <x v="0"/>
    <n v="0"/>
    <n v="0"/>
    <n v="0"/>
    <n v="0"/>
    <x v="0"/>
    <m/>
  </r>
  <r>
    <x v="0"/>
    <x v="10"/>
    <x v="10"/>
    <s v="WV' Korea"/>
    <x v="2"/>
    <x v="14"/>
    <x v="0"/>
    <x v="179"/>
    <n v="17"/>
    <n v="126"/>
    <d v="2017-12-12T00:00:00"/>
    <d v="2020-09-30T00:00:00"/>
    <m/>
    <m/>
    <n v="1"/>
    <m/>
    <m/>
    <m/>
    <m/>
    <m/>
    <m/>
    <n v="13"/>
    <x v="0"/>
    <m/>
    <m/>
    <m/>
    <m/>
    <m/>
    <m/>
    <n v="6"/>
    <n v="10"/>
    <m/>
    <m/>
    <m/>
    <m/>
    <m/>
    <m/>
    <m/>
    <m/>
    <m/>
    <m/>
    <m/>
    <m/>
    <m/>
    <m/>
    <n v="1"/>
    <n v="126"/>
    <n v="0"/>
    <n v="0"/>
    <n v="1"/>
    <n v="126"/>
    <n v="0.504"/>
    <n v="0"/>
    <n v="0"/>
    <n v="0.496"/>
    <n v="1"/>
    <n v="0.61904761904761907"/>
    <n v="78"/>
    <n v="0"/>
    <n v="21"/>
    <n v="8"/>
    <n v="0.38095238095238093"/>
    <n v="16"/>
    <n v="0"/>
    <n v="16"/>
    <n v="0.12698412698412698"/>
    <n v="0.87301587301587302"/>
    <n v="0.12698412698412698"/>
    <n v="0"/>
    <n v="0"/>
    <n v="0"/>
    <x v="0"/>
    <s v="Village"/>
    <x v="0"/>
    <n v="0"/>
    <n v="0"/>
    <n v="0"/>
    <n v="0"/>
    <x v="0"/>
    <m/>
  </r>
  <r>
    <x v="0"/>
    <x v="10"/>
    <x v="10"/>
    <s v="WV' Korea"/>
    <x v="2"/>
    <x v="14"/>
    <x v="0"/>
    <x v="180"/>
    <n v="31"/>
    <n v="135"/>
    <d v="2017-12-12T00:00:00"/>
    <d v="2020-09-30T00:00:00"/>
    <m/>
    <m/>
    <n v="1"/>
    <m/>
    <m/>
    <m/>
    <m/>
    <m/>
    <m/>
    <m/>
    <x v="0"/>
    <m/>
    <m/>
    <m/>
    <m/>
    <m/>
    <m/>
    <n v="9"/>
    <n v="8"/>
    <m/>
    <m/>
    <m/>
    <m/>
    <m/>
    <m/>
    <m/>
    <m/>
    <m/>
    <m/>
    <m/>
    <m/>
    <m/>
    <m/>
    <n v="1"/>
    <n v="135"/>
    <n v="0"/>
    <n v="0"/>
    <n v="1"/>
    <n v="135"/>
    <n v="0.54"/>
    <n v="0"/>
    <n v="0"/>
    <n v="0.45999999999999996"/>
    <n v="1"/>
    <n v="0"/>
    <n v="0"/>
    <n v="0"/>
    <n v="23"/>
    <n v="23"/>
    <n v="1"/>
    <n v="17"/>
    <n v="0"/>
    <n v="17"/>
    <n v="0.12592592592592591"/>
    <n v="0.87407407407407411"/>
    <n v="0.12592592592592591"/>
    <n v="0"/>
    <n v="0"/>
    <n v="0"/>
    <x v="0"/>
    <s v="Village"/>
    <x v="0"/>
    <n v="0"/>
    <n v="0"/>
    <n v="0"/>
    <n v="0"/>
    <x v="0"/>
    <m/>
  </r>
  <r>
    <x v="0"/>
    <x v="10"/>
    <x v="10"/>
    <s v="WV' Korea"/>
    <x v="2"/>
    <x v="15"/>
    <x v="0"/>
    <x v="181"/>
    <n v="97"/>
    <n v="482"/>
    <d v="2017-12-12T00:00:00"/>
    <d v="2020-09-30T00:00:00"/>
    <m/>
    <m/>
    <n v="2"/>
    <m/>
    <m/>
    <m/>
    <m/>
    <m/>
    <m/>
    <n v="50"/>
    <x v="0"/>
    <n v="2"/>
    <m/>
    <m/>
    <m/>
    <m/>
    <m/>
    <n v="15"/>
    <n v="12"/>
    <m/>
    <m/>
    <m/>
    <m/>
    <m/>
    <m/>
    <m/>
    <m/>
    <m/>
    <m/>
    <m/>
    <m/>
    <m/>
    <m/>
    <n v="1"/>
    <n v="482"/>
    <n v="0"/>
    <n v="0"/>
    <n v="1"/>
    <n v="482"/>
    <n v="1.9279999999999999"/>
    <n v="0"/>
    <n v="0"/>
    <n v="7.2000000000000064E-2"/>
    <n v="2"/>
    <n v="0.62240663900414939"/>
    <n v="300"/>
    <n v="100"/>
    <n v="80"/>
    <n v="30"/>
    <n v="0.37759336099585061"/>
    <n v="27"/>
    <n v="0"/>
    <n v="27"/>
    <n v="5.6016597510373446E-2"/>
    <n v="0.94398340248962653"/>
    <n v="5.6016597510373446E-2"/>
    <n v="0"/>
    <n v="0"/>
    <n v="0"/>
    <x v="0"/>
    <s v="Village"/>
    <x v="0"/>
    <n v="0"/>
    <n v="0"/>
    <n v="0"/>
    <n v="0"/>
    <x v="0"/>
    <m/>
  </r>
  <r>
    <x v="0"/>
    <x v="10"/>
    <x v="10"/>
    <s v="WV' Korea"/>
    <x v="2"/>
    <x v="14"/>
    <x v="0"/>
    <x v="182"/>
    <n v="59"/>
    <n v="305"/>
    <d v="2017-12-12T00:00:00"/>
    <d v="2020-09-30T00:00:00"/>
    <m/>
    <m/>
    <n v="1"/>
    <m/>
    <m/>
    <m/>
    <m/>
    <m/>
    <m/>
    <m/>
    <x v="0"/>
    <m/>
    <m/>
    <m/>
    <m/>
    <m/>
    <m/>
    <n v="3"/>
    <n v="10"/>
    <m/>
    <m/>
    <m/>
    <m/>
    <m/>
    <m/>
    <m/>
    <m/>
    <m/>
    <m/>
    <m/>
    <m/>
    <m/>
    <m/>
    <n v="1"/>
    <n v="305"/>
    <n v="0"/>
    <n v="0"/>
    <n v="1"/>
    <n v="305"/>
    <n v="1.22"/>
    <n v="0"/>
    <n v="0"/>
    <n v="0"/>
    <n v="1"/>
    <n v="0"/>
    <n v="0"/>
    <n v="0"/>
    <n v="51"/>
    <n v="51"/>
    <n v="1"/>
    <n v="13"/>
    <n v="0"/>
    <n v="13"/>
    <n v="4.2622950819672129E-2"/>
    <n v="0.95737704918032784"/>
    <n v="4.2622950819672129E-2"/>
    <n v="0"/>
    <n v="0"/>
    <n v="0"/>
    <x v="0"/>
    <s v="Village"/>
    <x v="0"/>
    <n v="0"/>
    <n v="0"/>
    <n v="0"/>
    <n v="0"/>
    <x v="0"/>
    <m/>
  </r>
  <r>
    <x v="0"/>
    <x v="10"/>
    <x v="10"/>
    <s v="WV' Korea"/>
    <x v="2"/>
    <x v="14"/>
    <x v="0"/>
    <x v="183"/>
    <n v="72"/>
    <n v="346"/>
    <d v="2017-12-12T00:00:00"/>
    <d v="2020-09-30T00:00:00"/>
    <m/>
    <m/>
    <m/>
    <m/>
    <m/>
    <m/>
    <m/>
    <m/>
    <m/>
    <n v="25"/>
    <x v="0"/>
    <m/>
    <m/>
    <m/>
    <m/>
    <m/>
    <m/>
    <n v="5"/>
    <n v="20"/>
    <m/>
    <m/>
    <m/>
    <m/>
    <m/>
    <m/>
    <m/>
    <m/>
    <m/>
    <m/>
    <m/>
    <m/>
    <m/>
    <m/>
    <n v="0"/>
    <n v="0"/>
    <n v="0"/>
    <n v="0"/>
    <n v="0"/>
    <n v="0"/>
    <n v="0"/>
    <n v="1"/>
    <n v="346"/>
    <n v="1"/>
    <n v="1"/>
    <n v="0.43352601156069365"/>
    <n v="150"/>
    <n v="0"/>
    <n v="58"/>
    <n v="33"/>
    <n v="0.56647398843930641"/>
    <n v="25"/>
    <n v="0"/>
    <n v="25"/>
    <n v="7.2254335260115612E-2"/>
    <n v="0.9277456647398844"/>
    <n v="7.2254335260115612E-2"/>
    <n v="0"/>
    <n v="0"/>
    <n v="0"/>
    <x v="0"/>
    <s v="Village"/>
    <x v="0"/>
    <n v="0"/>
    <n v="0"/>
    <n v="0"/>
    <n v="0"/>
    <x v="0"/>
    <m/>
  </r>
  <r>
    <x v="0"/>
    <x v="10"/>
    <x v="10"/>
    <s v="WV' Korea"/>
    <x v="2"/>
    <x v="14"/>
    <x v="0"/>
    <x v="184"/>
    <n v="44"/>
    <n v="241"/>
    <d v="2017-12-12T00:00:00"/>
    <d v="2020-09-30T00:00:00"/>
    <m/>
    <m/>
    <n v="1"/>
    <m/>
    <m/>
    <m/>
    <m/>
    <m/>
    <m/>
    <m/>
    <x v="0"/>
    <m/>
    <m/>
    <m/>
    <m/>
    <m/>
    <m/>
    <n v="3"/>
    <n v="10"/>
    <m/>
    <m/>
    <m/>
    <m/>
    <m/>
    <m/>
    <m/>
    <m/>
    <m/>
    <m/>
    <m/>
    <m/>
    <m/>
    <m/>
    <n v="1"/>
    <n v="241"/>
    <n v="0"/>
    <n v="0"/>
    <n v="1"/>
    <n v="241"/>
    <n v="0.96399999999999997"/>
    <n v="0"/>
    <n v="0"/>
    <n v="3.6000000000000032E-2"/>
    <n v="1"/>
    <n v="0"/>
    <n v="0"/>
    <n v="0"/>
    <n v="40"/>
    <n v="40"/>
    <n v="1"/>
    <n v="13"/>
    <n v="0"/>
    <n v="13"/>
    <n v="5.3941908713692949E-2"/>
    <n v="0.94605809128630702"/>
    <n v="5.3941908713692949E-2"/>
    <n v="0"/>
    <n v="0"/>
    <n v="0"/>
    <x v="0"/>
    <s v="Village"/>
    <x v="0"/>
    <n v="0"/>
    <n v="0"/>
    <n v="0"/>
    <n v="0"/>
    <x v="0"/>
    <m/>
  </r>
  <r>
    <x v="0"/>
    <x v="10"/>
    <x v="10"/>
    <s v="WV' Korea"/>
    <x v="2"/>
    <x v="14"/>
    <x v="0"/>
    <x v="185"/>
    <n v="30"/>
    <n v="148"/>
    <d v="2017-12-12T00:00:00"/>
    <d v="2020-09-30T00:00:00"/>
    <m/>
    <m/>
    <m/>
    <m/>
    <m/>
    <m/>
    <m/>
    <m/>
    <m/>
    <n v="24"/>
    <x v="0"/>
    <m/>
    <m/>
    <m/>
    <m/>
    <m/>
    <m/>
    <m/>
    <n v="20"/>
    <m/>
    <m/>
    <m/>
    <m/>
    <m/>
    <m/>
    <m/>
    <m/>
    <m/>
    <m/>
    <m/>
    <m/>
    <m/>
    <m/>
    <n v="0"/>
    <n v="0"/>
    <n v="0"/>
    <n v="0"/>
    <n v="0"/>
    <n v="0"/>
    <n v="0"/>
    <n v="1"/>
    <n v="148"/>
    <n v="1"/>
    <n v="1"/>
    <n v="0.97297297297297303"/>
    <n v="144"/>
    <n v="0"/>
    <n v="25"/>
    <n v="1"/>
    <n v="2.7027027027026973E-2"/>
    <n v="20"/>
    <n v="0"/>
    <n v="20"/>
    <n v="0.13513513513513514"/>
    <n v="0.86486486486486491"/>
    <n v="0.13513513513513514"/>
    <n v="0"/>
    <n v="0"/>
    <n v="0"/>
    <x v="0"/>
    <s v="Village"/>
    <x v="0"/>
    <n v="0"/>
    <n v="0"/>
    <n v="0"/>
    <n v="0"/>
    <x v="0"/>
    <m/>
  </r>
  <r>
    <x v="0"/>
    <x v="10"/>
    <x v="10"/>
    <s v="WV' Korea"/>
    <x v="2"/>
    <x v="14"/>
    <x v="0"/>
    <x v="186"/>
    <n v="47"/>
    <n v="233"/>
    <d v="2017-12-12T00:00:00"/>
    <d v="2020-09-30T00:00:00"/>
    <m/>
    <m/>
    <m/>
    <m/>
    <m/>
    <m/>
    <m/>
    <m/>
    <m/>
    <m/>
    <x v="0"/>
    <m/>
    <m/>
    <m/>
    <m/>
    <m/>
    <m/>
    <n v="1"/>
    <n v="21"/>
    <m/>
    <m/>
    <m/>
    <m/>
    <m/>
    <m/>
    <m/>
    <m/>
    <m/>
    <m/>
    <m/>
    <m/>
    <m/>
    <m/>
    <n v="0"/>
    <n v="0"/>
    <n v="0"/>
    <n v="0"/>
    <n v="0"/>
    <n v="0"/>
    <n v="0"/>
    <n v="1"/>
    <n v="233"/>
    <n v="1"/>
    <n v="1"/>
    <n v="0"/>
    <n v="0"/>
    <n v="0"/>
    <n v="39"/>
    <n v="39"/>
    <n v="1"/>
    <n v="22"/>
    <n v="0"/>
    <n v="22"/>
    <n v="9.4420600858369105E-2"/>
    <n v="0.90557939914163088"/>
    <n v="9.4420600858369105E-2"/>
    <n v="0"/>
    <n v="0"/>
    <n v="0"/>
    <x v="0"/>
    <s v="Village"/>
    <x v="0"/>
    <n v="0"/>
    <n v="0"/>
    <n v="0"/>
    <n v="0"/>
    <x v="0"/>
    <m/>
  </r>
  <r>
    <x v="0"/>
    <x v="10"/>
    <x v="10"/>
    <s v="WV' Korea"/>
    <x v="2"/>
    <x v="14"/>
    <x v="0"/>
    <x v="187"/>
    <n v="123"/>
    <n v="732"/>
    <d v="2017-12-12T00:00:00"/>
    <d v="2020-09-30T00:00:00"/>
    <m/>
    <m/>
    <m/>
    <m/>
    <m/>
    <m/>
    <m/>
    <m/>
    <m/>
    <m/>
    <x v="0"/>
    <m/>
    <m/>
    <m/>
    <m/>
    <m/>
    <m/>
    <n v="20"/>
    <n v="40"/>
    <m/>
    <m/>
    <m/>
    <m/>
    <m/>
    <m/>
    <m/>
    <m/>
    <m/>
    <m/>
    <m/>
    <m/>
    <m/>
    <m/>
    <n v="0"/>
    <n v="0"/>
    <n v="0"/>
    <n v="0"/>
    <n v="0"/>
    <n v="0"/>
    <n v="0"/>
    <n v="1"/>
    <n v="732"/>
    <n v="3"/>
    <n v="3"/>
    <n v="0"/>
    <n v="0"/>
    <n v="0"/>
    <n v="122"/>
    <n v="122"/>
    <n v="1"/>
    <n v="60"/>
    <n v="0"/>
    <n v="60"/>
    <n v="8.1967213114754092E-2"/>
    <n v="0.91803278688524592"/>
    <n v="8.1967213114754092E-2"/>
    <n v="0"/>
    <n v="0"/>
    <n v="0"/>
    <x v="0"/>
    <s v="Village"/>
    <x v="0"/>
    <n v="0"/>
    <n v="0"/>
    <n v="0"/>
    <n v="0"/>
    <x v="0"/>
    <m/>
  </r>
  <r>
    <x v="0"/>
    <x v="10"/>
    <x v="10"/>
    <s v="WV' Korea"/>
    <x v="2"/>
    <x v="14"/>
    <x v="0"/>
    <x v="188"/>
    <n v="55"/>
    <n v="332"/>
    <d v="2017-12-12T00:00:00"/>
    <d v="2020-09-30T00:00:00"/>
    <m/>
    <m/>
    <m/>
    <m/>
    <m/>
    <m/>
    <m/>
    <m/>
    <m/>
    <m/>
    <x v="0"/>
    <n v="2"/>
    <m/>
    <m/>
    <m/>
    <m/>
    <m/>
    <m/>
    <m/>
    <m/>
    <m/>
    <m/>
    <m/>
    <m/>
    <m/>
    <m/>
    <m/>
    <m/>
    <m/>
    <m/>
    <m/>
    <m/>
    <m/>
    <n v="0"/>
    <n v="0"/>
    <n v="0"/>
    <n v="0"/>
    <n v="0"/>
    <n v="0"/>
    <n v="0"/>
    <n v="1"/>
    <n v="332"/>
    <n v="1"/>
    <n v="1"/>
    <n v="0"/>
    <n v="0"/>
    <n v="100"/>
    <n v="55"/>
    <n v="55"/>
    <n v="1"/>
    <n v="0"/>
    <n v="0"/>
    <n v="0"/>
    <n v="0"/>
    <n v="1"/>
    <n v="0"/>
    <n v="0"/>
    <n v="0"/>
    <n v="0"/>
    <x v="0"/>
    <s v="Village"/>
    <x v="0"/>
    <n v="0"/>
    <n v="0"/>
    <n v="0"/>
    <n v="0"/>
    <x v="0"/>
    <m/>
  </r>
  <r>
    <x v="0"/>
    <x v="10"/>
    <x v="10"/>
    <s v="WV' Korea"/>
    <x v="2"/>
    <x v="14"/>
    <x v="0"/>
    <x v="189"/>
    <n v="114"/>
    <n v="350"/>
    <d v="2019-01-11T00:00:00"/>
    <d v="2020-09-30T00:00:00"/>
    <m/>
    <m/>
    <m/>
    <m/>
    <m/>
    <m/>
    <m/>
    <m/>
    <m/>
    <m/>
    <x v="0"/>
    <m/>
    <m/>
    <m/>
    <m/>
    <m/>
    <m/>
    <m/>
    <m/>
    <m/>
    <m/>
    <m/>
    <m/>
    <m/>
    <m/>
    <m/>
    <m/>
    <m/>
    <m/>
    <m/>
    <m/>
    <m/>
    <m/>
    <n v="0"/>
    <n v="0"/>
    <n v="0"/>
    <n v="0"/>
    <n v="0"/>
    <n v="0"/>
    <n v="0"/>
    <n v="1"/>
    <n v="350"/>
    <n v="1"/>
    <n v="1"/>
    <n v="0"/>
    <n v="0"/>
    <n v="0"/>
    <n v="58"/>
    <n v="58"/>
    <n v="1"/>
    <n v="0"/>
    <n v="0"/>
    <n v="0"/>
    <n v="0"/>
    <n v="1"/>
    <n v="0"/>
    <n v="0"/>
    <n v="0"/>
    <n v="0"/>
    <x v="0"/>
    <s v="Village"/>
    <x v="0"/>
    <n v="0"/>
    <n v="0"/>
    <n v="0"/>
    <n v="0"/>
    <x v="0"/>
    <m/>
  </r>
  <r>
    <x v="0"/>
    <x v="10"/>
    <x v="10"/>
    <s v="WV' Korea"/>
    <x v="2"/>
    <x v="14"/>
    <x v="0"/>
    <x v="190"/>
    <n v="47"/>
    <n v="137"/>
    <d v="2019-01-11T00:00:00"/>
    <d v="2020-09-30T00:00:00"/>
    <m/>
    <m/>
    <m/>
    <m/>
    <m/>
    <m/>
    <m/>
    <m/>
    <m/>
    <m/>
    <x v="0"/>
    <m/>
    <m/>
    <m/>
    <m/>
    <m/>
    <m/>
    <m/>
    <m/>
    <m/>
    <m/>
    <m/>
    <m/>
    <m/>
    <m/>
    <m/>
    <m/>
    <m/>
    <m/>
    <m/>
    <m/>
    <m/>
    <m/>
    <n v="0"/>
    <n v="0"/>
    <n v="0"/>
    <n v="0"/>
    <n v="0"/>
    <n v="0"/>
    <n v="0"/>
    <n v="1"/>
    <n v="137"/>
    <n v="1"/>
    <n v="1"/>
    <n v="0"/>
    <n v="0"/>
    <n v="0"/>
    <n v="23"/>
    <n v="23"/>
    <n v="1"/>
    <n v="0"/>
    <n v="0"/>
    <n v="0"/>
    <n v="0"/>
    <n v="1"/>
    <n v="0"/>
    <n v="0"/>
    <n v="0"/>
    <n v="0"/>
    <x v="0"/>
    <s v="Village"/>
    <x v="0"/>
    <n v="0"/>
    <n v="0"/>
    <n v="0"/>
    <n v="0"/>
    <x v="0"/>
    <m/>
  </r>
  <r>
    <x v="0"/>
    <x v="10"/>
    <x v="10"/>
    <s v="WV' Korea"/>
    <x v="2"/>
    <x v="14"/>
    <x v="0"/>
    <x v="191"/>
    <n v="138"/>
    <n v="578"/>
    <d v="2019-01-11T00:00:00"/>
    <d v="2020-09-30T00:00:00"/>
    <m/>
    <m/>
    <n v="1"/>
    <m/>
    <m/>
    <m/>
    <m/>
    <m/>
    <m/>
    <m/>
    <x v="0"/>
    <m/>
    <m/>
    <m/>
    <m/>
    <m/>
    <m/>
    <m/>
    <m/>
    <m/>
    <m/>
    <m/>
    <m/>
    <m/>
    <m/>
    <m/>
    <m/>
    <m/>
    <m/>
    <m/>
    <m/>
    <m/>
    <m/>
    <n v="1"/>
    <n v="578"/>
    <n v="0"/>
    <n v="0"/>
    <n v="1"/>
    <n v="578"/>
    <n v="2.3119999999999998"/>
    <n v="0"/>
    <n v="0"/>
    <n v="0"/>
    <n v="2"/>
    <n v="0"/>
    <n v="0"/>
    <n v="0"/>
    <n v="96"/>
    <n v="96"/>
    <n v="1"/>
    <n v="0"/>
    <n v="0"/>
    <n v="0"/>
    <n v="0"/>
    <n v="1"/>
    <n v="0"/>
    <n v="0"/>
    <n v="0"/>
    <n v="0"/>
    <x v="0"/>
    <s v="Village"/>
    <x v="0"/>
    <n v="0"/>
    <n v="0"/>
    <n v="0"/>
    <n v="0"/>
    <x v="0"/>
    <m/>
  </r>
  <r>
    <x v="0"/>
    <x v="10"/>
    <x v="10"/>
    <s v="WV' Korea"/>
    <x v="2"/>
    <x v="14"/>
    <x v="0"/>
    <x v="192"/>
    <n v="37"/>
    <n v="68"/>
    <d v="2019-01-11T00:00:00"/>
    <d v="2020-09-30T00:00:00"/>
    <m/>
    <m/>
    <n v="1"/>
    <m/>
    <m/>
    <m/>
    <m/>
    <m/>
    <m/>
    <m/>
    <x v="0"/>
    <m/>
    <m/>
    <m/>
    <m/>
    <m/>
    <m/>
    <m/>
    <m/>
    <m/>
    <m/>
    <m/>
    <m/>
    <m/>
    <m/>
    <m/>
    <m/>
    <m/>
    <m/>
    <m/>
    <m/>
    <m/>
    <m/>
    <n v="1"/>
    <n v="68"/>
    <n v="0"/>
    <n v="0"/>
    <n v="1"/>
    <n v="68"/>
    <n v="0.27200000000000002"/>
    <n v="0"/>
    <n v="0"/>
    <n v="0.72799999999999998"/>
    <n v="1"/>
    <n v="0"/>
    <n v="0"/>
    <n v="0"/>
    <n v="11"/>
    <n v="11"/>
    <n v="1"/>
    <n v="0"/>
    <n v="0"/>
    <n v="0"/>
    <n v="0"/>
    <n v="1"/>
    <n v="0"/>
    <n v="0"/>
    <n v="0"/>
    <n v="0"/>
    <x v="0"/>
    <s v="Village"/>
    <x v="0"/>
    <n v="0"/>
    <n v="0"/>
    <n v="0"/>
    <n v="0"/>
    <x v="0"/>
    <m/>
  </r>
  <r>
    <x v="0"/>
    <x v="10"/>
    <x v="10"/>
    <s v="WV' Korea"/>
    <x v="2"/>
    <x v="14"/>
    <x v="0"/>
    <x v="193"/>
    <n v="55"/>
    <n v="167"/>
    <d v="2019-01-11T00:00:00"/>
    <d v="2020-09-30T00:00:00"/>
    <m/>
    <m/>
    <m/>
    <m/>
    <m/>
    <m/>
    <m/>
    <m/>
    <m/>
    <m/>
    <x v="0"/>
    <m/>
    <m/>
    <m/>
    <m/>
    <m/>
    <m/>
    <m/>
    <m/>
    <m/>
    <m/>
    <m/>
    <m/>
    <m/>
    <m/>
    <m/>
    <m/>
    <m/>
    <m/>
    <m/>
    <m/>
    <m/>
    <m/>
    <n v="0"/>
    <n v="0"/>
    <n v="0"/>
    <n v="0"/>
    <n v="0"/>
    <n v="0"/>
    <n v="0"/>
    <n v="1"/>
    <n v="167"/>
    <n v="1"/>
    <n v="1"/>
    <n v="0"/>
    <n v="0"/>
    <n v="0"/>
    <n v="28"/>
    <n v="28"/>
    <n v="1"/>
    <n v="0"/>
    <n v="0"/>
    <n v="0"/>
    <n v="0"/>
    <n v="1"/>
    <n v="0"/>
    <n v="0"/>
    <n v="0"/>
    <n v="0"/>
    <x v="0"/>
    <s v="Village"/>
    <x v="0"/>
    <n v="0"/>
    <n v="0"/>
    <n v="0"/>
    <n v="0"/>
    <x v="0"/>
    <m/>
  </r>
  <r>
    <x v="0"/>
    <x v="10"/>
    <x v="10"/>
    <s v="WV' Korea"/>
    <x v="2"/>
    <x v="14"/>
    <x v="0"/>
    <x v="194"/>
    <n v="46"/>
    <n v="126"/>
    <d v="2019-01-11T00:00:00"/>
    <d v="2020-09-30T00:00:00"/>
    <m/>
    <m/>
    <m/>
    <m/>
    <m/>
    <m/>
    <m/>
    <m/>
    <m/>
    <m/>
    <x v="0"/>
    <m/>
    <m/>
    <m/>
    <m/>
    <m/>
    <m/>
    <m/>
    <m/>
    <m/>
    <m/>
    <m/>
    <m/>
    <m/>
    <m/>
    <m/>
    <m/>
    <m/>
    <m/>
    <m/>
    <m/>
    <m/>
    <m/>
    <n v="0"/>
    <n v="0"/>
    <n v="0"/>
    <n v="0"/>
    <n v="0"/>
    <n v="0"/>
    <n v="0"/>
    <n v="1"/>
    <n v="126"/>
    <n v="1"/>
    <n v="1"/>
    <n v="0"/>
    <n v="0"/>
    <n v="0"/>
    <n v="21"/>
    <n v="21"/>
    <n v="1"/>
    <n v="0"/>
    <n v="0"/>
    <n v="0"/>
    <n v="0"/>
    <n v="1"/>
    <n v="0"/>
    <n v="0"/>
    <n v="0"/>
    <n v="0"/>
    <x v="0"/>
    <s v="Village"/>
    <x v="0"/>
    <n v="0"/>
    <n v="0"/>
    <n v="0"/>
    <n v="0"/>
    <x v="0"/>
    <m/>
  </r>
  <r>
    <x v="1"/>
    <x v="11"/>
    <x v="11"/>
    <s v="LIFT"/>
    <x v="2"/>
    <x v="16"/>
    <x v="0"/>
    <x v="195"/>
    <n v="54"/>
    <n v="300"/>
    <d v="2020-01-01T00:00:00"/>
    <d v="2022-12-31T00:00:00"/>
    <m/>
    <m/>
    <m/>
    <m/>
    <m/>
    <m/>
    <m/>
    <m/>
    <m/>
    <m/>
    <x v="0"/>
    <m/>
    <n v="3"/>
    <m/>
    <m/>
    <m/>
    <m/>
    <m/>
    <m/>
    <m/>
    <m/>
    <m/>
    <m/>
    <m/>
    <m/>
    <m/>
    <m/>
    <m/>
    <m/>
    <m/>
    <m/>
    <m/>
    <m/>
    <n v="0"/>
    <n v="0"/>
    <n v="0"/>
    <n v="0"/>
    <n v="0"/>
    <n v="0"/>
    <n v="0"/>
    <n v="1"/>
    <n v="300"/>
    <n v="1"/>
    <n v="1"/>
    <n v="0"/>
    <n v="0"/>
    <n v="0"/>
    <n v="50"/>
    <n v="50"/>
    <n v="1"/>
    <n v="0"/>
    <n v="0"/>
    <n v="0"/>
    <n v="0"/>
    <n v="1"/>
    <n v="0"/>
    <n v="0"/>
    <n v="0"/>
    <n v="0"/>
    <x v="0"/>
    <s v="Village"/>
    <x v="0"/>
    <n v="0"/>
    <n v="0"/>
    <n v="0"/>
    <n v="0"/>
    <x v="0"/>
    <m/>
  </r>
  <r>
    <x v="1"/>
    <x v="11"/>
    <x v="11"/>
    <s v="LIFT"/>
    <x v="2"/>
    <x v="16"/>
    <x v="0"/>
    <x v="196"/>
    <n v="17"/>
    <n v="95"/>
    <d v="2020-01-01T00:00:00"/>
    <d v="2022-12-31T00:00:00"/>
    <m/>
    <m/>
    <m/>
    <m/>
    <m/>
    <m/>
    <m/>
    <m/>
    <m/>
    <m/>
    <x v="0"/>
    <m/>
    <n v="3"/>
    <m/>
    <m/>
    <m/>
    <m/>
    <m/>
    <m/>
    <m/>
    <m/>
    <m/>
    <m/>
    <m/>
    <m/>
    <m/>
    <m/>
    <m/>
    <m/>
    <m/>
    <m/>
    <m/>
    <m/>
    <n v="0"/>
    <n v="0"/>
    <n v="0"/>
    <n v="0"/>
    <n v="0"/>
    <n v="0"/>
    <n v="0"/>
    <n v="1"/>
    <n v="95"/>
    <n v="1"/>
    <n v="1"/>
    <n v="0"/>
    <n v="0"/>
    <n v="0"/>
    <n v="16"/>
    <n v="16"/>
    <n v="1"/>
    <n v="0"/>
    <n v="0"/>
    <n v="0"/>
    <n v="0"/>
    <n v="1"/>
    <n v="0"/>
    <n v="0"/>
    <n v="0"/>
    <n v="0"/>
    <x v="0"/>
    <s v="Village"/>
    <x v="0"/>
    <n v="0"/>
    <n v="0"/>
    <n v="0"/>
    <n v="0"/>
    <x v="0"/>
    <m/>
  </r>
  <r>
    <x v="1"/>
    <x v="11"/>
    <x v="11"/>
    <s v="LIFT"/>
    <x v="2"/>
    <x v="16"/>
    <x v="0"/>
    <x v="197"/>
    <n v="71"/>
    <n v="485"/>
    <d v="2020-01-01T00:00:00"/>
    <d v="2022-12-31T00:00:00"/>
    <m/>
    <m/>
    <m/>
    <m/>
    <m/>
    <m/>
    <m/>
    <m/>
    <m/>
    <m/>
    <x v="0"/>
    <m/>
    <n v="16"/>
    <m/>
    <m/>
    <m/>
    <m/>
    <m/>
    <m/>
    <m/>
    <m/>
    <m/>
    <m/>
    <m/>
    <m/>
    <m/>
    <m/>
    <m/>
    <m/>
    <m/>
    <m/>
    <m/>
    <m/>
    <n v="0"/>
    <n v="0"/>
    <n v="0"/>
    <n v="0"/>
    <n v="0"/>
    <n v="0"/>
    <n v="0"/>
    <n v="1"/>
    <n v="485"/>
    <n v="2"/>
    <n v="2"/>
    <n v="0"/>
    <n v="0"/>
    <n v="0"/>
    <n v="81"/>
    <n v="81"/>
    <n v="1"/>
    <n v="0"/>
    <n v="0"/>
    <n v="0"/>
    <n v="0"/>
    <n v="1"/>
    <n v="0"/>
    <n v="0"/>
    <n v="0"/>
    <n v="0"/>
    <x v="0"/>
    <s v="Village"/>
    <x v="0"/>
    <n v="0"/>
    <n v="0"/>
    <n v="0"/>
    <n v="0"/>
    <x v="0"/>
    <m/>
  </r>
  <r>
    <x v="1"/>
    <x v="11"/>
    <x v="11"/>
    <s v="LIFT"/>
    <x v="2"/>
    <x v="16"/>
    <x v="0"/>
    <x v="198"/>
    <n v="64"/>
    <n v="318"/>
    <d v="2020-01-01T00:00:00"/>
    <d v="2022-12-31T00:00:00"/>
    <m/>
    <m/>
    <m/>
    <m/>
    <m/>
    <m/>
    <m/>
    <m/>
    <m/>
    <m/>
    <x v="0"/>
    <m/>
    <n v="2"/>
    <m/>
    <m/>
    <m/>
    <m/>
    <m/>
    <m/>
    <m/>
    <m/>
    <m/>
    <m/>
    <m/>
    <m/>
    <m/>
    <m/>
    <m/>
    <m/>
    <m/>
    <m/>
    <m/>
    <m/>
    <n v="0"/>
    <n v="0"/>
    <n v="0"/>
    <n v="0"/>
    <n v="0"/>
    <n v="0"/>
    <n v="0"/>
    <n v="1"/>
    <n v="318"/>
    <n v="1"/>
    <n v="1"/>
    <n v="0"/>
    <n v="0"/>
    <n v="0"/>
    <n v="53"/>
    <n v="53"/>
    <n v="1"/>
    <n v="0"/>
    <n v="0"/>
    <n v="0"/>
    <n v="0"/>
    <n v="1"/>
    <n v="0"/>
    <n v="0"/>
    <n v="0"/>
    <n v="0"/>
    <x v="0"/>
    <s v="Village"/>
    <x v="0"/>
    <n v="0"/>
    <n v="0"/>
    <n v="0"/>
    <n v="0"/>
    <x v="0"/>
    <m/>
  </r>
  <r>
    <x v="1"/>
    <x v="11"/>
    <x v="11"/>
    <s v="LIFT"/>
    <x v="2"/>
    <x v="16"/>
    <x v="0"/>
    <x v="199"/>
    <n v="27"/>
    <n v="208"/>
    <d v="2020-01-01T00:00:00"/>
    <d v="2022-12-31T00:00:00"/>
    <m/>
    <m/>
    <m/>
    <m/>
    <m/>
    <m/>
    <m/>
    <m/>
    <m/>
    <m/>
    <x v="0"/>
    <m/>
    <n v="4"/>
    <m/>
    <m/>
    <m/>
    <m/>
    <m/>
    <m/>
    <m/>
    <m/>
    <m/>
    <m/>
    <m/>
    <m/>
    <m/>
    <m/>
    <m/>
    <m/>
    <m/>
    <m/>
    <m/>
    <m/>
    <n v="0"/>
    <n v="0"/>
    <n v="0"/>
    <n v="0"/>
    <n v="0"/>
    <n v="0"/>
    <n v="0"/>
    <n v="1"/>
    <n v="208"/>
    <n v="1"/>
    <n v="1"/>
    <n v="0"/>
    <n v="0"/>
    <n v="0"/>
    <n v="35"/>
    <n v="35"/>
    <n v="1"/>
    <n v="0"/>
    <n v="0"/>
    <n v="0"/>
    <n v="0"/>
    <n v="1"/>
    <n v="0"/>
    <n v="0"/>
    <n v="0"/>
    <n v="0"/>
    <x v="0"/>
    <s v="Village"/>
    <x v="0"/>
    <n v="0"/>
    <n v="0"/>
    <n v="0"/>
    <n v="0"/>
    <x v="0"/>
    <m/>
  </r>
  <r>
    <x v="1"/>
    <x v="11"/>
    <x v="11"/>
    <s v="LIFT"/>
    <x v="2"/>
    <x v="16"/>
    <x v="0"/>
    <x v="200"/>
    <n v="43"/>
    <n v="240"/>
    <d v="2020-01-01T00:00:00"/>
    <d v="2022-12-31T00:00:00"/>
    <m/>
    <m/>
    <m/>
    <m/>
    <m/>
    <m/>
    <m/>
    <m/>
    <m/>
    <m/>
    <x v="0"/>
    <m/>
    <n v="1"/>
    <m/>
    <m/>
    <m/>
    <m/>
    <m/>
    <m/>
    <m/>
    <m/>
    <m/>
    <m/>
    <m/>
    <m/>
    <m/>
    <m/>
    <m/>
    <m/>
    <m/>
    <m/>
    <m/>
    <m/>
    <n v="0"/>
    <n v="0"/>
    <n v="0"/>
    <n v="0"/>
    <n v="0"/>
    <n v="0"/>
    <n v="0"/>
    <n v="1"/>
    <n v="240"/>
    <n v="1"/>
    <n v="1"/>
    <n v="0"/>
    <n v="0"/>
    <n v="0"/>
    <n v="40"/>
    <n v="40"/>
    <n v="1"/>
    <n v="0"/>
    <n v="0"/>
    <n v="0"/>
    <n v="0"/>
    <n v="1"/>
    <n v="0"/>
    <n v="0"/>
    <n v="0"/>
    <n v="0"/>
    <x v="0"/>
    <s v="Village"/>
    <x v="0"/>
    <n v="0"/>
    <n v="0"/>
    <n v="0"/>
    <n v="0"/>
    <x v="0"/>
    <m/>
  </r>
  <r>
    <x v="1"/>
    <x v="11"/>
    <x v="11"/>
    <s v="LIFT"/>
    <x v="2"/>
    <x v="16"/>
    <x v="0"/>
    <x v="201"/>
    <n v="70"/>
    <n v="332"/>
    <d v="2020-01-01T00:00:00"/>
    <d v="2022-12-31T00:00:00"/>
    <m/>
    <m/>
    <m/>
    <m/>
    <m/>
    <m/>
    <m/>
    <m/>
    <m/>
    <m/>
    <x v="0"/>
    <m/>
    <n v="1"/>
    <m/>
    <m/>
    <m/>
    <m/>
    <m/>
    <m/>
    <m/>
    <m/>
    <m/>
    <m/>
    <m/>
    <m/>
    <m/>
    <m/>
    <m/>
    <m/>
    <m/>
    <m/>
    <m/>
    <m/>
    <n v="0"/>
    <n v="0"/>
    <n v="0"/>
    <n v="0"/>
    <n v="0"/>
    <n v="0"/>
    <n v="0"/>
    <n v="1"/>
    <n v="332"/>
    <n v="1"/>
    <n v="1"/>
    <n v="0"/>
    <n v="0"/>
    <n v="0"/>
    <n v="55"/>
    <n v="55"/>
    <n v="1"/>
    <n v="0"/>
    <n v="0"/>
    <n v="0"/>
    <n v="0"/>
    <n v="1"/>
    <n v="0"/>
    <n v="0"/>
    <n v="0"/>
    <n v="0"/>
    <x v="0"/>
    <s v="Village"/>
    <x v="0"/>
    <n v="0"/>
    <n v="0"/>
    <n v="0"/>
    <n v="0"/>
    <x v="0"/>
    <m/>
  </r>
  <r>
    <x v="1"/>
    <x v="11"/>
    <x v="11"/>
    <s v="LIFT"/>
    <x v="2"/>
    <x v="16"/>
    <x v="0"/>
    <x v="202"/>
    <n v="104"/>
    <n v="597"/>
    <d v="2020-01-01T00:00:00"/>
    <d v="2022-12-31T00:00:00"/>
    <m/>
    <m/>
    <m/>
    <m/>
    <m/>
    <m/>
    <m/>
    <m/>
    <m/>
    <m/>
    <x v="0"/>
    <m/>
    <n v="4"/>
    <m/>
    <m/>
    <m/>
    <m/>
    <m/>
    <m/>
    <m/>
    <m/>
    <m/>
    <m/>
    <m/>
    <m/>
    <m/>
    <m/>
    <m/>
    <m/>
    <m/>
    <m/>
    <m/>
    <m/>
    <n v="0"/>
    <n v="0"/>
    <n v="0"/>
    <n v="0"/>
    <n v="0"/>
    <n v="0"/>
    <n v="0"/>
    <n v="1"/>
    <n v="597"/>
    <n v="2"/>
    <n v="2"/>
    <n v="0"/>
    <n v="0"/>
    <n v="0"/>
    <n v="100"/>
    <n v="100"/>
    <n v="1"/>
    <n v="0"/>
    <n v="0"/>
    <n v="0"/>
    <n v="0"/>
    <n v="1"/>
    <n v="0"/>
    <n v="0"/>
    <n v="0"/>
    <n v="0"/>
    <x v="0"/>
    <s v="Village"/>
    <x v="0"/>
    <n v="0"/>
    <n v="0"/>
    <n v="0"/>
    <n v="0"/>
    <x v="0"/>
    <m/>
  </r>
  <r>
    <x v="1"/>
    <x v="11"/>
    <x v="11"/>
    <s v="LIFT"/>
    <x v="2"/>
    <x v="16"/>
    <x v="0"/>
    <x v="203"/>
    <n v="23"/>
    <n v="156"/>
    <d v="2020-01-01T00:00:00"/>
    <d v="2022-12-31T00:00:00"/>
    <m/>
    <m/>
    <m/>
    <m/>
    <m/>
    <m/>
    <m/>
    <m/>
    <m/>
    <m/>
    <x v="0"/>
    <m/>
    <n v="6"/>
    <m/>
    <m/>
    <m/>
    <m/>
    <m/>
    <m/>
    <m/>
    <m/>
    <m/>
    <m/>
    <m/>
    <m/>
    <m/>
    <m/>
    <m/>
    <m/>
    <m/>
    <m/>
    <m/>
    <m/>
    <n v="0"/>
    <n v="0"/>
    <n v="0"/>
    <n v="0"/>
    <n v="0"/>
    <n v="0"/>
    <n v="0"/>
    <n v="1"/>
    <n v="156"/>
    <n v="1"/>
    <n v="1"/>
    <n v="0"/>
    <n v="0"/>
    <n v="0"/>
    <n v="26"/>
    <n v="26"/>
    <n v="1"/>
    <n v="0"/>
    <n v="0"/>
    <n v="0"/>
    <n v="0"/>
    <n v="1"/>
    <n v="0"/>
    <n v="0"/>
    <n v="0"/>
    <n v="0"/>
    <x v="0"/>
    <s v="Village"/>
    <x v="0"/>
    <n v="0"/>
    <n v="0"/>
    <n v="0"/>
    <n v="0"/>
    <x v="0"/>
    <m/>
  </r>
  <r>
    <x v="1"/>
    <x v="11"/>
    <x v="11"/>
    <s v="LIFT"/>
    <x v="2"/>
    <x v="16"/>
    <x v="0"/>
    <x v="204"/>
    <n v="36"/>
    <n v="220"/>
    <d v="2020-01-01T00:00:00"/>
    <d v="2022-12-31T00:00:00"/>
    <m/>
    <m/>
    <m/>
    <m/>
    <m/>
    <m/>
    <m/>
    <m/>
    <m/>
    <m/>
    <x v="0"/>
    <m/>
    <n v="2"/>
    <m/>
    <m/>
    <m/>
    <m/>
    <m/>
    <m/>
    <m/>
    <m/>
    <m/>
    <m/>
    <m/>
    <m/>
    <m/>
    <m/>
    <m/>
    <m/>
    <m/>
    <m/>
    <m/>
    <m/>
    <n v="0"/>
    <n v="0"/>
    <n v="0"/>
    <n v="0"/>
    <n v="0"/>
    <n v="0"/>
    <n v="0"/>
    <n v="1"/>
    <n v="220"/>
    <n v="1"/>
    <n v="1"/>
    <n v="0"/>
    <n v="0"/>
    <n v="0"/>
    <n v="37"/>
    <n v="37"/>
    <n v="1"/>
    <n v="0"/>
    <n v="0"/>
    <n v="0"/>
    <n v="0"/>
    <n v="1"/>
    <n v="0"/>
    <n v="0"/>
    <n v="0"/>
    <n v="0"/>
    <x v="0"/>
    <s v="Village"/>
    <x v="0"/>
    <n v="0"/>
    <n v="0"/>
    <n v="0"/>
    <n v="0"/>
    <x v="0"/>
    <m/>
  </r>
  <r>
    <x v="1"/>
    <x v="11"/>
    <x v="11"/>
    <s v="LIFT"/>
    <x v="2"/>
    <x v="16"/>
    <x v="0"/>
    <x v="205"/>
    <n v="36"/>
    <n v="145"/>
    <d v="2020-01-01T00:00:00"/>
    <d v="2022-12-31T00:00:00"/>
    <m/>
    <m/>
    <m/>
    <m/>
    <m/>
    <m/>
    <m/>
    <m/>
    <m/>
    <m/>
    <x v="0"/>
    <m/>
    <n v="1"/>
    <m/>
    <m/>
    <m/>
    <m/>
    <m/>
    <m/>
    <m/>
    <m/>
    <m/>
    <m/>
    <m/>
    <m/>
    <m/>
    <m/>
    <m/>
    <m/>
    <m/>
    <m/>
    <m/>
    <m/>
    <n v="0"/>
    <n v="0"/>
    <n v="0"/>
    <n v="0"/>
    <n v="0"/>
    <n v="0"/>
    <n v="0"/>
    <n v="1"/>
    <n v="145"/>
    <n v="1"/>
    <n v="1"/>
    <n v="0"/>
    <n v="0"/>
    <n v="0"/>
    <n v="24"/>
    <n v="24"/>
    <n v="1"/>
    <n v="0"/>
    <n v="0"/>
    <n v="0"/>
    <n v="0"/>
    <n v="1"/>
    <n v="0"/>
    <n v="0"/>
    <n v="0"/>
    <n v="0"/>
    <x v="0"/>
    <s v="Village"/>
    <x v="0"/>
    <n v="0"/>
    <n v="0"/>
    <n v="0"/>
    <n v="0"/>
    <x v="0"/>
    <m/>
  </r>
  <r>
    <x v="1"/>
    <x v="11"/>
    <x v="11"/>
    <s v="LIFT"/>
    <x v="2"/>
    <x v="16"/>
    <x v="0"/>
    <x v="206"/>
    <n v="28"/>
    <n v="223"/>
    <d v="2020-01-01T00:00:00"/>
    <d v="2022-12-31T00:00:00"/>
    <m/>
    <m/>
    <m/>
    <m/>
    <m/>
    <m/>
    <m/>
    <m/>
    <m/>
    <m/>
    <x v="0"/>
    <m/>
    <n v="7"/>
    <m/>
    <m/>
    <m/>
    <m/>
    <m/>
    <m/>
    <m/>
    <m/>
    <m/>
    <m/>
    <m/>
    <m/>
    <m/>
    <m/>
    <m/>
    <m/>
    <m/>
    <m/>
    <m/>
    <m/>
    <n v="0"/>
    <n v="0"/>
    <n v="0"/>
    <n v="0"/>
    <n v="0"/>
    <n v="0"/>
    <n v="0"/>
    <n v="1"/>
    <n v="223"/>
    <n v="1"/>
    <n v="1"/>
    <n v="0"/>
    <n v="0"/>
    <n v="0"/>
    <n v="37"/>
    <n v="37"/>
    <n v="1"/>
    <n v="0"/>
    <n v="0"/>
    <n v="0"/>
    <n v="0"/>
    <n v="1"/>
    <n v="0"/>
    <n v="0"/>
    <n v="0"/>
    <n v="0"/>
    <x v="0"/>
    <s v="Village"/>
    <x v="0"/>
    <n v="0"/>
    <n v="0"/>
    <n v="0"/>
    <n v="0"/>
    <x v="0"/>
    <m/>
  </r>
  <r>
    <x v="1"/>
    <x v="11"/>
    <x v="11"/>
    <s v="LIFT"/>
    <x v="2"/>
    <x v="16"/>
    <x v="0"/>
    <x v="207"/>
    <n v="17"/>
    <n v="183"/>
    <d v="2020-01-01T00:00:00"/>
    <d v="2022-12-31T00:00:00"/>
    <m/>
    <m/>
    <m/>
    <m/>
    <m/>
    <m/>
    <m/>
    <m/>
    <m/>
    <m/>
    <x v="0"/>
    <m/>
    <n v="1"/>
    <m/>
    <m/>
    <m/>
    <m/>
    <m/>
    <m/>
    <m/>
    <m/>
    <m/>
    <m/>
    <m/>
    <m/>
    <m/>
    <m/>
    <m/>
    <m/>
    <m/>
    <m/>
    <m/>
    <m/>
    <n v="0"/>
    <n v="0"/>
    <n v="0"/>
    <n v="0"/>
    <n v="0"/>
    <n v="0"/>
    <n v="0"/>
    <n v="1"/>
    <n v="183"/>
    <n v="1"/>
    <n v="1"/>
    <n v="0"/>
    <n v="0"/>
    <n v="0"/>
    <n v="31"/>
    <n v="31"/>
    <n v="1"/>
    <n v="0"/>
    <n v="0"/>
    <n v="0"/>
    <n v="0"/>
    <n v="1"/>
    <n v="0"/>
    <n v="0"/>
    <n v="0"/>
    <n v="0"/>
    <x v="0"/>
    <s v="Village"/>
    <x v="0"/>
    <n v="0"/>
    <n v="0"/>
    <n v="0"/>
    <n v="0"/>
    <x v="0"/>
    <m/>
  </r>
  <r>
    <x v="1"/>
    <x v="11"/>
    <x v="11"/>
    <s v="LIFT"/>
    <x v="2"/>
    <x v="16"/>
    <x v="0"/>
    <x v="208"/>
    <n v="34"/>
    <n v="239"/>
    <d v="2020-01-01T00:00:00"/>
    <d v="2022-12-31T00:00:00"/>
    <m/>
    <m/>
    <m/>
    <m/>
    <m/>
    <m/>
    <m/>
    <m/>
    <m/>
    <m/>
    <x v="0"/>
    <m/>
    <n v="8"/>
    <m/>
    <m/>
    <m/>
    <m/>
    <m/>
    <m/>
    <m/>
    <m/>
    <m/>
    <m/>
    <m/>
    <m/>
    <m/>
    <m/>
    <m/>
    <m/>
    <m/>
    <m/>
    <m/>
    <m/>
    <n v="0"/>
    <n v="0"/>
    <n v="0"/>
    <n v="0"/>
    <n v="0"/>
    <n v="0"/>
    <n v="0"/>
    <n v="1"/>
    <n v="239"/>
    <n v="1"/>
    <n v="1"/>
    <n v="0"/>
    <n v="0"/>
    <n v="0"/>
    <n v="40"/>
    <n v="40"/>
    <n v="1"/>
    <n v="0"/>
    <n v="0"/>
    <n v="0"/>
    <n v="0"/>
    <n v="1"/>
    <n v="0"/>
    <n v="0"/>
    <n v="0"/>
    <n v="0"/>
    <x v="0"/>
    <s v="Village"/>
    <x v="0"/>
    <n v="0"/>
    <n v="0"/>
    <n v="0"/>
    <n v="0"/>
    <x v="0"/>
    <m/>
  </r>
  <r>
    <x v="1"/>
    <x v="11"/>
    <x v="11"/>
    <s v="LIFT"/>
    <x v="2"/>
    <x v="17"/>
    <x v="0"/>
    <x v="209"/>
    <n v="15"/>
    <n v="78"/>
    <d v="2020-01-01T00:00:00"/>
    <d v="2022-12-31T00:00:00"/>
    <m/>
    <m/>
    <m/>
    <m/>
    <m/>
    <m/>
    <m/>
    <m/>
    <m/>
    <m/>
    <x v="0"/>
    <m/>
    <n v="2"/>
    <m/>
    <m/>
    <m/>
    <m/>
    <m/>
    <m/>
    <m/>
    <m/>
    <m/>
    <m/>
    <m/>
    <m/>
    <m/>
    <m/>
    <m/>
    <m/>
    <m/>
    <m/>
    <m/>
    <m/>
    <n v="0"/>
    <n v="0"/>
    <n v="0"/>
    <n v="0"/>
    <n v="0"/>
    <n v="0"/>
    <n v="0"/>
    <n v="1"/>
    <n v="78"/>
    <n v="1"/>
    <n v="1"/>
    <n v="0"/>
    <n v="0"/>
    <n v="0"/>
    <n v="13"/>
    <n v="13"/>
    <n v="1"/>
    <n v="0"/>
    <n v="0"/>
    <n v="0"/>
    <n v="0"/>
    <n v="1"/>
    <n v="0"/>
    <n v="0"/>
    <n v="0"/>
    <n v="0"/>
    <x v="0"/>
    <s v="Village"/>
    <x v="0"/>
    <n v="0"/>
    <n v="0"/>
    <n v="0"/>
    <n v="0"/>
    <x v="0"/>
    <m/>
  </r>
  <r>
    <x v="1"/>
    <x v="11"/>
    <x v="11"/>
    <s v="LIFT"/>
    <x v="2"/>
    <x v="17"/>
    <x v="0"/>
    <x v="210"/>
    <n v="16"/>
    <n v="95"/>
    <d v="2020-01-01T00:00:00"/>
    <d v="2022-12-31T00:00:00"/>
    <m/>
    <m/>
    <m/>
    <m/>
    <m/>
    <m/>
    <m/>
    <m/>
    <m/>
    <m/>
    <x v="0"/>
    <m/>
    <n v="3"/>
    <m/>
    <m/>
    <m/>
    <m/>
    <m/>
    <m/>
    <m/>
    <m/>
    <m/>
    <m/>
    <m/>
    <m/>
    <m/>
    <m/>
    <m/>
    <m/>
    <m/>
    <m/>
    <m/>
    <m/>
    <n v="0"/>
    <n v="0"/>
    <n v="0"/>
    <n v="0"/>
    <n v="0"/>
    <n v="0"/>
    <n v="0"/>
    <n v="1"/>
    <n v="95"/>
    <n v="1"/>
    <n v="1"/>
    <n v="0"/>
    <n v="0"/>
    <n v="0"/>
    <n v="16"/>
    <n v="16"/>
    <n v="1"/>
    <n v="0"/>
    <n v="0"/>
    <n v="0"/>
    <n v="0"/>
    <n v="1"/>
    <n v="0"/>
    <n v="0"/>
    <n v="0"/>
    <n v="0"/>
    <x v="0"/>
    <s v="Village"/>
    <x v="0"/>
    <n v="0"/>
    <n v="0"/>
    <n v="0"/>
    <n v="0"/>
    <x v="0"/>
    <m/>
  </r>
  <r>
    <x v="1"/>
    <x v="11"/>
    <x v="11"/>
    <s v="LIFT"/>
    <x v="2"/>
    <x v="17"/>
    <x v="0"/>
    <x v="211"/>
    <n v="32"/>
    <n v="189"/>
    <d v="2020-01-01T00:00:00"/>
    <d v="2022-12-31T00:00:00"/>
    <m/>
    <m/>
    <m/>
    <m/>
    <m/>
    <m/>
    <m/>
    <m/>
    <m/>
    <m/>
    <x v="0"/>
    <m/>
    <n v="2"/>
    <m/>
    <m/>
    <m/>
    <m/>
    <m/>
    <m/>
    <m/>
    <m/>
    <m/>
    <m/>
    <m/>
    <m/>
    <m/>
    <m/>
    <m/>
    <m/>
    <m/>
    <m/>
    <m/>
    <m/>
    <n v="0"/>
    <n v="0"/>
    <n v="0"/>
    <n v="0"/>
    <n v="0"/>
    <n v="0"/>
    <n v="0"/>
    <n v="1"/>
    <n v="189"/>
    <n v="1"/>
    <n v="1"/>
    <n v="0"/>
    <n v="0"/>
    <n v="0"/>
    <n v="32"/>
    <n v="32"/>
    <n v="1"/>
    <n v="0"/>
    <n v="0"/>
    <n v="0"/>
    <n v="0"/>
    <n v="1"/>
    <n v="0"/>
    <n v="0"/>
    <n v="0"/>
    <n v="0"/>
    <x v="0"/>
    <s v="Village"/>
    <x v="0"/>
    <n v="0"/>
    <n v="0"/>
    <n v="0"/>
    <n v="0"/>
    <x v="0"/>
    <m/>
  </r>
  <r>
    <x v="1"/>
    <x v="11"/>
    <x v="11"/>
    <s v="LIFT"/>
    <x v="2"/>
    <x v="17"/>
    <x v="0"/>
    <x v="212"/>
    <n v="54"/>
    <n v="361"/>
    <d v="2020-01-01T00:00:00"/>
    <d v="2022-12-31T00:00:00"/>
    <m/>
    <m/>
    <m/>
    <m/>
    <m/>
    <m/>
    <m/>
    <m/>
    <m/>
    <m/>
    <x v="0"/>
    <m/>
    <n v="5"/>
    <m/>
    <m/>
    <m/>
    <m/>
    <m/>
    <m/>
    <m/>
    <m/>
    <m/>
    <m/>
    <m/>
    <m/>
    <m/>
    <m/>
    <m/>
    <m/>
    <m/>
    <m/>
    <m/>
    <m/>
    <n v="0"/>
    <n v="0"/>
    <n v="0"/>
    <n v="0"/>
    <n v="0"/>
    <n v="0"/>
    <n v="0"/>
    <n v="1"/>
    <n v="361"/>
    <n v="1"/>
    <n v="1"/>
    <n v="0"/>
    <n v="0"/>
    <n v="0"/>
    <n v="60"/>
    <n v="60"/>
    <n v="1"/>
    <n v="0"/>
    <n v="0"/>
    <n v="0"/>
    <n v="0"/>
    <n v="1"/>
    <n v="0"/>
    <n v="0"/>
    <n v="0"/>
    <n v="0"/>
    <x v="0"/>
    <s v="Village"/>
    <x v="0"/>
    <n v="0"/>
    <n v="0"/>
    <n v="0"/>
    <n v="0"/>
    <x v="0"/>
    <m/>
  </r>
  <r>
    <x v="1"/>
    <x v="11"/>
    <x v="11"/>
    <s v="LIFT"/>
    <x v="2"/>
    <x v="17"/>
    <x v="0"/>
    <x v="213"/>
    <n v="33"/>
    <n v="136"/>
    <d v="2020-01-01T00:00:00"/>
    <d v="2022-12-31T00:00:00"/>
    <m/>
    <m/>
    <m/>
    <m/>
    <m/>
    <m/>
    <m/>
    <m/>
    <m/>
    <m/>
    <x v="0"/>
    <m/>
    <n v="3"/>
    <m/>
    <m/>
    <m/>
    <m/>
    <m/>
    <m/>
    <m/>
    <m/>
    <m/>
    <m/>
    <m/>
    <m/>
    <m/>
    <m/>
    <m/>
    <m/>
    <m/>
    <m/>
    <m/>
    <m/>
    <n v="0"/>
    <n v="0"/>
    <n v="0"/>
    <n v="0"/>
    <n v="0"/>
    <n v="0"/>
    <n v="0"/>
    <n v="1"/>
    <n v="136"/>
    <n v="1"/>
    <n v="1"/>
    <n v="0"/>
    <n v="0"/>
    <n v="0"/>
    <n v="23"/>
    <n v="23"/>
    <n v="1"/>
    <n v="0"/>
    <n v="0"/>
    <n v="0"/>
    <n v="0"/>
    <n v="1"/>
    <n v="0"/>
    <n v="0"/>
    <n v="0"/>
    <n v="0"/>
    <x v="0"/>
    <s v="Village"/>
    <x v="0"/>
    <n v="0"/>
    <n v="0"/>
    <n v="0"/>
    <n v="0"/>
    <x v="0"/>
    <m/>
  </r>
  <r>
    <x v="1"/>
    <x v="11"/>
    <x v="11"/>
    <s v="LIFT"/>
    <x v="2"/>
    <x v="17"/>
    <x v="0"/>
    <x v="214"/>
    <n v="33"/>
    <n v="182"/>
    <d v="2020-01-01T00:00:00"/>
    <d v="2022-12-31T00:00:00"/>
    <m/>
    <m/>
    <m/>
    <m/>
    <m/>
    <m/>
    <m/>
    <m/>
    <m/>
    <m/>
    <x v="0"/>
    <m/>
    <n v="11"/>
    <m/>
    <m/>
    <m/>
    <m/>
    <m/>
    <m/>
    <m/>
    <m/>
    <m/>
    <m/>
    <m/>
    <m/>
    <m/>
    <m/>
    <m/>
    <m/>
    <m/>
    <m/>
    <m/>
    <m/>
    <n v="0"/>
    <n v="0"/>
    <n v="0"/>
    <n v="0"/>
    <n v="0"/>
    <n v="0"/>
    <n v="0"/>
    <n v="1"/>
    <n v="182"/>
    <n v="1"/>
    <n v="1"/>
    <n v="0"/>
    <n v="0"/>
    <n v="0"/>
    <n v="30"/>
    <n v="30"/>
    <n v="1"/>
    <n v="0"/>
    <n v="0"/>
    <n v="0"/>
    <n v="0"/>
    <n v="1"/>
    <n v="0"/>
    <n v="0"/>
    <n v="0"/>
    <n v="0"/>
    <x v="0"/>
    <s v="Village"/>
    <x v="0"/>
    <n v="0"/>
    <n v="0"/>
    <n v="0"/>
    <n v="0"/>
    <x v="0"/>
    <m/>
  </r>
  <r>
    <x v="1"/>
    <x v="11"/>
    <x v="11"/>
    <s v="LIFT"/>
    <x v="2"/>
    <x v="17"/>
    <x v="0"/>
    <x v="215"/>
    <n v="20"/>
    <n v="124"/>
    <d v="2020-01-01T00:00:00"/>
    <d v="2022-12-31T00:00:00"/>
    <m/>
    <m/>
    <m/>
    <m/>
    <m/>
    <m/>
    <m/>
    <m/>
    <m/>
    <m/>
    <x v="0"/>
    <m/>
    <n v="4"/>
    <m/>
    <m/>
    <m/>
    <m/>
    <m/>
    <m/>
    <m/>
    <m/>
    <m/>
    <m/>
    <m/>
    <m/>
    <m/>
    <m/>
    <m/>
    <m/>
    <m/>
    <m/>
    <m/>
    <m/>
    <n v="0"/>
    <n v="0"/>
    <n v="0"/>
    <n v="0"/>
    <n v="0"/>
    <n v="0"/>
    <n v="0"/>
    <n v="1"/>
    <n v="124"/>
    <n v="1"/>
    <n v="1"/>
    <n v="0"/>
    <n v="0"/>
    <n v="0"/>
    <n v="21"/>
    <n v="21"/>
    <n v="1"/>
    <n v="0"/>
    <n v="0"/>
    <n v="0"/>
    <n v="0"/>
    <n v="1"/>
    <n v="0"/>
    <n v="0"/>
    <n v="0"/>
    <n v="0"/>
    <x v="0"/>
    <s v="Village"/>
    <x v="0"/>
    <n v="0"/>
    <n v="0"/>
    <n v="0"/>
    <n v="0"/>
    <x v="0"/>
    <m/>
  </r>
  <r>
    <x v="1"/>
    <x v="11"/>
    <x v="11"/>
    <s v="LIFT"/>
    <x v="2"/>
    <x v="17"/>
    <x v="0"/>
    <x v="216"/>
    <n v="20"/>
    <n v="136"/>
    <d v="2020-01-01T00:00:00"/>
    <d v="2022-12-31T00:00:00"/>
    <m/>
    <m/>
    <m/>
    <m/>
    <m/>
    <m/>
    <m/>
    <m/>
    <m/>
    <m/>
    <x v="0"/>
    <m/>
    <n v="2"/>
    <m/>
    <m/>
    <m/>
    <m/>
    <m/>
    <m/>
    <m/>
    <m/>
    <m/>
    <m/>
    <m/>
    <m/>
    <m/>
    <m/>
    <m/>
    <m/>
    <m/>
    <m/>
    <m/>
    <m/>
    <n v="0"/>
    <n v="0"/>
    <n v="0"/>
    <n v="0"/>
    <n v="0"/>
    <n v="0"/>
    <n v="0"/>
    <n v="1"/>
    <n v="136"/>
    <n v="1"/>
    <n v="1"/>
    <n v="0"/>
    <n v="0"/>
    <n v="0"/>
    <n v="23"/>
    <n v="23"/>
    <n v="1"/>
    <n v="0"/>
    <n v="0"/>
    <n v="0"/>
    <n v="0"/>
    <n v="1"/>
    <n v="0"/>
    <n v="0"/>
    <n v="0"/>
    <n v="0"/>
    <x v="0"/>
    <s v="Village"/>
    <x v="0"/>
    <n v="0"/>
    <n v="0"/>
    <n v="0"/>
    <n v="0"/>
    <x v="0"/>
    <m/>
  </r>
  <r>
    <x v="1"/>
    <x v="11"/>
    <x v="11"/>
    <s v="LIFT"/>
    <x v="2"/>
    <x v="17"/>
    <x v="0"/>
    <x v="217"/>
    <n v="38"/>
    <n v="219"/>
    <d v="2020-01-01T00:00:00"/>
    <d v="2022-12-31T00:00:00"/>
    <m/>
    <m/>
    <m/>
    <m/>
    <m/>
    <m/>
    <m/>
    <m/>
    <m/>
    <m/>
    <x v="0"/>
    <m/>
    <n v="3"/>
    <m/>
    <m/>
    <m/>
    <m/>
    <m/>
    <m/>
    <m/>
    <m/>
    <m/>
    <m/>
    <m/>
    <m/>
    <m/>
    <m/>
    <m/>
    <m/>
    <m/>
    <m/>
    <m/>
    <m/>
    <n v="0"/>
    <n v="0"/>
    <n v="0"/>
    <n v="0"/>
    <n v="0"/>
    <n v="0"/>
    <n v="0"/>
    <n v="1"/>
    <n v="219"/>
    <n v="1"/>
    <n v="1"/>
    <n v="0"/>
    <n v="0"/>
    <n v="0"/>
    <n v="37"/>
    <n v="37"/>
    <n v="1"/>
    <n v="0"/>
    <n v="0"/>
    <n v="0"/>
    <n v="0"/>
    <n v="1"/>
    <n v="0"/>
    <n v="0"/>
    <n v="0"/>
    <n v="0"/>
    <x v="0"/>
    <s v="Village"/>
    <x v="0"/>
    <n v="0"/>
    <n v="0"/>
    <n v="0"/>
    <n v="0"/>
    <x v="0"/>
    <m/>
  </r>
  <r>
    <x v="1"/>
    <x v="11"/>
    <x v="11"/>
    <s v="LIFT"/>
    <x v="2"/>
    <x v="17"/>
    <x v="0"/>
    <x v="218"/>
    <n v="17"/>
    <n v="93"/>
    <d v="2020-01-01T00:00:00"/>
    <d v="2022-12-31T00:00:00"/>
    <m/>
    <m/>
    <m/>
    <m/>
    <m/>
    <m/>
    <m/>
    <m/>
    <m/>
    <m/>
    <x v="0"/>
    <m/>
    <n v="0"/>
    <m/>
    <m/>
    <m/>
    <m/>
    <m/>
    <m/>
    <m/>
    <m/>
    <m/>
    <m/>
    <m/>
    <m/>
    <m/>
    <m/>
    <m/>
    <m/>
    <m/>
    <m/>
    <m/>
    <m/>
    <n v="0"/>
    <n v="0"/>
    <n v="0"/>
    <n v="0"/>
    <n v="0"/>
    <n v="0"/>
    <n v="0"/>
    <n v="1"/>
    <n v="93"/>
    <n v="1"/>
    <n v="1"/>
    <n v="0"/>
    <n v="0"/>
    <n v="0"/>
    <n v="16"/>
    <n v="16"/>
    <n v="1"/>
    <n v="0"/>
    <n v="0"/>
    <n v="0"/>
    <n v="0"/>
    <n v="1"/>
    <n v="0"/>
    <n v="0"/>
    <n v="0"/>
    <n v="0"/>
    <x v="0"/>
    <s v="Village"/>
    <x v="0"/>
    <n v="0"/>
    <n v="0"/>
    <n v="0"/>
    <n v="0"/>
    <x v="0"/>
    <m/>
  </r>
  <r>
    <x v="1"/>
    <x v="11"/>
    <x v="11"/>
    <s v="LIFT"/>
    <x v="2"/>
    <x v="17"/>
    <x v="0"/>
    <x v="219"/>
    <n v="23"/>
    <n v="205"/>
    <d v="2020-01-01T00:00:00"/>
    <d v="2022-12-31T00:00:00"/>
    <m/>
    <m/>
    <m/>
    <m/>
    <m/>
    <m/>
    <m/>
    <m/>
    <m/>
    <m/>
    <x v="0"/>
    <m/>
    <n v="3"/>
    <m/>
    <m/>
    <m/>
    <m/>
    <m/>
    <m/>
    <m/>
    <m/>
    <m/>
    <m/>
    <m/>
    <m/>
    <m/>
    <m/>
    <m/>
    <m/>
    <m/>
    <m/>
    <m/>
    <m/>
    <n v="0"/>
    <n v="0"/>
    <n v="0"/>
    <n v="0"/>
    <n v="0"/>
    <n v="0"/>
    <n v="0"/>
    <n v="1"/>
    <n v="205"/>
    <n v="1"/>
    <n v="1"/>
    <n v="0"/>
    <n v="0"/>
    <n v="0"/>
    <n v="34"/>
    <n v="34"/>
    <n v="1"/>
    <n v="0"/>
    <n v="0"/>
    <n v="0"/>
    <n v="0"/>
    <n v="1"/>
    <n v="0"/>
    <n v="0"/>
    <n v="0"/>
    <n v="0"/>
    <x v="0"/>
    <s v="Village"/>
    <x v="0"/>
    <n v="0"/>
    <n v="0"/>
    <n v="0"/>
    <n v="0"/>
    <x v="0"/>
    <m/>
  </r>
  <r>
    <x v="1"/>
    <x v="11"/>
    <x v="11"/>
    <s v="LIFT"/>
    <x v="2"/>
    <x v="17"/>
    <x v="0"/>
    <x v="220"/>
    <n v="28"/>
    <n v="181"/>
    <d v="2020-01-01T00:00:00"/>
    <d v="2022-12-31T00:00:00"/>
    <m/>
    <m/>
    <m/>
    <m/>
    <m/>
    <m/>
    <m/>
    <m/>
    <m/>
    <m/>
    <x v="0"/>
    <m/>
    <n v="1"/>
    <m/>
    <m/>
    <m/>
    <m/>
    <m/>
    <m/>
    <m/>
    <m/>
    <m/>
    <m/>
    <m/>
    <m/>
    <m/>
    <m/>
    <m/>
    <m/>
    <m/>
    <m/>
    <m/>
    <m/>
    <n v="0"/>
    <n v="0"/>
    <n v="0"/>
    <n v="0"/>
    <n v="0"/>
    <n v="0"/>
    <n v="0"/>
    <n v="1"/>
    <n v="181"/>
    <n v="1"/>
    <n v="1"/>
    <n v="0"/>
    <n v="0"/>
    <n v="0"/>
    <n v="30"/>
    <n v="30"/>
    <n v="1"/>
    <n v="0"/>
    <n v="0"/>
    <n v="0"/>
    <n v="0"/>
    <n v="1"/>
    <n v="0"/>
    <n v="0"/>
    <n v="0"/>
    <n v="0"/>
    <x v="0"/>
    <s v="Village"/>
    <x v="0"/>
    <n v="0"/>
    <n v="0"/>
    <n v="0"/>
    <n v="0"/>
    <x v="0"/>
    <m/>
  </r>
  <r>
    <x v="1"/>
    <x v="11"/>
    <x v="11"/>
    <s v="LIFT"/>
    <x v="2"/>
    <x v="17"/>
    <x v="0"/>
    <x v="221"/>
    <n v="37"/>
    <n v="227"/>
    <d v="2020-01-01T00:00:00"/>
    <d v="2022-12-31T00:00:00"/>
    <m/>
    <m/>
    <m/>
    <m/>
    <m/>
    <m/>
    <m/>
    <m/>
    <m/>
    <m/>
    <x v="0"/>
    <m/>
    <n v="2"/>
    <m/>
    <m/>
    <m/>
    <m/>
    <m/>
    <m/>
    <m/>
    <m/>
    <m/>
    <m/>
    <m/>
    <m/>
    <m/>
    <m/>
    <m/>
    <m/>
    <m/>
    <m/>
    <m/>
    <m/>
    <n v="0"/>
    <n v="0"/>
    <n v="0"/>
    <n v="0"/>
    <n v="0"/>
    <n v="0"/>
    <n v="0"/>
    <n v="1"/>
    <n v="227"/>
    <n v="1"/>
    <n v="1"/>
    <n v="0"/>
    <n v="0"/>
    <n v="0"/>
    <n v="38"/>
    <n v="38"/>
    <n v="1"/>
    <n v="0"/>
    <n v="0"/>
    <n v="0"/>
    <n v="0"/>
    <n v="1"/>
    <n v="0"/>
    <n v="0"/>
    <n v="0"/>
    <n v="0"/>
    <x v="0"/>
    <s v="Village"/>
    <x v="0"/>
    <n v="0"/>
    <n v="0"/>
    <n v="0"/>
    <n v="0"/>
    <x v="0"/>
    <m/>
  </r>
  <r>
    <x v="1"/>
    <x v="11"/>
    <x v="11"/>
    <s v="LIFT"/>
    <x v="2"/>
    <x v="17"/>
    <x v="0"/>
    <x v="222"/>
    <n v="14"/>
    <n v="80"/>
    <d v="2020-01-01T00:00:00"/>
    <d v="2022-12-31T00:00:00"/>
    <m/>
    <m/>
    <m/>
    <m/>
    <m/>
    <m/>
    <m/>
    <m/>
    <m/>
    <m/>
    <x v="0"/>
    <m/>
    <n v="1"/>
    <m/>
    <m/>
    <m/>
    <m/>
    <m/>
    <m/>
    <m/>
    <m/>
    <m/>
    <m/>
    <m/>
    <m/>
    <m/>
    <m/>
    <m/>
    <m/>
    <m/>
    <m/>
    <m/>
    <m/>
    <n v="0"/>
    <n v="0"/>
    <n v="0"/>
    <n v="0"/>
    <n v="0"/>
    <n v="0"/>
    <n v="0"/>
    <n v="1"/>
    <n v="80"/>
    <n v="1"/>
    <n v="1"/>
    <n v="0"/>
    <n v="0"/>
    <n v="0"/>
    <n v="13"/>
    <n v="13"/>
    <n v="1"/>
    <n v="0"/>
    <n v="0"/>
    <n v="0"/>
    <n v="0"/>
    <n v="1"/>
    <n v="0"/>
    <n v="0"/>
    <n v="0"/>
    <n v="0"/>
    <x v="0"/>
    <s v="Village"/>
    <x v="0"/>
    <n v="0"/>
    <n v="0"/>
    <n v="0"/>
    <n v="0"/>
    <x v="0"/>
    <m/>
  </r>
  <r>
    <x v="1"/>
    <x v="11"/>
    <x v="11"/>
    <s v="World Concern"/>
    <x v="0"/>
    <x v="18"/>
    <x v="0"/>
    <x v="223"/>
    <n v="22"/>
    <n v="170"/>
    <d v="2018-07-01T00:00:00"/>
    <d v="2020-06-30T00:00:00"/>
    <n v="0"/>
    <n v="0"/>
    <n v="1"/>
    <m/>
    <m/>
    <m/>
    <m/>
    <m/>
    <m/>
    <n v="15"/>
    <x v="0"/>
    <m/>
    <n v="0"/>
    <n v="0"/>
    <m/>
    <m/>
    <m/>
    <n v="0"/>
    <n v="0"/>
    <n v="0"/>
    <n v="0"/>
    <m/>
    <m/>
    <n v="10"/>
    <m/>
    <n v="11"/>
    <m/>
    <m/>
    <m/>
    <m/>
    <m/>
    <m/>
    <m/>
    <n v="1"/>
    <n v="170"/>
    <n v="0"/>
    <n v="0"/>
    <n v="1"/>
    <n v="170"/>
    <n v="0.68"/>
    <n v="0"/>
    <n v="0"/>
    <n v="0.31999999999999995"/>
    <n v="1"/>
    <n v="0.52941176470588236"/>
    <n v="90"/>
    <n v="0"/>
    <n v="28"/>
    <n v="13"/>
    <n v="0.47058823529411764"/>
    <n v="0"/>
    <n v="60"/>
    <n v="66"/>
    <n v="0.38823529411764707"/>
    <n v="0.61176470588235299"/>
    <n v="0"/>
    <n v="66"/>
    <n v="0"/>
    <n v="66"/>
    <x v="0"/>
    <s v="Village"/>
    <x v="0"/>
    <n v="0"/>
    <n v="0"/>
    <n v="0"/>
    <n v="0"/>
    <x v="0"/>
    <m/>
  </r>
  <r>
    <x v="1"/>
    <x v="11"/>
    <x v="11"/>
    <s v="World Concern"/>
    <x v="0"/>
    <x v="18"/>
    <x v="0"/>
    <x v="224"/>
    <n v="8"/>
    <n v="31"/>
    <d v="2018-07-01T00:00:00"/>
    <d v="2020-06-30T00:00:00"/>
    <n v="0"/>
    <n v="0"/>
    <m/>
    <m/>
    <m/>
    <m/>
    <m/>
    <m/>
    <m/>
    <n v="3"/>
    <x v="0"/>
    <m/>
    <n v="0"/>
    <n v="0"/>
    <m/>
    <m/>
    <m/>
    <n v="0"/>
    <n v="0"/>
    <n v="0"/>
    <n v="0"/>
    <m/>
    <m/>
    <n v="2"/>
    <m/>
    <n v="3"/>
    <m/>
    <m/>
    <m/>
    <m/>
    <m/>
    <m/>
    <m/>
    <n v="0"/>
    <n v="0"/>
    <n v="0"/>
    <n v="0"/>
    <n v="0"/>
    <n v="0"/>
    <n v="0"/>
    <n v="1"/>
    <n v="31"/>
    <n v="1"/>
    <n v="1"/>
    <n v="0.58064516129032262"/>
    <n v="18"/>
    <n v="0"/>
    <n v="5"/>
    <n v="2"/>
    <n v="0.41935483870967738"/>
    <n v="0"/>
    <n v="12"/>
    <n v="18"/>
    <n v="0.58064516129032262"/>
    <n v="0.41935483870967738"/>
    <n v="0"/>
    <n v="18"/>
    <n v="0"/>
    <n v="18"/>
    <x v="0"/>
    <s v="Village"/>
    <x v="0"/>
    <n v="0"/>
    <n v="0"/>
    <n v="0"/>
    <n v="0"/>
    <x v="0"/>
    <m/>
  </r>
  <r>
    <x v="1"/>
    <x v="11"/>
    <x v="11"/>
    <s v="World Concern"/>
    <x v="0"/>
    <x v="18"/>
    <x v="0"/>
    <x v="225"/>
    <n v="38"/>
    <n v="212"/>
    <d v="2018-07-01T00:00:00"/>
    <d v="2020-06-30T00:00:00"/>
    <n v="0"/>
    <n v="0"/>
    <m/>
    <m/>
    <m/>
    <m/>
    <m/>
    <m/>
    <m/>
    <n v="38"/>
    <x v="0"/>
    <m/>
    <n v="1"/>
    <n v="0"/>
    <m/>
    <m/>
    <m/>
    <n v="0"/>
    <n v="0"/>
    <n v="0"/>
    <n v="0"/>
    <m/>
    <m/>
    <n v="20"/>
    <m/>
    <n v="24"/>
    <m/>
    <m/>
    <m/>
    <m/>
    <m/>
    <m/>
    <m/>
    <n v="0"/>
    <n v="0"/>
    <n v="0"/>
    <n v="0"/>
    <n v="0"/>
    <n v="0"/>
    <n v="0"/>
    <n v="1"/>
    <n v="212"/>
    <n v="1"/>
    <n v="1"/>
    <n v="1"/>
    <n v="212"/>
    <n v="0"/>
    <n v="35"/>
    <n v="0"/>
    <n v="0"/>
    <n v="0"/>
    <n v="120"/>
    <n v="144"/>
    <n v="0.67924528301886788"/>
    <n v="0.32075471698113212"/>
    <n v="0"/>
    <n v="144"/>
    <n v="0"/>
    <n v="144"/>
    <x v="0"/>
    <s v="Village"/>
    <x v="0"/>
    <n v="0"/>
    <n v="0"/>
    <n v="0"/>
    <n v="0"/>
    <x v="0"/>
    <m/>
  </r>
  <r>
    <x v="1"/>
    <x v="11"/>
    <x v="11"/>
    <s v="World Concern"/>
    <x v="0"/>
    <x v="19"/>
    <x v="0"/>
    <x v="226"/>
    <n v="61"/>
    <n v="311"/>
    <d v="2018-07-01T00:00:00"/>
    <d v="2020-06-30T00:00:00"/>
    <n v="0"/>
    <n v="0"/>
    <m/>
    <m/>
    <m/>
    <m/>
    <m/>
    <m/>
    <m/>
    <n v="61"/>
    <x v="0"/>
    <m/>
    <n v="0"/>
    <n v="0"/>
    <m/>
    <m/>
    <m/>
    <n v="0"/>
    <n v="0"/>
    <n v="0"/>
    <n v="0"/>
    <m/>
    <m/>
    <n v="35"/>
    <m/>
    <n v="31"/>
    <m/>
    <m/>
    <m/>
    <m/>
    <m/>
    <m/>
    <m/>
    <n v="0"/>
    <n v="0"/>
    <n v="0"/>
    <n v="0"/>
    <n v="0"/>
    <n v="0"/>
    <n v="0"/>
    <n v="1"/>
    <n v="311"/>
    <n v="1"/>
    <n v="1"/>
    <n v="1"/>
    <n v="311"/>
    <n v="0"/>
    <n v="52"/>
    <n v="0"/>
    <n v="0"/>
    <n v="0"/>
    <n v="210"/>
    <n v="186"/>
    <n v="0.59807073954983925"/>
    <n v="0.40192926045016075"/>
    <n v="0"/>
    <n v="186"/>
    <n v="0"/>
    <n v="186"/>
    <x v="0"/>
    <s v="Village"/>
    <x v="0"/>
    <n v="0"/>
    <n v="0"/>
    <n v="0"/>
    <n v="0"/>
    <x v="0"/>
    <m/>
  </r>
  <r>
    <x v="1"/>
    <x v="11"/>
    <x v="11"/>
    <s v="World Concern"/>
    <x v="0"/>
    <x v="19"/>
    <x v="0"/>
    <x v="227"/>
    <n v="23"/>
    <n v="115"/>
    <d v="2018-07-01T00:00:00"/>
    <d v="2020-06-30T00:00:00"/>
    <n v="0"/>
    <n v="0"/>
    <m/>
    <m/>
    <m/>
    <m/>
    <m/>
    <m/>
    <m/>
    <n v="23"/>
    <x v="0"/>
    <m/>
    <n v="0"/>
    <n v="0"/>
    <m/>
    <m/>
    <m/>
    <n v="0"/>
    <n v="0"/>
    <n v="0"/>
    <n v="0"/>
    <m/>
    <m/>
    <n v="15"/>
    <m/>
    <n v="17"/>
    <m/>
    <m/>
    <m/>
    <m/>
    <m/>
    <m/>
    <m/>
    <n v="0"/>
    <n v="0"/>
    <n v="0"/>
    <n v="0"/>
    <n v="0"/>
    <n v="0"/>
    <n v="0"/>
    <n v="1"/>
    <n v="115"/>
    <n v="1"/>
    <n v="1"/>
    <n v="1"/>
    <n v="115"/>
    <n v="0"/>
    <n v="19"/>
    <n v="0"/>
    <n v="0"/>
    <n v="0"/>
    <n v="90"/>
    <n v="102"/>
    <n v="0.88695652173913042"/>
    <n v="0.11304347826086958"/>
    <n v="0"/>
    <n v="102"/>
    <n v="0"/>
    <n v="102"/>
    <x v="0"/>
    <s v="Village"/>
    <x v="0"/>
    <n v="0"/>
    <n v="0"/>
    <n v="0"/>
    <n v="0"/>
    <x v="0"/>
    <m/>
  </r>
  <r>
    <x v="1"/>
    <x v="11"/>
    <x v="11"/>
    <s v="World Concern"/>
    <x v="0"/>
    <x v="19"/>
    <x v="0"/>
    <x v="228"/>
    <n v="47"/>
    <n v="260"/>
    <d v="2018-07-01T00:00:00"/>
    <d v="2020-06-30T00:00:00"/>
    <n v="0"/>
    <n v="0"/>
    <n v="1"/>
    <m/>
    <m/>
    <m/>
    <m/>
    <m/>
    <m/>
    <n v="30"/>
    <x v="0"/>
    <m/>
    <n v="0"/>
    <n v="0"/>
    <m/>
    <m/>
    <m/>
    <n v="0"/>
    <n v="0"/>
    <n v="0"/>
    <n v="0"/>
    <m/>
    <m/>
    <n v="20"/>
    <m/>
    <n v="19"/>
    <m/>
    <m/>
    <m/>
    <m/>
    <m/>
    <m/>
    <m/>
    <n v="1"/>
    <n v="260"/>
    <n v="0"/>
    <n v="0"/>
    <n v="1"/>
    <n v="260"/>
    <n v="1.04"/>
    <n v="0"/>
    <n v="0"/>
    <n v="0"/>
    <n v="1"/>
    <n v="0.69230769230769229"/>
    <n v="180"/>
    <n v="0"/>
    <n v="43"/>
    <n v="13"/>
    <n v="0.30769230769230771"/>
    <n v="0"/>
    <n v="120"/>
    <n v="114"/>
    <n v="0.43846153846153846"/>
    <n v="0.56153846153846154"/>
    <n v="0"/>
    <n v="114"/>
    <n v="0"/>
    <n v="114"/>
    <x v="0"/>
    <s v="Village"/>
    <x v="0"/>
    <n v="0"/>
    <n v="0"/>
    <n v="0"/>
    <n v="0"/>
    <x v="0"/>
    <m/>
  </r>
  <r>
    <x v="1"/>
    <x v="11"/>
    <x v="11"/>
    <s v="World Concern"/>
    <x v="0"/>
    <x v="19"/>
    <x v="0"/>
    <x v="229"/>
    <n v="60"/>
    <n v="330"/>
    <d v="2018-07-01T00:00:00"/>
    <d v="2020-06-30T00:00:00"/>
    <n v="0"/>
    <n v="0"/>
    <m/>
    <m/>
    <m/>
    <m/>
    <m/>
    <m/>
    <m/>
    <n v="60"/>
    <x v="0"/>
    <m/>
    <n v="0"/>
    <n v="0"/>
    <m/>
    <m/>
    <m/>
    <n v="0"/>
    <n v="0"/>
    <n v="0"/>
    <n v="0"/>
    <m/>
    <m/>
    <n v="32"/>
    <m/>
    <n v="31"/>
    <m/>
    <m/>
    <m/>
    <m/>
    <m/>
    <m/>
    <m/>
    <n v="0"/>
    <n v="0"/>
    <n v="0"/>
    <n v="0"/>
    <n v="0"/>
    <n v="0"/>
    <n v="0"/>
    <n v="1"/>
    <n v="330"/>
    <n v="1"/>
    <n v="1"/>
    <n v="1"/>
    <n v="330"/>
    <n v="0"/>
    <n v="55"/>
    <n v="0"/>
    <n v="0"/>
    <n v="0"/>
    <n v="192"/>
    <n v="186"/>
    <n v="0.5636363636363636"/>
    <n v="0.4363636363636364"/>
    <n v="0"/>
    <n v="186"/>
    <n v="0"/>
    <n v="186"/>
    <x v="0"/>
    <s v="Village"/>
    <x v="0"/>
    <n v="0"/>
    <n v="0"/>
    <n v="0"/>
    <n v="0"/>
    <x v="0"/>
    <m/>
  </r>
  <r>
    <x v="1"/>
    <x v="11"/>
    <x v="11"/>
    <s v="World Concern"/>
    <x v="0"/>
    <x v="19"/>
    <x v="0"/>
    <x v="230"/>
    <n v="40"/>
    <n v="170"/>
    <d v="2018-07-01T00:00:00"/>
    <d v="2020-06-30T00:00:00"/>
    <n v="0"/>
    <n v="0"/>
    <m/>
    <m/>
    <m/>
    <m/>
    <m/>
    <m/>
    <m/>
    <n v="40"/>
    <x v="0"/>
    <m/>
    <n v="2"/>
    <n v="0"/>
    <m/>
    <m/>
    <m/>
    <n v="0"/>
    <n v="0"/>
    <n v="0"/>
    <n v="0"/>
    <m/>
    <m/>
    <n v="21"/>
    <m/>
    <n v="23"/>
    <m/>
    <m/>
    <m/>
    <m/>
    <m/>
    <m/>
    <m/>
    <n v="0"/>
    <n v="0"/>
    <n v="0"/>
    <n v="0"/>
    <n v="0"/>
    <n v="0"/>
    <n v="0"/>
    <n v="1"/>
    <n v="170"/>
    <n v="1"/>
    <n v="1"/>
    <n v="1"/>
    <n v="170"/>
    <n v="0"/>
    <n v="28"/>
    <n v="0"/>
    <n v="0"/>
    <n v="0"/>
    <n v="126"/>
    <n v="138"/>
    <n v="0.81176470588235294"/>
    <n v="0.18823529411764706"/>
    <n v="0"/>
    <n v="138"/>
    <n v="0"/>
    <n v="138"/>
    <x v="0"/>
    <s v="Village"/>
    <x v="0"/>
    <n v="0"/>
    <n v="0"/>
    <n v="0"/>
    <n v="0"/>
    <x v="0"/>
    <m/>
  </r>
  <r>
    <x v="1"/>
    <x v="11"/>
    <x v="11"/>
    <s v="World Concern"/>
    <x v="0"/>
    <x v="19"/>
    <x v="0"/>
    <x v="231"/>
    <n v="31"/>
    <n v="156"/>
    <d v="2018-07-01T00:00:00"/>
    <d v="2020-06-30T00:00:00"/>
    <n v="0"/>
    <n v="0"/>
    <m/>
    <m/>
    <m/>
    <m/>
    <m/>
    <m/>
    <m/>
    <n v="31"/>
    <x v="0"/>
    <m/>
    <n v="0"/>
    <n v="0"/>
    <m/>
    <m/>
    <m/>
    <n v="0"/>
    <n v="0"/>
    <n v="0"/>
    <n v="0"/>
    <m/>
    <m/>
    <n v="14"/>
    <m/>
    <n v="15"/>
    <m/>
    <m/>
    <m/>
    <m/>
    <m/>
    <m/>
    <m/>
    <n v="0"/>
    <n v="0"/>
    <n v="0"/>
    <n v="0"/>
    <n v="0"/>
    <n v="0"/>
    <n v="0"/>
    <n v="1"/>
    <n v="156"/>
    <n v="1"/>
    <n v="1"/>
    <n v="1"/>
    <n v="156"/>
    <n v="0"/>
    <n v="26"/>
    <n v="0"/>
    <n v="0"/>
    <n v="0"/>
    <n v="84"/>
    <n v="90"/>
    <n v="0.57692307692307687"/>
    <n v="0.42307692307692313"/>
    <n v="0"/>
    <n v="90"/>
    <n v="0"/>
    <n v="90"/>
    <x v="0"/>
    <s v="Village"/>
    <x v="0"/>
    <n v="0"/>
    <n v="0"/>
    <n v="0"/>
    <n v="0"/>
    <x v="0"/>
    <m/>
  </r>
  <r>
    <x v="1"/>
    <x v="0"/>
    <x v="12"/>
    <s v="HARP"/>
    <x v="0"/>
    <x v="20"/>
    <x v="0"/>
    <x v="232"/>
    <n v="472"/>
    <n v="2624"/>
    <s v="5-1-2019"/>
    <s v="12-31-2020"/>
    <n v="327"/>
    <m/>
    <m/>
    <n v="50"/>
    <m/>
    <m/>
    <m/>
    <m/>
    <m/>
    <n v="93"/>
    <x v="0"/>
    <m/>
    <m/>
    <n v="93"/>
    <m/>
    <m/>
    <m/>
    <m/>
    <m/>
    <m/>
    <m/>
    <m/>
    <m/>
    <m/>
    <m/>
    <m/>
    <m/>
    <m/>
    <m/>
    <m/>
    <m/>
    <m/>
    <m/>
    <n v="1"/>
    <n v="2624"/>
    <n v="0"/>
    <n v="0"/>
    <n v="1"/>
    <n v="2624"/>
    <n v="10.496"/>
    <n v="0"/>
    <n v="0"/>
    <n v="0"/>
    <n v="10"/>
    <n v="0.24809451219512196"/>
    <n v="651"/>
    <n v="0"/>
    <n v="437"/>
    <n v="344"/>
    <n v="0.75190548780487809"/>
    <n v="0"/>
    <n v="0"/>
    <n v="0"/>
    <n v="0"/>
    <n v="1"/>
    <n v="0"/>
    <n v="0"/>
    <n v="0"/>
    <n v="0"/>
    <x v="1"/>
    <s v="Village"/>
    <x v="0"/>
    <n v="0"/>
    <n v="0"/>
    <n v="0"/>
    <n v="0"/>
    <x v="0"/>
    <m/>
  </r>
  <r>
    <x v="1"/>
    <x v="0"/>
    <x v="12"/>
    <s v="HARP"/>
    <x v="0"/>
    <x v="20"/>
    <x v="0"/>
    <x v="233"/>
    <n v="147"/>
    <n v="719"/>
    <s v="5-1-2019"/>
    <s v="12-31-2020"/>
    <n v="98"/>
    <m/>
    <m/>
    <m/>
    <m/>
    <m/>
    <m/>
    <m/>
    <m/>
    <m/>
    <x v="0"/>
    <m/>
    <m/>
    <m/>
    <m/>
    <m/>
    <m/>
    <m/>
    <m/>
    <m/>
    <m/>
    <m/>
    <m/>
    <m/>
    <m/>
    <m/>
    <m/>
    <m/>
    <m/>
    <m/>
    <m/>
    <m/>
    <m/>
    <n v="0"/>
    <n v="0"/>
    <n v="0"/>
    <n v="0"/>
    <n v="0"/>
    <n v="0"/>
    <n v="0"/>
    <n v="1"/>
    <n v="719"/>
    <n v="3"/>
    <n v="3"/>
    <n v="0"/>
    <n v="0"/>
    <n v="0"/>
    <n v="120"/>
    <n v="120"/>
    <n v="1"/>
    <n v="0"/>
    <n v="0"/>
    <n v="0"/>
    <n v="0"/>
    <n v="1"/>
    <n v="0"/>
    <n v="0"/>
    <n v="0"/>
    <n v="0"/>
    <x v="1"/>
    <s v="Village"/>
    <x v="0"/>
    <n v="0"/>
    <n v="0"/>
    <n v="0"/>
    <n v="0"/>
    <x v="0"/>
    <m/>
  </r>
  <r>
    <x v="1"/>
    <x v="0"/>
    <x v="12"/>
    <s v="HARP"/>
    <x v="0"/>
    <x v="20"/>
    <x v="0"/>
    <x v="234"/>
    <n v="104"/>
    <n v="569"/>
    <s v="5-1-2019"/>
    <s v="12-31-2020"/>
    <n v="64"/>
    <m/>
    <m/>
    <m/>
    <m/>
    <m/>
    <m/>
    <m/>
    <m/>
    <n v="23"/>
    <x v="0"/>
    <m/>
    <m/>
    <n v="23"/>
    <m/>
    <m/>
    <m/>
    <m/>
    <m/>
    <m/>
    <m/>
    <m/>
    <m/>
    <m/>
    <m/>
    <m/>
    <m/>
    <m/>
    <m/>
    <m/>
    <m/>
    <m/>
    <m/>
    <n v="0"/>
    <n v="0"/>
    <n v="0"/>
    <n v="0"/>
    <n v="0"/>
    <n v="0"/>
    <n v="0"/>
    <n v="1"/>
    <n v="569"/>
    <n v="2"/>
    <n v="2"/>
    <n v="0.28295254833040423"/>
    <n v="161"/>
    <n v="0"/>
    <n v="95"/>
    <n v="72"/>
    <n v="0.71704745166959571"/>
    <n v="0"/>
    <n v="0"/>
    <n v="0"/>
    <n v="0"/>
    <n v="1"/>
    <n v="0"/>
    <n v="0"/>
    <n v="0"/>
    <n v="0"/>
    <x v="1"/>
    <s v="Village"/>
    <x v="0"/>
    <n v="0"/>
    <n v="0"/>
    <n v="0"/>
    <n v="0"/>
    <x v="0"/>
    <m/>
  </r>
  <r>
    <x v="1"/>
    <x v="0"/>
    <x v="12"/>
    <s v="HARP"/>
    <x v="0"/>
    <x v="20"/>
    <x v="0"/>
    <x v="235"/>
    <n v="54"/>
    <n v="259"/>
    <s v="5-1-2019"/>
    <s v="12-31-2020"/>
    <n v="23"/>
    <n v="0"/>
    <n v="0"/>
    <m/>
    <m/>
    <m/>
    <m/>
    <m/>
    <m/>
    <m/>
    <x v="4"/>
    <m/>
    <m/>
    <m/>
    <m/>
    <m/>
    <m/>
    <m/>
    <m/>
    <m/>
    <m/>
    <m/>
    <m/>
    <m/>
    <m/>
    <m/>
    <m/>
    <m/>
    <m/>
    <m/>
    <m/>
    <m/>
    <m/>
    <n v="0"/>
    <n v="0"/>
    <n v="0"/>
    <n v="0"/>
    <n v="0"/>
    <n v="0"/>
    <n v="0"/>
    <n v="1"/>
    <n v="259"/>
    <n v="1"/>
    <n v="1"/>
    <n v="0"/>
    <n v="0"/>
    <n v="0"/>
    <n v="43"/>
    <n v="43"/>
    <n v="1"/>
    <n v="0"/>
    <n v="0"/>
    <n v="0"/>
    <n v="0"/>
    <n v="1"/>
    <n v="0"/>
    <n v="0"/>
    <n v="0"/>
    <n v="0"/>
    <x v="1"/>
    <s v="Village"/>
    <x v="0"/>
    <n v="0"/>
    <n v="0"/>
    <n v="0"/>
    <n v="0"/>
    <x v="0"/>
    <m/>
  </r>
  <r>
    <x v="1"/>
    <x v="1"/>
    <x v="1"/>
    <s v="OFDA"/>
    <x v="1"/>
    <x v="8"/>
    <x v="0"/>
    <x v="55"/>
    <n v="204"/>
    <n v="1055"/>
    <d v="2019-04-01T00:00:00"/>
    <d v="2020-06-30T00:00:00"/>
    <n v="241"/>
    <m/>
    <n v="1"/>
    <n v="1"/>
    <n v="3"/>
    <m/>
    <n v="527"/>
    <m/>
    <m/>
    <n v="35"/>
    <x v="1"/>
    <n v="2"/>
    <m/>
    <m/>
    <m/>
    <m/>
    <m/>
    <n v="87"/>
    <n v="102"/>
    <n v="46"/>
    <n v="56"/>
    <m/>
    <m/>
    <m/>
    <n v="1"/>
    <m/>
    <m/>
    <m/>
    <m/>
    <m/>
    <m/>
    <m/>
    <m/>
    <n v="1"/>
    <n v="1055"/>
    <n v="1"/>
    <n v="1055"/>
    <n v="1"/>
    <n v="1055"/>
    <n v="4.22"/>
    <n v="0"/>
    <n v="0"/>
    <n v="0"/>
    <n v="4"/>
    <n v="0.1990521327014218"/>
    <n v="210"/>
    <n v="100"/>
    <n v="176"/>
    <n v="141"/>
    <n v="0.80094786729857814"/>
    <n v="291"/>
    <n v="0"/>
    <n v="291"/>
    <n v="0.27582938388625594"/>
    <n v="0.724170616113744"/>
    <n v="0.27582938388625594"/>
    <n v="0"/>
    <n v="0"/>
    <n v="0"/>
    <x v="1"/>
    <s v="Village"/>
    <x v="0"/>
    <s v="Rakhine"/>
    <n v="20.0839"/>
    <n v="92.993799999999993"/>
    <n v="197557"/>
    <x v="0"/>
    <m/>
  </r>
  <r>
    <x v="1"/>
    <x v="1"/>
    <x v="1"/>
    <s v="OFDA"/>
    <x v="1"/>
    <x v="8"/>
    <x v="0"/>
    <x v="56"/>
    <n v="948"/>
    <n v="3946"/>
    <d v="2019-04-01T00:00:00"/>
    <d v="2020-06-30T00:00:00"/>
    <n v="342"/>
    <m/>
    <n v="65"/>
    <n v="110"/>
    <n v="3"/>
    <m/>
    <n v="1973"/>
    <n v="2"/>
    <m/>
    <n v="85"/>
    <x v="1"/>
    <n v="4"/>
    <m/>
    <m/>
    <m/>
    <m/>
    <m/>
    <n v="532"/>
    <n v="538"/>
    <n v="192"/>
    <n v="193"/>
    <m/>
    <m/>
    <m/>
    <n v="2"/>
    <m/>
    <m/>
    <m/>
    <m/>
    <m/>
    <m/>
    <m/>
    <m/>
    <n v="1"/>
    <n v="3946"/>
    <n v="1"/>
    <n v="3946"/>
    <n v="1"/>
    <n v="3946"/>
    <n v="15.784000000000001"/>
    <n v="0"/>
    <n v="0"/>
    <n v="0.2159999999999993"/>
    <n v="16"/>
    <n v="0.12924480486568676"/>
    <n v="509.99999999999994"/>
    <n v="200"/>
    <n v="658"/>
    <n v="573"/>
    <n v="0.87075519513431321"/>
    <n v="1455"/>
    <n v="0"/>
    <n v="1455"/>
    <n v="0.36872782564622403"/>
    <n v="0.63127217435377592"/>
    <n v="0.36872782564622403"/>
    <n v="0"/>
    <n v="0"/>
    <n v="0"/>
    <x v="1"/>
    <s v="Village"/>
    <x v="0"/>
    <s v="Muslim"/>
    <n v="20.0641"/>
    <n v="92.994600000000005"/>
    <n v="197548"/>
    <x v="0"/>
    <m/>
  </r>
  <r>
    <x v="1"/>
    <x v="1"/>
    <x v="1"/>
    <s v="OFDA"/>
    <x v="1"/>
    <x v="8"/>
    <x v="0"/>
    <x v="57"/>
    <n v="477"/>
    <n v="2034"/>
    <d v="2019-04-01T00:00:00"/>
    <d v="2020-06-30T00:00:00"/>
    <n v="462"/>
    <m/>
    <n v="35"/>
    <n v="50"/>
    <n v="1"/>
    <m/>
    <n v="1017"/>
    <n v="2"/>
    <m/>
    <n v="90"/>
    <x v="1"/>
    <n v="8"/>
    <m/>
    <m/>
    <m/>
    <m/>
    <m/>
    <n v="31"/>
    <n v="220"/>
    <n v="36"/>
    <n v="35"/>
    <m/>
    <m/>
    <m/>
    <n v="4"/>
    <m/>
    <m/>
    <m/>
    <m/>
    <m/>
    <m/>
    <m/>
    <m/>
    <n v="1"/>
    <n v="2034"/>
    <n v="1"/>
    <n v="2034"/>
    <n v="1"/>
    <n v="2034"/>
    <n v="8.1359999999999992"/>
    <n v="0"/>
    <n v="0"/>
    <n v="0"/>
    <n v="8"/>
    <n v="0.26548672566371684"/>
    <n v="540"/>
    <n v="400"/>
    <n v="339"/>
    <n v="249"/>
    <n v="0.73451327433628322"/>
    <n v="322"/>
    <n v="0"/>
    <n v="322"/>
    <n v="0.1583087512291052"/>
    <n v="0.84169124877089474"/>
    <n v="0.1583087512291052"/>
    <n v="0"/>
    <n v="0"/>
    <n v="0"/>
    <x v="1"/>
    <s v="Village"/>
    <x v="0"/>
    <s v="Rakhine"/>
    <n v="20.057860999999999"/>
    <n v="92.995181000000002"/>
    <n v="197550"/>
    <x v="0"/>
    <m/>
  </r>
  <r>
    <x v="1"/>
    <x v="1"/>
    <x v="1"/>
    <s v="BMZ"/>
    <x v="1"/>
    <x v="8"/>
    <x v="0"/>
    <x v="58"/>
    <n v="79"/>
    <n v="341"/>
    <d v="2018-09-16T00:00:00"/>
    <d v="2020-12-31T00:00:00"/>
    <n v="40"/>
    <m/>
    <m/>
    <m/>
    <n v="1"/>
    <m/>
    <n v="341"/>
    <n v="1"/>
    <m/>
    <n v="5"/>
    <x v="2"/>
    <n v="3"/>
    <n v="14"/>
    <m/>
    <m/>
    <m/>
    <m/>
    <m/>
    <m/>
    <m/>
    <m/>
    <m/>
    <m/>
    <m/>
    <m/>
    <m/>
    <m/>
    <m/>
    <m/>
    <m/>
    <m/>
    <m/>
    <m/>
    <n v="0.73313782991202348"/>
    <n v="250"/>
    <n v="1"/>
    <n v="341"/>
    <n v="1"/>
    <n v="341"/>
    <n v="1.3640000000000001"/>
    <n v="0"/>
    <n v="0"/>
    <n v="0"/>
    <n v="1"/>
    <n v="8.797653958944282E-2"/>
    <n v="30"/>
    <n v="150"/>
    <n v="57"/>
    <n v="52"/>
    <n v="0.91202346041055715"/>
    <n v="0"/>
    <n v="0"/>
    <n v="0"/>
    <n v="0"/>
    <n v="1"/>
    <n v="0"/>
    <n v="0"/>
    <n v="0"/>
    <n v="0"/>
    <x v="1"/>
    <s v="Village"/>
    <x v="0"/>
    <n v="0"/>
    <n v="92.969009399414105"/>
    <n v="20.014240264892599"/>
    <n v="197542"/>
    <x v="0"/>
    <m/>
  </r>
  <r>
    <x v="1"/>
    <x v="1"/>
    <x v="1"/>
    <s v="BMZ"/>
    <x v="1"/>
    <x v="8"/>
    <x v="0"/>
    <x v="59"/>
    <n v="84"/>
    <n v="359"/>
    <d v="2018-09-16T00:00:00"/>
    <d v="2020-12-31T00:00:00"/>
    <n v="78"/>
    <m/>
    <m/>
    <m/>
    <n v="0"/>
    <m/>
    <n v="359"/>
    <n v="0"/>
    <m/>
    <n v="2"/>
    <x v="2"/>
    <n v="1"/>
    <n v="8"/>
    <m/>
    <m/>
    <m/>
    <m/>
    <m/>
    <m/>
    <m/>
    <m/>
    <m/>
    <m/>
    <m/>
    <m/>
    <m/>
    <m/>
    <m/>
    <m/>
    <m/>
    <m/>
    <m/>
    <m/>
    <n v="0"/>
    <n v="0"/>
    <n v="1"/>
    <n v="359"/>
    <n v="1"/>
    <n v="359"/>
    <n v="1.4359999999999999"/>
    <n v="0"/>
    <n v="0"/>
    <n v="0"/>
    <n v="1"/>
    <n v="3.3426183844011144E-2"/>
    <n v="12"/>
    <n v="50"/>
    <n v="60"/>
    <n v="58"/>
    <n v="0.96657381615598881"/>
    <n v="0"/>
    <n v="0"/>
    <n v="0"/>
    <n v="0"/>
    <n v="1"/>
    <n v="0"/>
    <n v="0"/>
    <n v="0"/>
    <n v="0"/>
    <x v="1"/>
    <s v="Village"/>
    <x v="0"/>
    <n v="0"/>
    <n v="92.967132568359403"/>
    <n v="19.9705104827881"/>
    <n v="197568"/>
    <x v="0"/>
    <m/>
  </r>
  <r>
    <x v="1"/>
    <x v="1"/>
    <x v="1"/>
    <s v="BMZ"/>
    <x v="1"/>
    <x v="8"/>
    <x v="0"/>
    <x v="60"/>
    <n v="21"/>
    <n v="83"/>
    <d v="2018-09-16T00:00:00"/>
    <d v="2020-12-31T00:00:00"/>
    <n v="9"/>
    <m/>
    <m/>
    <m/>
    <n v="1"/>
    <m/>
    <n v="83"/>
    <n v="0"/>
    <m/>
    <n v="0"/>
    <x v="2"/>
    <n v="0"/>
    <n v="0"/>
    <m/>
    <m/>
    <m/>
    <m/>
    <m/>
    <m/>
    <m/>
    <m/>
    <m/>
    <m/>
    <m/>
    <m/>
    <m/>
    <m/>
    <m/>
    <m/>
    <m/>
    <m/>
    <m/>
    <m/>
    <n v="0"/>
    <n v="0"/>
    <n v="1"/>
    <n v="83"/>
    <n v="1"/>
    <n v="83"/>
    <n v="0.33200000000000002"/>
    <n v="0"/>
    <n v="0"/>
    <n v="0.66799999999999993"/>
    <n v="1"/>
    <n v="0"/>
    <n v="0"/>
    <n v="0"/>
    <n v="14"/>
    <n v="14"/>
    <n v="1"/>
    <n v="0"/>
    <n v="0"/>
    <n v="0"/>
    <n v="0"/>
    <n v="1"/>
    <n v="0"/>
    <n v="0"/>
    <n v="0"/>
    <n v="0"/>
    <x v="1"/>
    <s v="Village"/>
    <x v="0"/>
    <n v="0"/>
    <n v="92.943733215332003"/>
    <n v="20.0130805969238"/>
    <n v="217987"/>
    <x v="0"/>
    <m/>
  </r>
  <r>
    <x v="1"/>
    <x v="1"/>
    <x v="1"/>
    <s v="BMZ"/>
    <x v="1"/>
    <x v="8"/>
    <x v="0"/>
    <x v="61"/>
    <n v="160"/>
    <n v="728"/>
    <d v="2018-09-16T00:00:00"/>
    <d v="2020-12-31T00:00:00"/>
    <n v="177"/>
    <m/>
    <m/>
    <m/>
    <n v="0"/>
    <m/>
    <n v="728"/>
    <n v="0"/>
    <m/>
    <n v="10"/>
    <x v="2"/>
    <n v="2"/>
    <n v="11"/>
    <m/>
    <m/>
    <m/>
    <m/>
    <m/>
    <m/>
    <m/>
    <m/>
    <m/>
    <m/>
    <m/>
    <m/>
    <m/>
    <m/>
    <m/>
    <m/>
    <m/>
    <m/>
    <m/>
    <m/>
    <n v="0"/>
    <n v="0"/>
    <n v="1"/>
    <n v="728"/>
    <n v="1"/>
    <n v="728"/>
    <n v="2.9119999999999999"/>
    <n v="0"/>
    <n v="0"/>
    <n v="8.8000000000000078E-2"/>
    <n v="3"/>
    <n v="8.2417582417582416E-2"/>
    <n v="60"/>
    <n v="100"/>
    <n v="121"/>
    <n v="111"/>
    <n v="0.91758241758241754"/>
    <n v="0"/>
    <n v="0"/>
    <n v="0"/>
    <n v="0"/>
    <n v="1"/>
    <n v="0"/>
    <n v="0"/>
    <n v="0"/>
    <n v="0"/>
    <x v="1"/>
    <s v="Village"/>
    <x v="0"/>
    <n v="0"/>
    <n v="19.94882965"/>
    <n v="92.978782649999999"/>
    <n v="197566"/>
    <x v="0"/>
    <m/>
  </r>
  <r>
    <x v="1"/>
    <x v="3"/>
    <x v="3"/>
    <s v="BMZ"/>
    <x v="1"/>
    <x v="10"/>
    <x v="0"/>
    <x v="67"/>
    <n v="192"/>
    <n v="1083"/>
    <d v="2017-01-01T00:00:00"/>
    <d v="2021-12-21T00:00:00"/>
    <m/>
    <m/>
    <n v="2"/>
    <n v="52"/>
    <n v="3"/>
    <n v="53"/>
    <m/>
    <m/>
    <m/>
    <n v="112"/>
    <x v="3"/>
    <m/>
    <m/>
    <m/>
    <m/>
    <m/>
    <m/>
    <m/>
    <m/>
    <m/>
    <m/>
    <m/>
    <m/>
    <m/>
    <m/>
    <m/>
    <m/>
    <m/>
    <m/>
    <m/>
    <m/>
    <m/>
    <m/>
    <n v="1"/>
    <n v="1083"/>
    <n v="1"/>
    <n v="1083"/>
    <n v="1"/>
    <n v="1083"/>
    <n v="4.3319999999999999"/>
    <n v="0"/>
    <n v="0"/>
    <n v="0"/>
    <n v="4"/>
    <n v="0.62049861495844871"/>
    <n v="672"/>
    <n v="0"/>
    <n v="181"/>
    <n v="69"/>
    <n v="0.37950138504155129"/>
    <n v="0"/>
    <n v="0"/>
    <n v="0"/>
    <n v="0"/>
    <n v="1"/>
    <n v="0"/>
    <n v="0"/>
    <n v="0"/>
    <n v="0"/>
    <x v="0"/>
    <s v="Village"/>
    <x v="0"/>
    <n v="0"/>
    <n v="20.2034397125244"/>
    <n v="92.909606933593807"/>
    <n v="196132"/>
    <x v="0"/>
    <m/>
  </r>
  <r>
    <x v="1"/>
    <x v="3"/>
    <x v="3"/>
    <s v="BMZ"/>
    <x v="1"/>
    <x v="10"/>
    <x v="0"/>
    <x v="68"/>
    <n v="65"/>
    <n v="373"/>
    <d v="2017-01-01T00:00:00"/>
    <d v="2021-12-21T00:00:00"/>
    <m/>
    <m/>
    <n v="4"/>
    <n v="31"/>
    <n v="1"/>
    <m/>
    <m/>
    <m/>
    <m/>
    <n v="44"/>
    <x v="3"/>
    <m/>
    <m/>
    <m/>
    <m/>
    <m/>
    <m/>
    <m/>
    <m/>
    <m/>
    <m/>
    <m/>
    <m/>
    <m/>
    <m/>
    <m/>
    <m/>
    <m/>
    <m/>
    <m/>
    <m/>
    <m/>
    <m/>
    <n v="1"/>
    <n v="373"/>
    <n v="1"/>
    <n v="373"/>
    <n v="1"/>
    <n v="373"/>
    <n v="1.492"/>
    <n v="0"/>
    <n v="0"/>
    <n v="0"/>
    <n v="1"/>
    <n v="0.70777479892761397"/>
    <n v="264"/>
    <n v="0"/>
    <n v="62"/>
    <n v="18"/>
    <n v="0.29222520107238603"/>
    <n v="0"/>
    <n v="0"/>
    <n v="0"/>
    <n v="0"/>
    <n v="1"/>
    <n v="0"/>
    <n v="0"/>
    <n v="0"/>
    <n v="0"/>
    <x v="0"/>
    <s v="Village"/>
    <x v="0"/>
    <n v="0"/>
    <n v="20.191799163818398"/>
    <n v="92.9066162109375"/>
    <n v="196135"/>
    <x v="0"/>
    <m/>
  </r>
  <r>
    <x v="1"/>
    <x v="3"/>
    <x v="3"/>
    <s v="BMZ"/>
    <x v="1"/>
    <x v="10"/>
    <x v="0"/>
    <x v="69"/>
    <n v="86"/>
    <n v="481"/>
    <d v="2017-01-01T00:00:00"/>
    <d v="2021-12-21T00:00:00"/>
    <m/>
    <m/>
    <n v="8"/>
    <n v="34"/>
    <n v="2"/>
    <m/>
    <m/>
    <m/>
    <m/>
    <n v="67"/>
    <x v="3"/>
    <m/>
    <m/>
    <m/>
    <m/>
    <m/>
    <m/>
    <m/>
    <m/>
    <m/>
    <m/>
    <m/>
    <m/>
    <m/>
    <m/>
    <m/>
    <m/>
    <m/>
    <m/>
    <m/>
    <m/>
    <m/>
    <m/>
    <n v="1"/>
    <n v="481"/>
    <n v="1"/>
    <n v="481"/>
    <n v="1"/>
    <n v="481"/>
    <n v="1.9239999999999999"/>
    <n v="0"/>
    <n v="0"/>
    <n v="7.6000000000000068E-2"/>
    <n v="2"/>
    <n v="0.83575883575883581"/>
    <n v="402"/>
    <n v="0"/>
    <n v="80"/>
    <n v="13"/>
    <n v="0.16424116424116419"/>
    <n v="0"/>
    <n v="0"/>
    <n v="0"/>
    <n v="0"/>
    <n v="1"/>
    <n v="0"/>
    <n v="0"/>
    <n v="0"/>
    <n v="0"/>
    <x v="0"/>
    <s v="Village"/>
    <x v="0"/>
    <n v="0"/>
    <n v="20.187860488891602"/>
    <n v="92.903419494628906"/>
    <n v="196134"/>
    <x v="0"/>
    <m/>
  </r>
  <r>
    <x v="1"/>
    <x v="3"/>
    <x v="3"/>
    <s v="BMZ"/>
    <x v="1"/>
    <x v="10"/>
    <x v="0"/>
    <x v="70"/>
    <n v="88"/>
    <n v="454"/>
    <d v="2017-01-01T00:00:00"/>
    <d v="2021-12-21T00:00:00"/>
    <m/>
    <m/>
    <n v="6"/>
    <n v="41"/>
    <n v="1"/>
    <m/>
    <m/>
    <m/>
    <m/>
    <n v="76"/>
    <x v="3"/>
    <m/>
    <m/>
    <m/>
    <m/>
    <m/>
    <m/>
    <m/>
    <m/>
    <m/>
    <m/>
    <m/>
    <m/>
    <m/>
    <m/>
    <m/>
    <m/>
    <m/>
    <m/>
    <m/>
    <m/>
    <m/>
    <m/>
    <n v="1"/>
    <n v="454"/>
    <n v="1"/>
    <n v="454"/>
    <n v="1"/>
    <n v="454"/>
    <n v="1.8160000000000001"/>
    <n v="0"/>
    <n v="0"/>
    <n v="0.18399999999999994"/>
    <n v="2"/>
    <n v="1"/>
    <n v="454"/>
    <n v="0"/>
    <n v="76"/>
    <n v="0"/>
    <n v="0"/>
    <n v="0"/>
    <n v="0"/>
    <n v="0"/>
    <n v="0"/>
    <n v="1"/>
    <n v="0"/>
    <n v="0"/>
    <n v="0"/>
    <n v="0"/>
    <x v="0"/>
    <s v="Village"/>
    <x v="0"/>
    <n v="0"/>
    <n v="20.1899604797363"/>
    <n v="92.895767211914105"/>
    <n v="196136"/>
    <x v="0"/>
    <m/>
  </r>
  <r>
    <x v="1"/>
    <x v="3"/>
    <x v="3"/>
    <s v="EU"/>
    <x v="1"/>
    <x v="10"/>
    <x v="0"/>
    <x v="71"/>
    <n v="218"/>
    <n v="978"/>
    <d v="2017-01-01T00:00:00"/>
    <d v="2021-12-21T00:00:00"/>
    <m/>
    <m/>
    <n v="9"/>
    <n v="76"/>
    <n v="3"/>
    <m/>
    <m/>
    <m/>
    <m/>
    <n v="118"/>
    <x v="3"/>
    <m/>
    <m/>
    <m/>
    <m/>
    <m/>
    <m/>
    <m/>
    <m/>
    <m/>
    <m/>
    <m/>
    <m/>
    <m/>
    <m/>
    <m/>
    <m/>
    <m/>
    <m/>
    <m/>
    <m/>
    <m/>
    <m/>
    <n v="1"/>
    <n v="978"/>
    <n v="1"/>
    <n v="978"/>
    <n v="1"/>
    <n v="978"/>
    <n v="3.9119999999999999"/>
    <n v="0"/>
    <n v="0"/>
    <n v="8.8000000000000078E-2"/>
    <n v="4"/>
    <n v="0.7239263803680982"/>
    <n v="708"/>
    <n v="0"/>
    <n v="163"/>
    <n v="45"/>
    <n v="0.2760736196319018"/>
    <n v="0"/>
    <n v="0"/>
    <n v="0"/>
    <n v="0"/>
    <n v="1"/>
    <n v="0"/>
    <n v="0"/>
    <n v="0"/>
    <n v="0"/>
    <x v="0"/>
    <s v="Village"/>
    <x v="0"/>
    <n v="0"/>
    <n v="20.2630290985107"/>
    <n v="92.858856201171903"/>
    <n v="196166"/>
    <x v="0"/>
    <m/>
  </r>
  <r>
    <x v="1"/>
    <x v="3"/>
    <x v="3"/>
    <s v="EU"/>
    <x v="1"/>
    <x v="10"/>
    <x v="0"/>
    <x v="72"/>
    <n v="147"/>
    <n v="741"/>
    <d v="2017-01-01T00:00:00"/>
    <d v="2021-12-21T00:00:00"/>
    <m/>
    <m/>
    <n v="4"/>
    <n v="42"/>
    <n v="2"/>
    <m/>
    <m/>
    <m/>
    <m/>
    <n v="123"/>
    <x v="3"/>
    <m/>
    <m/>
    <m/>
    <m/>
    <m/>
    <m/>
    <m/>
    <m/>
    <m/>
    <m/>
    <m/>
    <m/>
    <m/>
    <m/>
    <m/>
    <m/>
    <m/>
    <m/>
    <m/>
    <m/>
    <m/>
    <m/>
    <n v="1"/>
    <n v="741"/>
    <n v="1"/>
    <n v="741"/>
    <n v="1"/>
    <n v="741"/>
    <n v="2.964"/>
    <n v="0"/>
    <n v="0"/>
    <n v="3.6000000000000032E-2"/>
    <n v="3"/>
    <n v="0.99595141700404854"/>
    <n v="738"/>
    <n v="0"/>
    <n v="124"/>
    <n v="1"/>
    <n v="4.0485829959514552E-3"/>
    <n v="0"/>
    <n v="0"/>
    <n v="0"/>
    <n v="0"/>
    <n v="1"/>
    <n v="0"/>
    <n v="0"/>
    <n v="0"/>
    <n v="0"/>
    <x v="0"/>
    <s v="Village"/>
    <x v="0"/>
    <n v="0"/>
    <n v="20.248519897460898"/>
    <n v="92.8621826171875"/>
    <n v="196170"/>
    <x v="0"/>
    <m/>
  </r>
  <r>
    <x v="1"/>
    <x v="3"/>
    <x v="3"/>
    <s v="EU"/>
    <x v="1"/>
    <x v="10"/>
    <x v="0"/>
    <x v="73"/>
    <n v="235"/>
    <n v="1117"/>
    <d v="2017-01-01T00:00:00"/>
    <d v="2021-12-21T00:00:00"/>
    <m/>
    <m/>
    <n v="2"/>
    <n v="132"/>
    <n v="3"/>
    <m/>
    <m/>
    <m/>
    <m/>
    <n v="216"/>
    <x v="3"/>
    <m/>
    <m/>
    <m/>
    <m/>
    <m/>
    <m/>
    <m/>
    <m/>
    <m/>
    <m/>
    <m/>
    <m/>
    <m/>
    <m/>
    <m/>
    <m/>
    <m/>
    <m/>
    <m/>
    <m/>
    <m/>
    <m/>
    <n v="1"/>
    <n v="1117"/>
    <n v="1"/>
    <n v="1117"/>
    <n v="1"/>
    <n v="1117"/>
    <n v="4.468"/>
    <n v="0"/>
    <n v="0"/>
    <n v="0"/>
    <n v="4"/>
    <n v="1"/>
    <n v="1117"/>
    <n v="0"/>
    <n v="186"/>
    <n v="0"/>
    <n v="0"/>
    <n v="0"/>
    <n v="0"/>
    <n v="0"/>
    <n v="0"/>
    <n v="1"/>
    <n v="0"/>
    <n v="0"/>
    <n v="0"/>
    <n v="0"/>
    <x v="0"/>
    <s v="Village"/>
    <x v="0"/>
    <n v="0"/>
    <n v="20.2375602722168"/>
    <n v="92.861152648925795"/>
    <n v="196169"/>
    <x v="0"/>
    <m/>
  </r>
  <r>
    <x v="1"/>
    <x v="3"/>
    <x v="3"/>
    <s v="EU"/>
    <x v="1"/>
    <x v="10"/>
    <x v="0"/>
    <x v="74"/>
    <n v="156"/>
    <n v="658"/>
    <d v="2017-01-01T00:00:00"/>
    <d v="2021-12-21T00:00:00"/>
    <m/>
    <m/>
    <m/>
    <n v="88"/>
    <n v="2"/>
    <m/>
    <m/>
    <m/>
    <m/>
    <n v="98"/>
    <x v="3"/>
    <m/>
    <m/>
    <m/>
    <m/>
    <m/>
    <m/>
    <m/>
    <m/>
    <m/>
    <m/>
    <m/>
    <m/>
    <m/>
    <m/>
    <m/>
    <m/>
    <m/>
    <m/>
    <m/>
    <m/>
    <m/>
    <m/>
    <n v="1"/>
    <n v="658"/>
    <n v="1"/>
    <n v="658"/>
    <n v="1"/>
    <n v="658"/>
    <n v="2.6320000000000001"/>
    <n v="0"/>
    <n v="0"/>
    <n v="0.36799999999999988"/>
    <n v="3"/>
    <n v="0.8936170212765957"/>
    <n v="588"/>
    <n v="0"/>
    <n v="110"/>
    <n v="12"/>
    <n v="0.1063829787234043"/>
    <n v="0"/>
    <n v="0"/>
    <n v="0"/>
    <n v="0"/>
    <n v="1"/>
    <n v="0"/>
    <n v="0"/>
    <n v="0"/>
    <n v="0"/>
    <x v="0"/>
    <s v="Village"/>
    <x v="0"/>
    <s v="Rakhine"/>
    <n v="20.22929001"/>
    <n v="92.864669800000001"/>
    <n v="196167"/>
    <x v="0"/>
    <m/>
  </r>
  <r>
    <x v="1"/>
    <x v="3"/>
    <x v="3"/>
    <s v="EU"/>
    <x v="1"/>
    <x v="10"/>
    <x v="0"/>
    <x v="75"/>
    <n v="113"/>
    <n v="656"/>
    <d v="2017-01-01T00:00:00"/>
    <d v="2021-12-21T00:00:00"/>
    <m/>
    <m/>
    <n v="9"/>
    <n v="41"/>
    <n v="3"/>
    <m/>
    <m/>
    <m/>
    <m/>
    <n v="78"/>
    <x v="3"/>
    <m/>
    <m/>
    <m/>
    <m/>
    <m/>
    <m/>
    <m/>
    <m/>
    <m/>
    <m/>
    <m/>
    <m/>
    <m/>
    <m/>
    <m/>
    <m/>
    <m/>
    <m/>
    <m/>
    <m/>
    <m/>
    <m/>
    <n v="1"/>
    <n v="656"/>
    <n v="1"/>
    <n v="656"/>
    <n v="1"/>
    <n v="656"/>
    <n v="2.6240000000000001"/>
    <n v="0"/>
    <n v="0"/>
    <n v="0.37599999999999989"/>
    <n v="3"/>
    <n v="0.71341463414634143"/>
    <n v="468"/>
    <n v="0"/>
    <n v="109"/>
    <n v="31"/>
    <n v="0.28658536585365857"/>
    <n v="0"/>
    <n v="0"/>
    <n v="0"/>
    <n v="0"/>
    <n v="1"/>
    <n v="0"/>
    <n v="0"/>
    <n v="0"/>
    <n v="0"/>
    <x v="0"/>
    <s v="Village"/>
    <x v="0"/>
    <s v="Rakhine"/>
    <n v="20.2315197"/>
    <n v="92.876129149999997"/>
    <n v="196180"/>
    <x v="0"/>
    <m/>
  </r>
  <r>
    <x v="1"/>
    <x v="3"/>
    <x v="3"/>
    <s v="EU"/>
    <x v="1"/>
    <x v="10"/>
    <x v="0"/>
    <x v="76"/>
    <n v="172"/>
    <n v="1435"/>
    <d v="2017-01-01T00:00:00"/>
    <d v="2021-12-21T00:00:00"/>
    <m/>
    <m/>
    <n v="8"/>
    <n v="97"/>
    <n v="3"/>
    <m/>
    <m/>
    <m/>
    <m/>
    <n v="132"/>
    <x v="3"/>
    <m/>
    <m/>
    <m/>
    <m/>
    <m/>
    <m/>
    <m/>
    <m/>
    <m/>
    <m/>
    <m/>
    <m/>
    <m/>
    <m/>
    <m/>
    <m/>
    <m/>
    <m/>
    <m/>
    <m/>
    <m/>
    <m/>
    <n v="1"/>
    <n v="1435"/>
    <n v="1"/>
    <n v="1435"/>
    <n v="1"/>
    <n v="1435"/>
    <n v="5.74"/>
    <n v="0"/>
    <n v="0"/>
    <n v="0.25999999999999979"/>
    <n v="6"/>
    <n v="0.55191637630662016"/>
    <n v="791.99999999999989"/>
    <n v="0"/>
    <n v="239"/>
    <n v="107"/>
    <n v="0.44808362369337984"/>
    <n v="0"/>
    <n v="0"/>
    <n v="0"/>
    <n v="0"/>
    <n v="1"/>
    <n v="0"/>
    <n v="0"/>
    <n v="0"/>
    <n v="0"/>
    <x v="0"/>
    <s v="Village"/>
    <x v="0"/>
    <s v="Muslim"/>
    <n v="0"/>
    <n v="0"/>
    <n v="0"/>
    <x v="0"/>
    <m/>
  </r>
  <r>
    <x v="1"/>
    <x v="3"/>
    <x v="3"/>
    <s v="EU"/>
    <x v="1"/>
    <x v="10"/>
    <x v="0"/>
    <x v="77"/>
    <n v="241"/>
    <n v="1027"/>
    <d v="2017-01-01T00:00:00"/>
    <d v="2021-12-21T00:00:00"/>
    <m/>
    <m/>
    <n v="26"/>
    <n v="33"/>
    <n v="2"/>
    <m/>
    <m/>
    <m/>
    <m/>
    <n v="66"/>
    <x v="3"/>
    <m/>
    <m/>
    <m/>
    <m/>
    <m/>
    <m/>
    <m/>
    <m/>
    <m/>
    <m/>
    <m/>
    <m/>
    <m/>
    <m/>
    <m/>
    <m/>
    <m/>
    <m/>
    <m/>
    <m/>
    <m/>
    <m/>
    <n v="1"/>
    <n v="1027"/>
    <n v="1"/>
    <n v="1027"/>
    <n v="1"/>
    <n v="1027"/>
    <n v="4.1079999999999997"/>
    <n v="0"/>
    <n v="0"/>
    <n v="0"/>
    <n v="4"/>
    <n v="0.38558909444985395"/>
    <n v="396"/>
    <n v="0"/>
    <n v="171"/>
    <n v="105"/>
    <n v="0.6144109055501461"/>
    <n v="0"/>
    <n v="0"/>
    <n v="0"/>
    <n v="0"/>
    <n v="1"/>
    <n v="0"/>
    <n v="0"/>
    <n v="0"/>
    <n v="0"/>
    <x v="0"/>
    <s v="Village"/>
    <x v="0"/>
    <n v="0"/>
    <n v="20.2105598449707"/>
    <n v="92.836456298828097"/>
    <n v="196125"/>
    <x v="0"/>
    <m/>
  </r>
  <r>
    <x v="1"/>
    <x v="3"/>
    <x v="3"/>
    <s v="EU"/>
    <x v="1"/>
    <x v="10"/>
    <x v="0"/>
    <x v="78"/>
    <n v="77"/>
    <n v="370"/>
    <d v="2017-01-01T00:00:00"/>
    <d v="2021-12-21T00:00:00"/>
    <m/>
    <m/>
    <n v="14"/>
    <n v="208"/>
    <n v="4"/>
    <m/>
    <m/>
    <m/>
    <m/>
    <n v="201"/>
    <x v="3"/>
    <m/>
    <m/>
    <m/>
    <m/>
    <m/>
    <m/>
    <m/>
    <m/>
    <m/>
    <m/>
    <m/>
    <m/>
    <m/>
    <m/>
    <m/>
    <m/>
    <m/>
    <m/>
    <m/>
    <m/>
    <m/>
    <m/>
    <n v="1"/>
    <n v="370"/>
    <n v="1"/>
    <n v="370"/>
    <n v="1"/>
    <n v="370"/>
    <n v="1.48"/>
    <n v="0"/>
    <n v="0"/>
    <n v="0"/>
    <n v="1"/>
    <n v="1"/>
    <n v="370"/>
    <n v="0"/>
    <n v="62"/>
    <n v="0"/>
    <n v="0"/>
    <n v="0"/>
    <n v="0"/>
    <n v="0"/>
    <n v="0"/>
    <n v="1"/>
    <n v="0"/>
    <n v="0"/>
    <n v="0"/>
    <n v="0"/>
    <x v="0"/>
    <s v="Village"/>
    <x v="0"/>
    <s v="Rakhine"/>
    <n v="20.236940383911101"/>
    <n v="92.833259582519503"/>
    <n v="196130"/>
    <x v="0"/>
    <m/>
  </r>
  <r>
    <x v="1"/>
    <x v="3"/>
    <x v="3"/>
    <s v="EU"/>
    <x v="1"/>
    <x v="10"/>
    <x v="0"/>
    <x v="79"/>
    <n v="509"/>
    <n v="1574"/>
    <d v="2017-01-01T00:00:00"/>
    <d v="2021-12-21T00:00:00"/>
    <m/>
    <m/>
    <n v="9"/>
    <n v="94"/>
    <n v="2"/>
    <m/>
    <m/>
    <m/>
    <m/>
    <n v="136"/>
    <x v="3"/>
    <m/>
    <m/>
    <m/>
    <m/>
    <m/>
    <m/>
    <m/>
    <m/>
    <m/>
    <m/>
    <m/>
    <m/>
    <m/>
    <m/>
    <m/>
    <m/>
    <m/>
    <m/>
    <m/>
    <m/>
    <m/>
    <m/>
    <n v="1"/>
    <n v="1574"/>
    <n v="1"/>
    <n v="1574"/>
    <n v="1"/>
    <n v="1574"/>
    <n v="6.2960000000000003"/>
    <n v="0"/>
    <n v="0"/>
    <n v="0"/>
    <n v="6"/>
    <n v="0.51842439644218552"/>
    <n v="816"/>
    <n v="0"/>
    <n v="262"/>
    <n v="126"/>
    <n v="0.48157560355781448"/>
    <n v="0"/>
    <n v="0"/>
    <n v="0"/>
    <n v="0"/>
    <n v="1"/>
    <n v="0"/>
    <n v="0"/>
    <n v="0"/>
    <n v="0"/>
    <x v="0"/>
    <s v="Village"/>
    <x v="0"/>
    <s v="Rakhine"/>
    <n v="20.226730346679702"/>
    <n v="92.836929321289105"/>
    <n v="196129"/>
    <x v="0"/>
    <m/>
  </r>
  <r>
    <x v="1"/>
    <x v="3"/>
    <x v="3"/>
    <s v="EU"/>
    <x v="1"/>
    <x v="10"/>
    <x v="0"/>
    <x v="80"/>
    <n v="301"/>
    <n v="1529"/>
    <d v="2017-01-01T00:00:00"/>
    <d v="2021-12-21T00:00:00"/>
    <m/>
    <m/>
    <n v="7"/>
    <n v="117"/>
    <n v="3"/>
    <m/>
    <m/>
    <m/>
    <m/>
    <n v="186"/>
    <x v="3"/>
    <m/>
    <m/>
    <m/>
    <m/>
    <m/>
    <m/>
    <m/>
    <m/>
    <m/>
    <m/>
    <m/>
    <m/>
    <m/>
    <m/>
    <m/>
    <m/>
    <m/>
    <m/>
    <m/>
    <m/>
    <m/>
    <m/>
    <n v="1"/>
    <n v="1529"/>
    <n v="1"/>
    <n v="1529"/>
    <n v="1"/>
    <n v="1529"/>
    <n v="6.1159999999999997"/>
    <n v="0"/>
    <n v="0"/>
    <n v="0"/>
    <n v="6"/>
    <n v="0.72988881621975144"/>
    <n v="1116"/>
    <n v="0"/>
    <n v="255"/>
    <n v="69"/>
    <n v="0.27011118378024856"/>
    <n v="0"/>
    <n v="0"/>
    <n v="0"/>
    <n v="0"/>
    <n v="1"/>
    <n v="0"/>
    <n v="0"/>
    <n v="0"/>
    <n v="0"/>
    <x v="0"/>
    <s v="Village"/>
    <x v="0"/>
    <s v="Rakhine"/>
    <n v="20.257850650000002"/>
    <n v="92.811126709999996"/>
    <n v="196161"/>
    <x v="0"/>
    <m/>
  </r>
  <r>
    <x v="1"/>
    <x v="3"/>
    <x v="3"/>
    <s v="EU"/>
    <x v="1"/>
    <x v="10"/>
    <x v="0"/>
    <x v="81"/>
    <n v="85"/>
    <n v="369"/>
    <d v="2017-01-01T00:00:00"/>
    <d v="2021-12-21T00:00:00"/>
    <m/>
    <m/>
    <n v="2"/>
    <n v="56"/>
    <n v="2"/>
    <m/>
    <m/>
    <m/>
    <m/>
    <n v="58"/>
    <x v="3"/>
    <m/>
    <m/>
    <m/>
    <m/>
    <m/>
    <m/>
    <m/>
    <m/>
    <m/>
    <m/>
    <m/>
    <m/>
    <m/>
    <m/>
    <m/>
    <m/>
    <m/>
    <m/>
    <m/>
    <m/>
    <m/>
    <m/>
    <n v="1"/>
    <n v="369"/>
    <n v="1"/>
    <n v="369"/>
    <n v="1"/>
    <n v="369"/>
    <n v="1.476"/>
    <n v="0"/>
    <n v="0"/>
    <n v="0"/>
    <n v="1"/>
    <n v="0.94308943089430897"/>
    <n v="348"/>
    <n v="0"/>
    <n v="62"/>
    <n v="4"/>
    <n v="5.6910569105691033E-2"/>
    <n v="0"/>
    <n v="0"/>
    <n v="0"/>
    <n v="0"/>
    <n v="1"/>
    <n v="0"/>
    <n v="0"/>
    <n v="0"/>
    <n v="0"/>
    <x v="0"/>
    <s v="Village"/>
    <x v="0"/>
    <n v="0"/>
    <n v="20.261358000000001"/>
    <n v="92.805672999999999"/>
    <n v="220593"/>
    <x v="0"/>
    <m/>
  </r>
  <r>
    <x v="1"/>
    <x v="3"/>
    <x v="3"/>
    <s v="EU"/>
    <x v="1"/>
    <x v="10"/>
    <x v="0"/>
    <x v="82"/>
    <n v="355"/>
    <n v="2168"/>
    <d v="2017-01-01T00:00:00"/>
    <d v="2021-12-21T00:00:00"/>
    <m/>
    <m/>
    <n v="23"/>
    <n v="374"/>
    <n v="2"/>
    <m/>
    <m/>
    <m/>
    <m/>
    <n v="216"/>
    <x v="3"/>
    <m/>
    <m/>
    <m/>
    <m/>
    <m/>
    <m/>
    <m/>
    <m/>
    <m/>
    <m/>
    <m/>
    <m/>
    <m/>
    <m/>
    <m/>
    <m/>
    <m/>
    <m/>
    <m/>
    <m/>
    <m/>
    <m/>
    <n v="1"/>
    <n v="2168"/>
    <n v="1"/>
    <n v="2168"/>
    <n v="1"/>
    <n v="2168"/>
    <n v="8.6720000000000006"/>
    <n v="0"/>
    <n v="0"/>
    <n v="0.3279999999999994"/>
    <n v="9"/>
    <n v="0.59778597785977861"/>
    <n v="1296"/>
    <n v="0"/>
    <n v="361"/>
    <n v="145"/>
    <n v="0.40221402214022139"/>
    <n v="0"/>
    <n v="0"/>
    <n v="0"/>
    <n v="0"/>
    <n v="1"/>
    <n v="0"/>
    <n v="0"/>
    <n v="0"/>
    <n v="0"/>
    <x v="0"/>
    <s v="Village"/>
    <x v="0"/>
    <n v="0"/>
    <n v="20.246250152587901"/>
    <n v="92.822059631347699"/>
    <n v="196160"/>
    <x v="0"/>
    <m/>
  </r>
  <r>
    <x v="1"/>
    <x v="3"/>
    <x v="3"/>
    <s v="EU"/>
    <x v="1"/>
    <x v="10"/>
    <x v="0"/>
    <x v="83"/>
    <n v="300"/>
    <n v="1369"/>
    <d v="2017-01-01T00:00:00"/>
    <d v="2021-12-21T00:00:00"/>
    <m/>
    <m/>
    <n v="8"/>
    <n v="191"/>
    <n v="4"/>
    <m/>
    <m/>
    <m/>
    <m/>
    <n v="219"/>
    <x v="3"/>
    <m/>
    <m/>
    <m/>
    <m/>
    <m/>
    <m/>
    <m/>
    <m/>
    <m/>
    <m/>
    <m/>
    <m/>
    <m/>
    <m/>
    <m/>
    <m/>
    <m/>
    <m/>
    <m/>
    <m/>
    <m/>
    <m/>
    <n v="1"/>
    <n v="1369"/>
    <n v="1"/>
    <n v="1369"/>
    <n v="1"/>
    <n v="1369"/>
    <n v="5.476"/>
    <n v="0"/>
    <n v="0"/>
    <n v="0"/>
    <n v="5"/>
    <n v="0.95982468955441924"/>
    <n v="1314"/>
    <n v="0"/>
    <n v="228"/>
    <n v="9"/>
    <n v="4.0175310445580759E-2"/>
    <n v="0"/>
    <n v="0"/>
    <n v="0"/>
    <n v="0"/>
    <n v="1"/>
    <n v="0"/>
    <n v="0"/>
    <n v="0"/>
    <n v="0"/>
    <x v="0"/>
    <s v="Village"/>
    <x v="0"/>
    <n v="0"/>
    <n v="20.239799499511701"/>
    <n v="92.825088500976605"/>
    <n v="196131"/>
    <x v="0"/>
    <m/>
  </r>
  <r>
    <x v="1"/>
    <x v="3"/>
    <x v="3"/>
    <s v="BMZ"/>
    <x v="1"/>
    <x v="10"/>
    <x v="0"/>
    <x v="84"/>
    <n v="331"/>
    <n v="1473"/>
    <d v="2017-01-01T00:00:00"/>
    <d v="2021-12-21T00:00:00"/>
    <m/>
    <m/>
    <n v="2"/>
    <n v="68"/>
    <n v="2"/>
    <m/>
    <m/>
    <m/>
    <m/>
    <n v="79"/>
    <x v="3"/>
    <m/>
    <m/>
    <m/>
    <m/>
    <m/>
    <m/>
    <m/>
    <m/>
    <m/>
    <m/>
    <m/>
    <m/>
    <m/>
    <m/>
    <m/>
    <m/>
    <m/>
    <m/>
    <m/>
    <m/>
    <m/>
    <m/>
    <n v="1"/>
    <n v="1473"/>
    <n v="1"/>
    <n v="1473"/>
    <n v="1"/>
    <n v="1473"/>
    <n v="5.8920000000000003"/>
    <n v="0"/>
    <n v="0"/>
    <n v="0.10799999999999965"/>
    <n v="6"/>
    <n v="0.32179226069246436"/>
    <n v="474"/>
    <n v="0"/>
    <n v="246"/>
    <n v="167"/>
    <n v="0.67820773930753564"/>
    <n v="0"/>
    <n v="0"/>
    <n v="0"/>
    <n v="0"/>
    <n v="1"/>
    <n v="0"/>
    <n v="0"/>
    <n v="0"/>
    <n v="0"/>
    <x v="0"/>
    <s v="Village"/>
    <x v="0"/>
    <n v="0"/>
    <n v="20.128850936889599"/>
    <n v="92.872497558593807"/>
    <n v="196208"/>
    <x v="0"/>
    <m/>
  </r>
  <r>
    <x v="1"/>
    <x v="4"/>
    <x v="4"/>
    <s v="DFID/HARP"/>
    <x v="1"/>
    <x v="10"/>
    <x v="0"/>
    <x v="85"/>
    <n v="200"/>
    <n v="1065"/>
    <d v="2017-10-01T00:00:00"/>
    <d v="2020-09-30T00:00:00"/>
    <m/>
    <n v="0"/>
    <m/>
    <m/>
    <m/>
    <m/>
    <m/>
    <m/>
    <m/>
    <m/>
    <x v="3"/>
    <m/>
    <m/>
    <m/>
    <m/>
    <m/>
    <m/>
    <n v="174"/>
    <n v="166"/>
    <m/>
    <m/>
    <m/>
    <n v="213"/>
    <m/>
    <m/>
    <m/>
    <m/>
    <m/>
    <m/>
    <m/>
    <m/>
    <m/>
    <m/>
    <n v="0"/>
    <n v="0"/>
    <n v="0"/>
    <n v="0"/>
    <n v="0"/>
    <n v="0"/>
    <n v="0"/>
    <n v="1"/>
    <n v="1065"/>
    <n v="4"/>
    <n v="4"/>
    <n v="0"/>
    <n v="0"/>
    <n v="0"/>
    <n v="178"/>
    <n v="178"/>
    <n v="1"/>
    <n v="553"/>
    <n v="0"/>
    <n v="553"/>
    <n v="0.51924882629107982"/>
    <n v="0.48075117370892018"/>
    <n v="0.51924882629107982"/>
    <n v="0"/>
    <n v="0"/>
    <n v="0"/>
    <x v="0"/>
    <s v="Village"/>
    <x v="0"/>
    <s v="Muslim"/>
    <n v="20.197549819999999"/>
    <n v="92.785682679999994"/>
    <n v="196156"/>
    <x v="0"/>
    <m/>
  </r>
  <r>
    <x v="1"/>
    <x v="3"/>
    <x v="3"/>
    <s v="EU"/>
    <x v="1"/>
    <x v="10"/>
    <x v="0"/>
    <x v="86"/>
    <n v="326"/>
    <n v="4476"/>
    <d v="2017-01-01T00:00:00"/>
    <d v="2021-12-21T00:00:00"/>
    <m/>
    <m/>
    <n v="5"/>
    <n v="153"/>
    <n v="5"/>
    <m/>
    <m/>
    <m/>
    <m/>
    <n v="217"/>
    <x v="3"/>
    <m/>
    <m/>
    <m/>
    <m/>
    <m/>
    <m/>
    <m/>
    <m/>
    <m/>
    <m/>
    <m/>
    <m/>
    <m/>
    <m/>
    <m/>
    <m/>
    <m/>
    <m/>
    <m/>
    <m/>
    <m/>
    <m/>
    <n v="1"/>
    <n v="4476"/>
    <n v="1"/>
    <n v="4476"/>
    <n v="1"/>
    <n v="4476"/>
    <n v="17.904"/>
    <n v="0"/>
    <n v="0"/>
    <n v="9.6000000000000085E-2"/>
    <n v="18"/>
    <n v="0.29088471849865954"/>
    <n v="1302.0000000000002"/>
    <n v="0"/>
    <n v="746"/>
    <n v="529"/>
    <n v="0.7091152815013404"/>
    <n v="0"/>
    <n v="0"/>
    <n v="0"/>
    <n v="0"/>
    <n v="1"/>
    <n v="0"/>
    <n v="0"/>
    <n v="0"/>
    <n v="0"/>
    <x v="0"/>
    <s v="Village"/>
    <x v="0"/>
    <n v="0"/>
    <n v="20.142469406127901"/>
    <n v="92.863967895507798"/>
    <n v="196203"/>
    <x v="0"/>
    <m/>
  </r>
  <r>
    <x v="1"/>
    <x v="3"/>
    <x v="3"/>
    <s v="EU"/>
    <x v="1"/>
    <x v="10"/>
    <x v="0"/>
    <x v="87"/>
    <n v="335"/>
    <n v="1867"/>
    <d v="2017-01-01T00:00:00"/>
    <d v="2021-12-21T00:00:00"/>
    <m/>
    <m/>
    <n v="14"/>
    <n v="113"/>
    <n v="4"/>
    <m/>
    <m/>
    <m/>
    <m/>
    <n v="210"/>
    <x v="3"/>
    <m/>
    <m/>
    <m/>
    <m/>
    <m/>
    <m/>
    <m/>
    <m/>
    <m/>
    <m/>
    <m/>
    <m/>
    <m/>
    <m/>
    <m/>
    <m/>
    <m/>
    <m/>
    <m/>
    <m/>
    <m/>
    <m/>
    <n v="1"/>
    <n v="1867"/>
    <n v="1"/>
    <n v="1867"/>
    <n v="1"/>
    <n v="1867"/>
    <n v="7.468"/>
    <n v="0"/>
    <n v="0"/>
    <n v="0"/>
    <n v="7"/>
    <n v="0.67487948580610602"/>
    <n v="1260"/>
    <n v="0"/>
    <n v="311"/>
    <n v="101"/>
    <n v="0.32512051419389398"/>
    <n v="0"/>
    <n v="0"/>
    <n v="0"/>
    <n v="0"/>
    <n v="1"/>
    <n v="0"/>
    <n v="0"/>
    <n v="0"/>
    <n v="0"/>
    <x v="0"/>
    <s v="Village"/>
    <x v="0"/>
    <n v="0"/>
    <n v="20.170469284057599"/>
    <n v="92.8343505859375"/>
    <n v="196202"/>
    <x v="0"/>
    <m/>
  </r>
  <r>
    <x v="1"/>
    <x v="3"/>
    <x v="3"/>
    <s v="EU"/>
    <x v="1"/>
    <x v="10"/>
    <x v="0"/>
    <x v="88"/>
    <n v="863"/>
    <n v="3768"/>
    <d v="2017-01-01T00:00:00"/>
    <d v="2021-12-21T00:00:00"/>
    <m/>
    <m/>
    <n v="19"/>
    <n v="128"/>
    <n v="6"/>
    <m/>
    <m/>
    <m/>
    <m/>
    <n v="199"/>
    <x v="3"/>
    <m/>
    <m/>
    <m/>
    <m/>
    <m/>
    <m/>
    <m/>
    <m/>
    <m/>
    <m/>
    <m/>
    <m/>
    <m/>
    <m/>
    <m/>
    <m/>
    <m/>
    <m/>
    <m/>
    <m/>
    <m/>
    <m/>
    <n v="1"/>
    <n v="3768"/>
    <n v="1"/>
    <n v="3768"/>
    <n v="1"/>
    <n v="3768"/>
    <n v="15.071999999999999"/>
    <n v="0"/>
    <n v="0"/>
    <n v="0"/>
    <n v="15"/>
    <n v="0.31687898089171973"/>
    <n v="1194"/>
    <n v="0"/>
    <n v="628"/>
    <n v="429"/>
    <n v="0.68312101910828027"/>
    <n v="0"/>
    <n v="0"/>
    <n v="0"/>
    <n v="0"/>
    <n v="1"/>
    <n v="0"/>
    <n v="0"/>
    <n v="0"/>
    <n v="0"/>
    <x v="0"/>
    <s v="Village"/>
    <x v="0"/>
    <n v="0"/>
    <n v="20.168970108032202"/>
    <n v="92.826896667480497"/>
    <n v="196206"/>
    <x v="0"/>
    <m/>
  </r>
  <r>
    <x v="1"/>
    <x v="3"/>
    <x v="3"/>
    <s v="EU"/>
    <x v="1"/>
    <x v="10"/>
    <x v="0"/>
    <x v="89"/>
    <n v="310"/>
    <n v="1750"/>
    <d v="2017-01-01T00:00:00"/>
    <d v="2021-12-21T00:00:00"/>
    <m/>
    <m/>
    <n v="193"/>
    <n v="89"/>
    <n v="5"/>
    <m/>
    <m/>
    <m/>
    <m/>
    <n v="198"/>
    <x v="3"/>
    <m/>
    <m/>
    <m/>
    <m/>
    <m/>
    <m/>
    <m/>
    <m/>
    <m/>
    <m/>
    <m/>
    <m/>
    <m/>
    <m/>
    <m/>
    <m/>
    <m/>
    <m/>
    <m/>
    <m/>
    <m/>
    <m/>
    <n v="1"/>
    <n v="1750"/>
    <n v="1"/>
    <n v="1750"/>
    <n v="1"/>
    <n v="1750"/>
    <n v="7"/>
    <n v="0"/>
    <n v="0"/>
    <n v="0"/>
    <n v="7"/>
    <n v="0.67885714285714283"/>
    <n v="1188"/>
    <n v="0"/>
    <n v="292"/>
    <n v="94"/>
    <n v="0.32114285714285717"/>
    <n v="0"/>
    <n v="0"/>
    <n v="0"/>
    <n v="0"/>
    <n v="1"/>
    <n v="0"/>
    <n v="0"/>
    <n v="0"/>
    <n v="0"/>
    <x v="0"/>
    <s v="Village"/>
    <x v="0"/>
    <n v="0"/>
    <n v="0"/>
    <n v="0"/>
    <n v="0"/>
    <x v="0"/>
    <m/>
  </r>
  <r>
    <x v="1"/>
    <x v="3"/>
    <x v="3"/>
    <s v="EU"/>
    <x v="1"/>
    <x v="11"/>
    <x v="0"/>
    <x v="90"/>
    <n v="125"/>
    <n v="513"/>
    <d v="2017-01-01T00:00:00"/>
    <d v="2021-12-21T00:00:00"/>
    <m/>
    <m/>
    <n v="16"/>
    <n v="96"/>
    <n v="4"/>
    <m/>
    <m/>
    <m/>
    <m/>
    <n v="300"/>
    <x v="3"/>
    <m/>
    <m/>
    <m/>
    <m/>
    <m/>
    <m/>
    <m/>
    <m/>
    <m/>
    <m/>
    <m/>
    <m/>
    <m/>
    <m/>
    <m/>
    <m/>
    <m/>
    <m/>
    <m/>
    <m/>
    <m/>
    <m/>
    <n v="1"/>
    <n v="513"/>
    <n v="1"/>
    <n v="513"/>
    <n v="1"/>
    <n v="513"/>
    <n v="2.052"/>
    <n v="0"/>
    <n v="0"/>
    <n v="0"/>
    <n v="2"/>
    <n v="1"/>
    <n v="513"/>
    <n v="0"/>
    <n v="86"/>
    <n v="0"/>
    <n v="0"/>
    <n v="0"/>
    <n v="0"/>
    <n v="0"/>
    <n v="0"/>
    <n v="1"/>
    <n v="0"/>
    <n v="0"/>
    <n v="0"/>
    <n v="0"/>
    <x v="0"/>
    <s v="Village"/>
    <x v="1"/>
    <s v="Muslim"/>
    <n v="20.39902"/>
    <n v="93.249669999999995"/>
    <s v="MMR012CMP003"/>
    <x v="0"/>
    <m/>
  </r>
  <r>
    <x v="1"/>
    <x v="3"/>
    <x v="3"/>
    <s v="BMZ"/>
    <x v="1"/>
    <x v="10"/>
    <x v="0"/>
    <x v="91"/>
    <n v="92"/>
    <n v="715"/>
    <d v="2017-01-01T00:00:00"/>
    <d v="2021-12-21T00:00:00"/>
    <m/>
    <m/>
    <n v="114"/>
    <n v="348"/>
    <n v="4"/>
    <m/>
    <m/>
    <m/>
    <m/>
    <n v="514"/>
    <x v="3"/>
    <m/>
    <m/>
    <m/>
    <m/>
    <m/>
    <m/>
    <m/>
    <m/>
    <m/>
    <m/>
    <m/>
    <m/>
    <m/>
    <m/>
    <m/>
    <m/>
    <m/>
    <m/>
    <m/>
    <m/>
    <m/>
    <m/>
    <n v="1"/>
    <n v="715"/>
    <n v="1"/>
    <n v="715"/>
    <n v="1"/>
    <n v="715"/>
    <n v="2.86"/>
    <n v="0"/>
    <n v="0"/>
    <n v="0.14000000000000012"/>
    <n v="3"/>
    <n v="1"/>
    <n v="715"/>
    <n v="0"/>
    <n v="119"/>
    <n v="0"/>
    <n v="0"/>
    <n v="0"/>
    <n v="0"/>
    <n v="0"/>
    <n v="0"/>
    <n v="1"/>
    <n v="0"/>
    <n v="0"/>
    <n v="0"/>
    <n v="0"/>
    <x v="0"/>
    <s v="Village"/>
    <x v="0"/>
    <n v="0"/>
    <n v="20.172649383544901"/>
    <n v="92.874351501464801"/>
    <n v="196195"/>
    <x v="0"/>
    <m/>
  </r>
  <r>
    <x v="1"/>
    <x v="3"/>
    <x v="3"/>
    <s v="BMZ"/>
    <x v="1"/>
    <x v="10"/>
    <x v="0"/>
    <x v="92"/>
    <n v="2100"/>
    <n v="12993"/>
    <d v="2017-01-01T00:00:00"/>
    <d v="2021-12-21T00:00:00"/>
    <m/>
    <m/>
    <n v="12"/>
    <n v="97"/>
    <n v="2"/>
    <m/>
    <m/>
    <m/>
    <m/>
    <n v="218"/>
    <x v="3"/>
    <m/>
    <m/>
    <m/>
    <m/>
    <m/>
    <m/>
    <m/>
    <m/>
    <m/>
    <m/>
    <m/>
    <m/>
    <m/>
    <m/>
    <m/>
    <m/>
    <m/>
    <m/>
    <m/>
    <m/>
    <m/>
    <m/>
    <n v="1"/>
    <n v="12993"/>
    <n v="1"/>
    <n v="12993"/>
    <n v="1"/>
    <n v="12993"/>
    <n v="51.972000000000001"/>
    <n v="0"/>
    <n v="0"/>
    <n v="2.7999999999998693E-2"/>
    <n v="52"/>
    <n v="0.10066959131840221"/>
    <n v="1308"/>
    <n v="0"/>
    <n v="2166"/>
    <n v="1948"/>
    <n v="0.89933040868159775"/>
    <n v="0"/>
    <n v="0"/>
    <n v="0"/>
    <n v="0"/>
    <n v="1"/>
    <n v="0"/>
    <n v="0"/>
    <n v="0"/>
    <n v="0"/>
    <x v="0"/>
    <s v="Village"/>
    <x v="0"/>
    <s v="Muslim"/>
    <n v="0"/>
    <n v="0"/>
    <n v="0"/>
    <x v="0"/>
    <m/>
  </r>
  <r>
    <x v="1"/>
    <x v="3"/>
    <x v="3"/>
    <s v="EU"/>
    <x v="1"/>
    <x v="11"/>
    <x v="0"/>
    <x v="93"/>
    <n v="325"/>
    <n v="1923"/>
    <d v="2017-01-01T00:00:00"/>
    <d v="2021-12-21T00:00:00"/>
    <m/>
    <m/>
    <n v="14"/>
    <n v="48"/>
    <n v="3"/>
    <m/>
    <m/>
    <m/>
    <m/>
    <n v="112"/>
    <x v="3"/>
    <m/>
    <m/>
    <m/>
    <m/>
    <m/>
    <m/>
    <m/>
    <m/>
    <m/>
    <m/>
    <m/>
    <m/>
    <m/>
    <m/>
    <m/>
    <m/>
    <m/>
    <m/>
    <m/>
    <m/>
    <m/>
    <m/>
    <n v="1"/>
    <n v="1923"/>
    <n v="1"/>
    <n v="1923"/>
    <n v="1"/>
    <n v="1923"/>
    <n v="7.6920000000000002"/>
    <n v="0"/>
    <n v="0"/>
    <n v="0.30799999999999983"/>
    <n v="8"/>
    <n v="0.34945397815912638"/>
    <n v="672"/>
    <n v="0"/>
    <n v="321"/>
    <n v="209"/>
    <n v="0.65054602184087362"/>
    <n v="0"/>
    <n v="0"/>
    <n v="0"/>
    <n v="0"/>
    <n v="1"/>
    <n v="0"/>
    <n v="0"/>
    <n v="0"/>
    <n v="0"/>
    <x v="0"/>
    <s v="Village"/>
    <x v="0"/>
    <s v="Muslim"/>
    <n v="0"/>
    <n v="0"/>
    <n v="196999"/>
    <x v="0"/>
    <m/>
  </r>
  <r>
    <x v="1"/>
    <x v="3"/>
    <x v="3"/>
    <s v="EU"/>
    <x v="1"/>
    <x v="11"/>
    <x v="0"/>
    <x v="94"/>
    <n v="146"/>
    <n v="801"/>
    <d v="2017-01-01T00:00:00"/>
    <d v="2021-12-21T00:00:00"/>
    <m/>
    <m/>
    <n v="17"/>
    <n v="43"/>
    <n v="2"/>
    <m/>
    <m/>
    <m/>
    <m/>
    <n v="78"/>
    <x v="3"/>
    <m/>
    <m/>
    <m/>
    <m/>
    <m/>
    <m/>
    <m/>
    <m/>
    <m/>
    <m/>
    <m/>
    <m/>
    <m/>
    <m/>
    <m/>
    <m/>
    <m/>
    <m/>
    <m/>
    <m/>
    <m/>
    <m/>
    <n v="1"/>
    <n v="801"/>
    <n v="1"/>
    <n v="801"/>
    <n v="1"/>
    <n v="801"/>
    <n v="3.2040000000000002"/>
    <n v="0"/>
    <n v="0"/>
    <n v="0"/>
    <n v="3"/>
    <n v="0.5842696629213483"/>
    <n v="468"/>
    <n v="0"/>
    <n v="134"/>
    <n v="56"/>
    <n v="0.4157303370786517"/>
    <n v="0"/>
    <n v="0"/>
    <n v="0"/>
    <n v="0"/>
    <n v="1"/>
    <n v="0"/>
    <n v="0"/>
    <n v="0"/>
    <n v="0"/>
    <x v="0"/>
    <s v="Village"/>
    <x v="0"/>
    <n v="0"/>
    <n v="20.3927307128906"/>
    <n v="93.304817199707003"/>
    <n v="197017"/>
    <x v="0"/>
    <m/>
  </r>
  <r>
    <x v="1"/>
    <x v="3"/>
    <x v="3"/>
    <s v="EU"/>
    <x v="1"/>
    <x v="11"/>
    <x v="0"/>
    <x v="95"/>
    <n v="31"/>
    <n v="156"/>
    <d v="2017-01-01T00:00:00"/>
    <d v="2021-12-21T00:00:00"/>
    <m/>
    <m/>
    <n v="18"/>
    <n v="116"/>
    <n v="4"/>
    <m/>
    <m/>
    <m/>
    <m/>
    <n v="298"/>
    <x v="3"/>
    <m/>
    <m/>
    <m/>
    <m/>
    <m/>
    <m/>
    <m/>
    <m/>
    <m/>
    <m/>
    <m/>
    <m/>
    <m/>
    <m/>
    <m/>
    <m/>
    <m/>
    <m/>
    <m/>
    <m/>
    <m/>
    <m/>
    <n v="1"/>
    <n v="156"/>
    <n v="1"/>
    <n v="156"/>
    <n v="1"/>
    <n v="156"/>
    <n v="0.624"/>
    <n v="0"/>
    <n v="0"/>
    <n v="0.376"/>
    <n v="1"/>
    <n v="1"/>
    <n v="156"/>
    <n v="0"/>
    <n v="26"/>
    <n v="0"/>
    <n v="0"/>
    <n v="0"/>
    <n v="0"/>
    <n v="0"/>
    <n v="0"/>
    <n v="1"/>
    <n v="0"/>
    <n v="0"/>
    <n v="0"/>
    <n v="0"/>
    <x v="0"/>
    <s v="Village"/>
    <x v="0"/>
    <n v="0"/>
    <n v="20.406982421875"/>
    <n v="93.312507629394503"/>
    <n v="197022"/>
    <x v="0"/>
    <m/>
  </r>
  <r>
    <x v="1"/>
    <x v="3"/>
    <x v="3"/>
    <s v="EU"/>
    <x v="1"/>
    <x v="11"/>
    <x v="0"/>
    <x v="96"/>
    <n v="96"/>
    <n v="329"/>
    <d v="2017-01-01T00:00:00"/>
    <d v="2021-12-21T00:00:00"/>
    <m/>
    <m/>
    <n v="28"/>
    <n v="826"/>
    <n v="7"/>
    <m/>
    <m/>
    <m/>
    <m/>
    <n v="1408"/>
    <x v="3"/>
    <m/>
    <m/>
    <m/>
    <m/>
    <m/>
    <m/>
    <m/>
    <m/>
    <m/>
    <m/>
    <m/>
    <m/>
    <m/>
    <m/>
    <m/>
    <m/>
    <m/>
    <m/>
    <m/>
    <m/>
    <m/>
    <m/>
    <n v="1"/>
    <n v="329"/>
    <n v="1"/>
    <n v="329"/>
    <n v="1"/>
    <n v="329"/>
    <n v="1.3160000000000001"/>
    <n v="0"/>
    <n v="0"/>
    <n v="0"/>
    <n v="1"/>
    <n v="1"/>
    <n v="329"/>
    <n v="0"/>
    <n v="55"/>
    <n v="0"/>
    <n v="0"/>
    <n v="0"/>
    <n v="0"/>
    <n v="0"/>
    <n v="0"/>
    <n v="1"/>
    <n v="0"/>
    <n v="0"/>
    <n v="0"/>
    <n v="0"/>
    <x v="0"/>
    <s v="Village"/>
    <x v="0"/>
    <n v="0"/>
    <n v="20.404491424560501"/>
    <n v="93.321144104003906"/>
    <n v="197020"/>
    <x v="0"/>
    <m/>
  </r>
  <r>
    <x v="1"/>
    <x v="3"/>
    <x v="3"/>
    <s v="EU"/>
    <x v="1"/>
    <x v="11"/>
    <x v="0"/>
    <x v="97"/>
    <n v="37"/>
    <n v="119"/>
    <d v="2017-01-01T00:00:00"/>
    <d v="2021-12-21T00:00:00"/>
    <m/>
    <m/>
    <n v="12"/>
    <n v="208"/>
    <n v="3"/>
    <m/>
    <m/>
    <m/>
    <m/>
    <n v="255"/>
    <x v="3"/>
    <m/>
    <m/>
    <m/>
    <m/>
    <m/>
    <m/>
    <m/>
    <m/>
    <m/>
    <m/>
    <m/>
    <m/>
    <m/>
    <m/>
    <m/>
    <m/>
    <m/>
    <m/>
    <m/>
    <m/>
    <m/>
    <m/>
    <n v="1"/>
    <n v="119"/>
    <n v="1"/>
    <n v="119"/>
    <n v="1"/>
    <n v="119"/>
    <n v="0.47599999999999998"/>
    <n v="0"/>
    <n v="0"/>
    <n v="0.52400000000000002"/>
    <n v="1"/>
    <n v="1"/>
    <n v="119"/>
    <n v="0"/>
    <n v="20"/>
    <n v="0"/>
    <n v="0"/>
    <n v="0"/>
    <n v="0"/>
    <n v="0"/>
    <n v="0"/>
    <n v="1"/>
    <n v="0"/>
    <n v="0"/>
    <n v="0"/>
    <n v="0"/>
    <x v="0"/>
    <s v="Village"/>
    <x v="0"/>
    <n v="0"/>
    <n v="20.428560256958001"/>
    <n v="93.305938720703097"/>
    <n v="197027"/>
    <x v="0"/>
    <m/>
  </r>
  <r>
    <x v="1"/>
    <x v="3"/>
    <x v="3"/>
    <s v="EU"/>
    <x v="1"/>
    <x v="11"/>
    <x v="0"/>
    <x v="98"/>
    <n v="167"/>
    <n v="1027"/>
    <d v="2017-01-01T00:00:00"/>
    <d v="2021-12-21T00:00:00"/>
    <m/>
    <m/>
    <n v="6"/>
    <n v="49"/>
    <n v="2"/>
    <m/>
    <m/>
    <m/>
    <m/>
    <n v="66"/>
    <x v="3"/>
    <m/>
    <m/>
    <m/>
    <m/>
    <m/>
    <m/>
    <m/>
    <m/>
    <m/>
    <m/>
    <m/>
    <m/>
    <m/>
    <m/>
    <m/>
    <m/>
    <m/>
    <m/>
    <m/>
    <m/>
    <m/>
    <m/>
    <n v="1"/>
    <n v="1027"/>
    <n v="1"/>
    <n v="1027"/>
    <n v="1"/>
    <n v="1027"/>
    <n v="4.1079999999999997"/>
    <n v="0"/>
    <n v="0"/>
    <n v="0"/>
    <n v="4"/>
    <n v="0.38558909444985395"/>
    <n v="396"/>
    <n v="0"/>
    <n v="171"/>
    <n v="105"/>
    <n v="0.6144109055501461"/>
    <n v="0"/>
    <n v="0"/>
    <n v="0"/>
    <n v="0"/>
    <n v="1"/>
    <n v="0"/>
    <n v="0"/>
    <n v="0"/>
    <n v="0"/>
    <x v="0"/>
    <s v="Village"/>
    <x v="0"/>
    <n v="0"/>
    <n v="20.4226398468018"/>
    <n v="93.307182312011705"/>
    <n v="197028"/>
    <x v="0"/>
    <m/>
  </r>
  <r>
    <x v="1"/>
    <x v="3"/>
    <x v="3"/>
    <s v="EU"/>
    <x v="1"/>
    <x v="11"/>
    <x v="0"/>
    <x v="99"/>
    <n v="90"/>
    <n v="414"/>
    <d v="2017-01-01T00:00:00"/>
    <d v="2021-12-21T00:00:00"/>
    <m/>
    <m/>
    <n v="0"/>
    <n v="9"/>
    <n v="1"/>
    <m/>
    <m/>
    <m/>
    <m/>
    <n v="12"/>
    <x v="3"/>
    <m/>
    <m/>
    <m/>
    <m/>
    <m/>
    <m/>
    <m/>
    <m/>
    <m/>
    <m/>
    <m/>
    <m/>
    <m/>
    <m/>
    <m/>
    <m/>
    <m/>
    <m/>
    <m/>
    <m/>
    <m/>
    <m/>
    <n v="1"/>
    <n v="414"/>
    <n v="1"/>
    <n v="414"/>
    <n v="1"/>
    <n v="414"/>
    <n v="1.6559999999999999"/>
    <n v="0"/>
    <n v="0"/>
    <n v="0.34400000000000008"/>
    <n v="2"/>
    <n v="0.17391304347826086"/>
    <n v="72"/>
    <n v="0"/>
    <n v="69"/>
    <n v="57"/>
    <n v="0.82608695652173914"/>
    <n v="0"/>
    <n v="0"/>
    <n v="0"/>
    <n v="0"/>
    <n v="1"/>
    <n v="0"/>
    <n v="0"/>
    <n v="0"/>
    <n v="0"/>
    <x v="0"/>
    <s v="Village"/>
    <x v="0"/>
    <n v="0"/>
    <n v="20.437318801879901"/>
    <n v="93.302917480468807"/>
    <n v="197034"/>
    <x v="0"/>
    <m/>
  </r>
  <r>
    <x v="1"/>
    <x v="3"/>
    <x v="3"/>
    <s v="EU"/>
    <x v="1"/>
    <x v="11"/>
    <x v="0"/>
    <x v="100"/>
    <n v="78"/>
    <n v="308"/>
    <d v="2017-01-01T00:00:00"/>
    <d v="2021-12-21T00:00:00"/>
    <m/>
    <m/>
    <n v="4"/>
    <n v="46"/>
    <n v="2"/>
    <m/>
    <m/>
    <m/>
    <m/>
    <n v="54"/>
    <x v="3"/>
    <m/>
    <m/>
    <m/>
    <m/>
    <m/>
    <m/>
    <m/>
    <m/>
    <m/>
    <m/>
    <m/>
    <m/>
    <m/>
    <m/>
    <m/>
    <m/>
    <m/>
    <m/>
    <m/>
    <m/>
    <m/>
    <m/>
    <n v="1"/>
    <n v="308"/>
    <n v="1"/>
    <n v="308"/>
    <n v="1"/>
    <n v="308"/>
    <n v="1.232"/>
    <n v="0"/>
    <n v="0"/>
    <n v="0"/>
    <n v="1"/>
    <n v="1"/>
    <n v="308"/>
    <n v="0"/>
    <n v="51"/>
    <n v="0"/>
    <n v="0"/>
    <n v="0"/>
    <n v="0"/>
    <n v="0"/>
    <n v="0"/>
    <n v="1"/>
    <n v="0"/>
    <n v="0"/>
    <n v="0"/>
    <n v="0"/>
    <x v="0"/>
    <s v="Village"/>
    <x v="0"/>
    <n v="0"/>
    <n v="20.442419052123999"/>
    <n v="93.300033569335895"/>
    <n v="197036"/>
    <x v="0"/>
    <m/>
  </r>
  <r>
    <x v="1"/>
    <x v="3"/>
    <x v="3"/>
    <s v="EU"/>
    <x v="1"/>
    <x v="11"/>
    <x v="0"/>
    <x v="101"/>
    <n v="85"/>
    <n v="413"/>
    <d v="2017-01-01T00:00:00"/>
    <d v="2021-12-21T00:00:00"/>
    <m/>
    <m/>
    <n v="0"/>
    <n v="23"/>
    <n v="1"/>
    <m/>
    <m/>
    <m/>
    <m/>
    <n v="27"/>
    <x v="3"/>
    <m/>
    <m/>
    <m/>
    <m/>
    <m/>
    <m/>
    <m/>
    <m/>
    <m/>
    <m/>
    <m/>
    <m/>
    <m/>
    <m/>
    <m/>
    <m/>
    <m/>
    <m/>
    <m/>
    <m/>
    <m/>
    <m/>
    <n v="1"/>
    <n v="413"/>
    <n v="1"/>
    <n v="413"/>
    <n v="1"/>
    <n v="413"/>
    <n v="1.6519999999999999"/>
    <n v="0"/>
    <n v="0"/>
    <n v="0.34800000000000009"/>
    <n v="2"/>
    <n v="0.39225181598062953"/>
    <n v="162"/>
    <n v="0"/>
    <n v="69"/>
    <n v="42"/>
    <n v="0.60774818401937047"/>
    <n v="0"/>
    <n v="0"/>
    <n v="0"/>
    <n v="0"/>
    <n v="1"/>
    <n v="0"/>
    <n v="0"/>
    <n v="0"/>
    <n v="0"/>
    <x v="0"/>
    <s v="Village"/>
    <x v="0"/>
    <n v="0"/>
    <n v="20.430749893188501"/>
    <n v="93.304450988769503"/>
    <n v="197033"/>
    <x v="0"/>
    <m/>
  </r>
  <r>
    <x v="1"/>
    <x v="3"/>
    <x v="3"/>
    <s v="EU"/>
    <x v="1"/>
    <x v="11"/>
    <x v="0"/>
    <x v="102"/>
    <n v="353"/>
    <n v="2111"/>
    <d v="2017-01-01T00:00:00"/>
    <d v="2021-12-21T00:00:00"/>
    <m/>
    <m/>
    <n v="3"/>
    <n v="87"/>
    <n v="2"/>
    <m/>
    <m/>
    <m/>
    <m/>
    <n v="83"/>
    <x v="3"/>
    <m/>
    <m/>
    <m/>
    <m/>
    <m/>
    <m/>
    <m/>
    <m/>
    <m/>
    <m/>
    <m/>
    <m/>
    <m/>
    <m/>
    <m/>
    <m/>
    <m/>
    <m/>
    <m/>
    <m/>
    <m/>
    <m/>
    <n v="1"/>
    <n v="2111"/>
    <n v="1"/>
    <n v="2111"/>
    <n v="1"/>
    <n v="2111"/>
    <n v="8.4440000000000008"/>
    <n v="0"/>
    <n v="0"/>
    <n v="0"/>
    <n v="8"/>
    <n v="0.23590715300805307"/>
    <n v="498"/>
    <n v="0"/>
    <n v="352"/>
    <n v="269"/>
    <n v="0.76409284699194691"/>
    <n v="0"/>
    <n v="0"/>
    <n v="0"/>
    <n v="0"/>
    <n v="1"/>
    <n v="0"/>
    <n v="0"/>
    <n v="0"/>
    <n v="0"/>
    <x v="0"/>
    <s v="Village"/>
    <x v="0"/>
    <n v="0"/>
    <n v="20.448799133300799"/>
    <n v="93.300239562988295"/>
    <n v="197040"/>
    <x v="0"/>
    <m/>
  </r>
  <r>
    <x v="1"/>
    <x v="3"/>
    <x v="3"/>
    <s v="EU"/>
    <x v="1"/>
    <x v="11"/>
    <x v="0"/>
    <x v="103"/>
    <n v="295"/>
    <n v="1698"/>
    <d v="2017-01-01T00:00:00"/>
    <d v="2021-12-21T00:00:00"/>
    <m/>
    <m/>
    <n v="2"/>
    <n v="53"/>
    <n v="2"/>
    <m/>
    <m/>
    <m/>
    <m/>
    <n v="77"/>
    <x v="3"/>
    <m/>
    <m/>
    <m/>
    <m/>
    <m/>
    <m/>
    <m/>
    <m/>
    <m/>
    <m/>
    <m/>
    <m/>
    <m/>
    <m/>
    <m/>
    <m/>
    <m/>
    <m/>
    <m/>
    <m/>
    <m/>
    <m/>
    <n v="1"/>
    <n v="1698"/>
    <n v="1"/>
    <n v="1698"/>
    <n v="1"/>
    <n v="1698"/>
    <n v="6.7919999999999998"/>
    <n v="0"/>
    <n v="0"/>
    <n v="0.20800000000000018"/>
    <n v="7"/>
    <n v="0.27208480565371024"/>
    <n v="462"/>
    <n v="0"/>
    <n v="283"/>
    <n v="206"/>
    <n v="0.72791519434628982"/>
    <n v="0"/>
    <n v="0"/>
    <n v="0"/>
    <n v="0"/>
    <n v="1"/>
    <n v="0"/>
    <n v="0"/>
    <n v="0"/>
    <n v="0"/>
    <x v="0"/>
    <s v="Village"/>
    <x v="0"/>
    <n v="0"/>
    <n v="20.463020324706999"/>
    <n v="93.296417236328097"/>
    <n v="197039"/>
    <x v="0"/>
    <m/>
  </r>
  <r>
    <x v="1"/>
    <x v="3"/>
    <x v="3"/>
    <s v="EU"/>
    <x v="1"/>
    <x v="11"/>
    <x v="0"/>
    <x v="104"/>
    <n v="140"/>
    <n v="985"/>
    <d v="2017-01-01T00:00:00"/>
    <d v="2021-12-21T00:00:00"/>
    <m/>
    <m/>
    <n v="7"/>
    <n v="27"/>
    <n v="3"/>
    <m/>
    <m/>
    <m/>
    <m/>
    <n v="65"/>
    <x v="3"/>
    <m/>
    <m/>
    <m/>
    <m/>
    <m/>
    <m/>
    <m/>
    <m/>
    <m/>
    <m/>
    <m/>
    <m/>
    <m/>
    <m/>
    <m/>
    <m/>
    <m/>
    <m/>
    <m/>
    <m/>
    <m/>
    <m/>
    <n v="1"/>
    <n v="985"/>
    <n v="1"/>
    <n v="985"/>
    <n v="1"/>
    <n v="985"/>
    <n v="3.94"/>
    <n v="0"/>
    <n v="0"/>
    <n v="6.0000000000000053E-2"/>
    <n v="4"/>
    <n v="0.39593908629441626"/>
    <n v="390"/>
    <n v="0"/>
    <n v="164"/>
    <n v="99"/>
    <n v="0.60406091370558368"/>
    <n v="0"/>
    <n v="0"/>
    <n v="0"/>
    <n v="0"/>
    <n v="1"/>
    <n v="0"/>
    <n v="0"/>
    <n v="0"/>
    <n v="0"/>
    <x v="0"/>
    <s v="Village"/>
    <x v="0"/>
    <n v="0"/>
    <n v="20.4733695983887"/>
    <n v="93.291687011718807"/>
    <n v="197041"/>
    <x v="0"/>
    <m/>
  </r>
  <r>
    <x v="1"/>
    <x v="3"/>
    <x v="3"/>
    <s v="EU"/>
    <x v="1"/>
    <x v="11"/>
    <x v="0"/>
    <x v="105"/>
    <n v="157"/>
    <n v="735"/>
    <d v="2017-01-01T00:00:00"/>
    <d v="2021-12-21T00:00:00"/>
    <m/>
    <m/>
    <n v="0"/>
    <n v="32"/>
    <n v="3"/>
    <m/>
    <m/>
    <m/>
    <m/>
    <n v="72"/>
    <x v="3"/>
    <m/>
    <m/>
    <m/>
    <m/>
    <m/>
    <m/>
    <m/>
    <m/>
    <m/>
    <m/>
    <m/>
    <m/>
    <m/>
    <m/>
    <m/>
    <m/>
    <m/>
    <m/>
    <m/>
    <m/>
    <m/>
    <m/>
    <n v="1"/>
    <n v="735"/>
    <n v="1"/>
    <n v="735"/>
    <n v="1"/>
    <n v="735"/>
    <n v="2.94"/>
    <n v="0"/>
    <n v="0"/>
    <n v="6.0000000000000053E-2"/>
    <n v="3"/>
    <n v="0.58775510204081638"/>
    <n v="432.00000000000006"/>
    <n v="0"/>
    <n v="123"/>
    <n v="51"/>
    <n v="0.41224489795918362"/>
    <n v="0"/>
    <n v="0"/>
    <n v="0"/>
    <n v="0"/>
    <n v="1"/>
    <n v="0"/>
    <n v="0"/>
    <n v="0"/>
    <n v="0"/>
    <x v="0"/>
    <s v="Village"/>
    <x v="0"/>
    <n v="0"/>
    <n v="20.478410720825199"/>
    <n v="93.28662109375"/>
    <n v="197042"/>
    <x v="0"/>
    <m/>
  </r>
  <r>
    <x v="1"/>
    <x v="3"/>
    <x v="3"/>
    <s v="EU"/>
    <x v="1"/>
    <x v="11"/>
    <x v="0"/>
    <x v="106"/>
    <n v="35"/>
    <n v="142"/>
    <d v="2017-01-01T00:00:00"/>
    <d v="2021-12-21T00:00:00"/>
    <m/>
    <m/>
    <n v="0"/>
    <n v="117"/>
    <n v="3"/>
    <m/>
    <m/>
    <m/>
    <m/>
    <n v="235"/>
    <x v="3"/>
    <m/>
    <m/>
    <m/>
    <m/>
    <m/>
    <m/>
    <m/>
    <m/>
    <m/>
    <m/>
    <m/>
    <m/>
    <m/>
    <m/>
    <m/>
    <m/>
    <m/>
    <m/>
    <m/>
    <m/>
    <m/>
    <m/>
    <n v="1"/>
    <n v="142"/>
    <n v="1"/>
    <n v="142"/>
    <n v="1"/>
    <n v="142"/>
    <n v="0.56799999999999995"/>
    <n v="0"/>
    <n v="0"/>
    <n v="0.43200000000000005"/>
    <n v="1"/>
    <n v="1"/>
    <n v="142"/>
    <n v="0"/>
    <n v="24"/>
    <n v="0"/>
    <n v="0"/>
    <n v="0"/>
    <n v="0"/>
    <n v="0"/>
    <n v="0"/>
    <n v="1"/>
    <n v="0"/>
    <n v="0"/>
    <n v="0"/>
    <n v="0"/>
    <x v="0"/>
    <s v="Village"/>
    <x v="0"/>
    <n v="0"/>
    <n v="20.481389999389599"/>
    <n v="93.283447265625"/>
    <n v="197043"/>
    <x v="0"/>
    <m/>
  </r>
  <r>
    <x v="1"/>
    <x v="3"/>
    <x v="3"/>
    <s v="EU"/>
    <x v="1"/>
    <x v="11"/>
    <x v="0"/>
    <x v="107"/>
    <n v="148"/>
    <n v="630"/>
    <d v="2017-01-01T00:00:00"/>
    <d v="2021-12-21T00:00:00"/>
    <m/>
    <m/>
    <n v="6"/>
    <n v="92"/>
    <n v="3"/>
    <m/>
    <m/>
    <m/>
    <m/>
    <n v="204"/>
    <x v="3"/>
    <m/>
    <m/>
    <m/>
    <m/>
    <m/>
    <m/>
    <m/>
    <m/>
    <m/>
    <m/>
    <m/>
    <m/>
    <m/>
    <m/>
    <m/>
    <m/>
    <m/>
    <m/>
    <m/>
    <m/>
    <m/>
    <m/>
    <n v="1"/>
    <n v="630"/>
    <n v="1"/>
    <n v="630"/>
    <n v="1"/>
    <n v="630"/>
    <n v="2.52"/>
    <n v="0"/>
    <n v="0"/>
    <n v="0.48"/>
    <n v="3"/>
    <n v="1"/>
    <n v="630"/>
    <n v="0"/>
    <n v="105"/>
    <n v="0"/>
    <n v="0"/>
    <n v="0"/>
    <n v="0"/>
    <n v="0"/>
    <n v="0"/>
    <n v="1"/>
    <n v="0"/>
    <n v="0"/>
    <n v="0"/>
    <n v="0"/>
    <x v="0"/>
    <s v="Village"/>
    <x v="0"/>
    <n v="0"/>
    <n v="20.422460556030298"/>
    <n v="93.317733764648395"/>
    <n v="197089"/>
    <x v="0"/>
    <m/>
  </r>
  <r>
    <x v="1"/>
    <x v="3"/>
    <x v="3"/>
    <s v="EU"/>
    <x v="1"/>
    <x v="11"/>
    <x v="0"/>
    <x v="108"/>
    <n v="135"/>
    <n v="593"/>
    <d v="2017-01-01T00:00:00"/>
    <d v="2021-12-21T00:00:00"/>
    <m/>
    <m/>
    <n v="7"/>
    <n v="55"/>
    <n v="2"/>
    <m/>
    <m/>
    <m/>
    <m/>
    <n v="114"/>
    <x v="3"/>
    <m/>
    <m/>
    <m/>
    <m/>
    <m/>
    <m/>
    <m/>
    <m/>
    <m/>
    <m/>
    <m/>
    <m/>
    <m/>
    <m/>
    <m/>
    <m/>
    <m/>
    <m/>
    <m/>
    <m/>
    <m/>
    <m/>
    <n v="1"/>
    <n v="593"/>
    <n v="1"/>
    <n v="593"/>
    <n v="1"/>
    <n v="593"/>
    <n v="2.3719999999999999"/>
    <n v="0"/>
    <n v="0"/>
    <n v="0"/>
    <n v="2"/>
    <n v="1"/>
    <n v="593"/>
    <n v="0"/>
    <n v="99"/>
    <n v="0"/>
    <n v="0"/>
    <n v="0"/>
    <n v="0"/>
    <n v="0"/>
    <n v="0"/>
    <n v="1"/>
    <n v="0"/>
    <n v="0"/>
    <n v="0"/>
    <n v="0"/>
    <x v="0"/>
    <s v="Village"/>
    <x v="0"/>
    <n v="0"/>
    <n v="20.445030212402301"/>
    <n v="93.312812805175795"/>
    <n v="197090"/>
    <x v="0"/>
    <m/>
  </r>
  <r>
    <x v="1"/>
    <x v="3"/>
    <x v="3"/>
    <s v="EU"/>
    <x v="1"/>
    <x v="11"/>
    <x v="0"/>
    <x v="109"/>
    <n v="139"/>
    <n v="585"/>
    <d v="2017-01-01T00:00:00"/>
    <d v="2021-12-21T00:00:00"/>
    <m/>
    <m/>
    <n v="3"/>
    <n v="69"/>
    <n v="1"/>
    <m/>
    <m/>
    <m/>
    <m/>
    <n v="54"/>
    <x v="3"/>
    <m/>
    <m/>
    <m/>
    <m/>
    <m/>
    <m/>
    <m/>
    <m/>
    <m/>
    <m/>
    <m/>
    <m/>
    <m/>
    <m/>
    <m/>
    <m/>
    <m/>
    <m/>
    <m/>
    <m/>
    <m/>
    <m/>
    <n v="1"/>
    <n v="585"/>
    <n v="1"/>
    <n v="585"/>
    <n v="1"/>
    <n v="585"/>
    <n v="2.34"/>
    <n v="0"/>
    <n v="0"/>
    <n v="0"/>
    <n v="2"/>
    <n v="0.55384615384615388"/>
    <n v="324"/>
    <n v="0"/>
    <n v="98"/>
    <n v="44"/>
    <n v="0.44615384615384612"/>
    <n v="0"/>
    <n v="0"/>
    <n v="0"/>
    <n v="0"/>
    <n v="1"/>
    <n v="0"/>
    <n v="0"/>
    <n v="0"/>
    <n v="0"/>
    <x v="0"/>
    <s v="Village"/>
    <x v="0"/>
    <n v="0"/>
    <n v="20.466840744018601"/>
    <n v="93.304931640625"/>
    <n v="197149"/>
    <x v="0"/>
    <m/>
  </r>
  <r>
    <x v="1"/>
    <x v="3"/>
    <x v="3"/>
    <s v="EU"/>
    <x v="1"/>
    <x v="11"/>
    <x v="0"/>
    <x v="110"/>
    <n v="408"/>
    <n v="2009"/>
    <d v="2017-01-01T00:00:00"/>
    <d v="2021-12-21T00:00:00"/>
    <m/>
    <m/>
    <n v="1"/>
    <n v="14"/>
    <n v="1"/>
    <m/>
    <m/>
    <m/>
    <m/>
    <n v="20"/>
    <x v="3"/>
    <m/>
    <m/>
    <m/>
    <m/>
    <m/>
    <m/>
    <m/>
    <m/>
    <m/>
    <m/>
    <m/>
    <m/>
    <m/>
    <m/>
    <m/>
    <m/>
    <m/>
    <m/>
    <m/>
    <m/>
    <m/>
    <m/>
    <n v="1"/>
    <n v="2009"/>
    <n v="1"/>
    <n v="2009"/>
    <n v="1"/>
    <n v="2009"/>
    <n v="8.0359999999999996"/>
    <n v="0"/>
    <n v="0"/>
    <n v="0"/>
    <n v="8"/>
    <n v="5.9731209556993528E-2"/>
    <n v="120"/>
    <n v="0"/>
    <n v="335"/>
    <n v="315"/>
    <n v="0.94026879044300649"/>
    <n v="0"/>
    <n v="0"/>
    <n v="0"/>
    <n v="0"/>
    <n v="1"/>
    <n v="0"/>
    <n v="0"/>
    <n v="0"/>
    <n v="0"/>
    <x v="0"/>
    <s v="Village"/>
    <x v="1"/>
    <s v="Muslim"/>
    <n v="20.480898"/>
    <n v="93.299485000000004"/>
    <s v="MMR012CMP006"/>
    <x v="0"/>
    <m/>
  </r>
  <r>
    <x v="1"/>
    <x v="3"/>
    <x v="3"/>
    <s v="EU"/>
    <x v="1"/>
    <x v="11"/>
    <x v="0"/>
    <x v="111"/>
    <n v="47"/>
    <n v="190"/>
    <d v="2017-01-01T00:00:00"/>
    <d v="2021-12-21T00:00:00"/>
    <m/>
    <m/>
    <n v="3"/>
    <n v="60"/>
    <n v="2"/>
    <m/>
    <m/>
    <m/>
    <m/>
    <n v="43"/>
    <x v="3"/>
    <m/>
    <m/>
    <m/>
    <m/>
    <m/>
    <m/>
    <m/>
    <m/>
    <m/>
    <m/>
    <m/>
    <m/>
    <m/>
    <m/>
    <m/>
    <m/>
    <m/>
    <m/>
    <m/>
    <m/>
    <m/>
    <m/>
    <n v="1"/>
    <n v="190"/>
    <n v="1"/>
    <n v="190"/>
    <n v="1"/>
    <n v="190"/>
    <n v="0.76"/>
    <n v="0"/>
    <n v="0"/>
    <n v="0.24"/>
    <n v="1"/>
    <n v="1"/>
    <n v="190"/>
    <n v="0"/>
    <n v="32"/>
    <n v="0"/>
    <n v="0"/>
    <n v="0"/>
    <n v="0"/>
    <n v="0"/>
    <n v="0"/>
    <n v="1"/>
    <n v="0"/>
    <n v="0"/>
    <n v="0"/>
    <n v="0"/>
    <x v="0"/>
    <s v="Village"/>
    <x v="0"/>
    <n v="0"/>
    <n v="0"/>
    <n v="0"/>
    <n v="0"/>
    <x v="0"/>
    <m/>
  </r>
  <r>
    <x v="1"/>
    <x v="3"/>
    <x v="3"/>
    <s v="EU"/>
    <x v="1"/>
    <x v="11"/>
    <x v="0"/>
    <x v="112"/>
    <n v="150"/>
    <n v="532"/>
    <d v="2017-01-01T00:00:00"/>
    <d v="2021-12-21T00:00:00"/>
    <m/>
    <m/>
    <n v="0"/>
    <n v="84"/>
    <n v="2"/>
    <m/>
    <m/>
    <m/>
    <m/>
    <n v="45"/>
    <x v="3"/>
    <m/>
    <m/>
    <m/>
    <m/>
    <m/>
    <m/>
    <m/>
    <m/>
    <m/>
    <m/>
    <m/>
    <m/>
    <m/>
    <m/>
    <m/>
    <m/>
    <m/>
    <m/>
    <m/>
    <m/>
    <m/>
    <m/>
    <n v="1"/>
    <n v="532"/>
    <n v="1"/>
    <n v="532"/>
    <n v="1"/>
    <n v="532"/>
    <n v="2.1280000000000001"/>
    <n v="0"/>
    <n v="0"/>
    <n v="0"/>
    <n v="2"/>
    <n v="0.50751879699248126"/>
    <n v="270.00000000000006"/>
    <n v="0"/>
    <n v="89"/>
    <n v="44"/>
    <n v="0.49248120300751874"/>
    <n v="0"/>
    <n v="0"/>
    <n v="0"/>
    <n v="0"/>
    <n v="1"/>
    <n v="0"/>
    <n v="0"/>
    <n v="0"/>
    <n v="0"/>
    <x v="0"/>
    <s v="Village"/>
    <x v="0"/>
    <n v="0"/>
    <n v="20.440990447998001"/>
    <n v="93.336273193359403"/>
    <n v="197092"/>
    <x v="0"/>
    <m/>
  </r>
  <r>
    <x v="1"/>
    <x v="3"/>
    <x v="3"/>
    <s v="EU"/>
    <x v="1"/>
    <x v="11"/>
    <x v="0"/>
    <x v="113"/>
    <n v="142"/>
    <n v="542"/>
    <d v="2017-01-01T00:00:00"/>
    <d v="2021-12-21T00:00:00"/>
    <m/>
    <m/>
    <n v="11"/>
    <n v="65"/>
    <n v="2"/>
    <m/>
    <m/>
    <m/>
    <m/>
    <n v="56"/>
    <x v="3"/>
    <m/>
    <m/>
    <m/>
    <m/>
    <m/>
    <m/>
    <m/>
    <m/>
    <m/>
    <m/>
    <m/>
    <m/>
    <m/>
    <m/>
    <m/>
    <m/>
    <m/>
    <m/>
    <m/>
    <m/>
    <m/>
    <m/>
    <n v="1"/>
    <n v="542"/>
    <n v="1"/>
    <n v="542"/>
    <n v="1"/>
    <n v="542"/>
    <n v="2.1680000000000001"/>
    <n v="0"/>
    <n v="0"/>
    <n v="0"/>
    <n v="2"/>
    <n v="0.61992619926199266"/>
    <n v="336"/>
    <n v="0"/>
    <n v="90"/>
    <n v="34"/>
    <n v="0.38007380073800734"/>
    <n v="0"/>
    <n v="0"/>
    <n v="0"/>
    <n v="0"/>
    <n v="1"/>
    <n v="0"/>
    <n v="0"/>
    <n v="0"/>
    <n v="0"/>
    <x v="0"/>
    <s v="Village"/>
    <x v="0"/>
    <n v="0"/>
    <n v="20.438470840454102"/>
    <n v="93.344322204589801"/>
    <n v="197100"/>
    <x v="0"/>
    <m/>
  </r>
  <r>
    <x v="1"/>
    <x v="3"/>
    <x v="3"/>
    <s v="EU"/>
    <x v="1"/>
    <x v="11"/>
    <x v="0"/>
    <x v="114"/>
    <n v="290"/>
    <n v="1314"/>
    <d v="2017-01-01T00:00:00"/>
    <d v="2021-12-21T00:00:00"/>
    <m/>
    <m/>
    <n v="7"/>
    <n v="135"/>
    <n v="3"/>
    <m/>
    <m/>
    <m/>
    <m/>
    <n v="159"/>
    <x v="3"/>
    <m/>
    <m/>
    <m/>
    <m/>
    <m/>
    <m/>
    <m/>
    <m/>
    <m/>
    <m/>
    <m/>
    <m/>
    <m/>
    <m/>
    <m/>
    <m/>
    <m/>
    <m/>
    <m/>
    <m/>
    <m/>
    <m/>
    <n v="1"/>
    <n v="1314"/>
    <n v="1"/>
    <n v="1314"/>
    <n v="1"/>
    <n v="1314"/>
    <n v="5.2560000000000002"/>
    <n v="0"/>
    <n v="0"/>
    <n v="0"/>
    <n v="5"/>
    <n v="0.72602739726027399"/>
    <n v="954"/>
    <n v="0"/>
    <n v="219"/>
    <n v="60"/>
    <n v="0.27397260273972601"/>
    <n v="0"/>
    <n v="0"/>
    <n v="0"/>
    <n v="0"/>
    <n v="1"/>
    <n v="0"/>
    <n v="0"/>
    <n v="0"/>
    <n v="0"/>
    <x v="0"/>
    <s v="Village"/>
    <x v="0"/>
    <n v="0"/>
    <n v="20.424299240112301"/>
    <n v="93.337341308593807"/>
    <n v="197099"/>
    <x v="0"/>
    <m/>
  </r>
  <r>
    <x v="1"/>
    <x v="3"/>
    <x v="3"/>
    <s v="EU"/>
    <x v="1"/>
    <x v="11"/>
    <x v="0"/>
    <x v="115"/>
    <n v="215"/>
    <n v="1125"/>
    <d v="2017-01-01T00:00:00"/>
    <d v="2021-12-21T00:00:00"/>
    <m/>
    <m/>
    <n v="0"/>
    <n v="40"/>
    <n v="1"/>
    <m/>
    <m/>
    <m/>
    <m/>
    <n v="36"/>
    <x v="3"/>
    <m/>
    <m/>
    <m/>
    <m/>
    <m/>
    <m/>
    <m/>
    <m/>
    <m/>
    <m/>
    <m/>
    <m/>
    <m/>
    <m/>
    <m/>
    <m/>
    <m/>
    <m/>
    <m/>
    <m/>
    <m/>
    <m/>
    <n v="1"/>
    <n v="1125"/>
    <n v="1"/>
    <n v="1125"/>
    <n v="1"/>
    <n v="1125"/>
    <n v="4.5"/>
    <n v="0"/>
    <n v="0"/>
    <n v="0.5"/>
    <n v="5"/>
    <n v="0.192"/>
    <n v="216"/>
    <n v="0"/>
    <n v="188"/>
    <n v="152"/>
    <n v="0.80800000000000005"/>
    <n v="0"/>
    <n v="0"/>
    <n v="0"/>
    <n v="0"/>
    <n v="1"/>
    <n v="0"/>
    <n v="0"/>
    <n v="0"/>
    <n v="0"/>
    <x v="0"/>
    <s v="Village"/>
    <x v="0"/>
    <n v="0"/>
    <n v="20.470190048217798"/>
    <n v="93.3311767578125"/>
    <n v="197102"/>
    <x v="0"/>
    <m/>
  </r>
  <r>
    <x v="1"/>
    <x v="3"/>
    <x v="3"/>
    <s v="EU"/>
    <x v="1"/>
    <x v="11"/>
    <x v="0"/>
    <x v="116"/>
    <n v="181"/>
    <n v="940"/>
    <d v="2017-01-01T00:00:00"/>
    <d v="2021-12-21T00:00:00"/>
    <m/>
    <m/>
    <n v="0"/>
    <n v="78"/>
    <n v="2"/>
    <m/>
    <m/>
    <m/>
    <m/>
    <n v="88"/>
    <x v="3"/>
    <m/>
    <m/>
    <m/>
    <m/>
    <m/>
    <m/>
    <m/>
    <m/>
    <m/>
    <m/>
    <m/>
    <m/>
    <m/>
    <m/>
    <m/>
    <m/>
    <m/>
    <m/>
    <m/>
    <m/>
    <m/>
    <m/>
    <n v="1"/>
    <n v="940"/>
    <n v="1"/>
    <n v="940"/>
    <n v="1"/>
    <n v="940"/>
    <n v="3.76"/>
    <n v="0"/>
    <n v="0"/>
    <n v="0.24000000000000021"/>
    <n v="4"/>
    <n v="0.5617021276595745"/>
    <n v="528"/>
    <n v="0"/>
    <n v="157"/>
    <n v="69"/>
    <n v="0.4382978723404255"/>
    <n v="0"/>
    <n v="0"/>
    <n v="0"/>
    <n v="0"/>
    <n v="1"/>
    <n v="0"/>
    <n v="0"/>
    <n v="0"/>
    <n v="0"/>
    <x v="0"/>
    <s v="Village"/>
    <x v="0"/>
    <n v="0"/>
    <n v="20.494003295898398"/>
    <n v="93.324035644531307"/>
    <n v="220651"/>
    <x v="0"/>
    <m/>
  </r>
  <r>
    <x v="1"/>
    <x v="3"/>
    <x v="3"/>
    <s v="EU"/>
    <x v="1"/>
    <x v="11"/>
    <x v="0"/>
    <x v="117"/>
    <n v="170"/>
    <n v="743"/>
    <d v="2017-01-01T00:00:00"/>
    <d v="2021-12-21T00:00:00"/>
    <m/>
    <m/>
    <n v="14"/>
    <n v="69"/>
    <n v="3"/>
    <m/>
    <m/>
    <m/>
    <m/>
    <n v="71"/>
    <x v="3"/>
    <m/>
    <m/>
    <m/>
    <m/>
    <m/>
    <m/>
    <m/>
    <m/>
    <m/>
    <m/>
    <m/>
    <m/>
    <m/>
    <m/>
    <m/>
    <m/>
    <m/>
    <m/>
    <m/>
    <m/>
    <m/>
    <m/>
    <n v="1"/>
    <n v="743"/>
    <n v="1"/>
    <n v="743"/>
    <n v="1"/>
    <n v="743"/>
    <n v="2.972"/>
    <n v="0"/>
    <n v="0"/>
    <n v="2.8000000000000025E-2"/>
    <n v="3"/>
    <n v="0.57335127860026913"/>
    <n v="425.99999999999994"/>
    <n v="0"/>
    <n v="124"/>
    <n v="53"/>
    <n v="0.42664872139973087"/>
    <n v="0"/>
    <n v="0"/>
    <n v="0"/>
    <n v="0"/>
    <n v="1"/>
    <n v="0"/>
    <n v="0"/>
    <n v="0"/>
    <n v="0"/>
    <x v="0"/>
    <s v="Village"/>
    <x v="0"/>
    <n v="0"/>
    <n v="20.476139068603501"/>
    <n v="93.338516235351605"/>
    <n v="197103"/>
    <x v="0"/>
    <m/>
  </r>
  <r>
    <x v="1"/>
    <x v="3"/>
    <x v="3"/>
    <s v="EU"/>
    <x v="1"/>
    <x v="11"/>
    <x v="0"/>
    <x v="118"/>
    <n v="121"/>
    <n v="421"/>
    <d v="2017-01-01T00:00:00"/>
    <d v="2021-12-21T00:00:00"/>
    <m/>
    <m/>
    <n v="0"/>
    <n v="98"/>
    <n v="2"/>
    <m/>
    <m/>
    <m/>
    <m/>
    <n v="112"/>
    <x v="3"/>
    <m/>
    <m/>
    <m/>
    <m/>
    <m/>
    <m/>
    <m/>
    <m/>
    <m/>
    <m/>
    <m/>
    <m/>
    <m/>
    <m/>
    <m/>
    <m/>
    <m/>
    <m/>
    <m/>
    <m/>
    <m/>
    <m/>
    <n v="1"/>
    <n v="421"/>
    <n v="1"/>
    <n v="421"/>
    <n v="1"/>
    <n v="421"/>
    <n v="1.6839999999999999"/>
    <n v="0"/>
    <n v="0"/>
    <n v="0.31600000000000006"/>
    <n v="2"/>
    <n v="1"/>
    <n v="421"/>
    <n v="0"/>
    <n v="70"/>
    <n v="0"/>
    <n v="0"/>
    <n v="0"/>
    <n v="0"/>
    <n v="0"/>
    <n v="0"/>
    <n v="1"/>
    <n v="0"/>
    <n v="0"/>
    <n v="0"/>
    <n v="0"/>
    <x v="0"/>
    <s v="Village"/>
    <x v="0"/>
    <s v="Mixed"/>
    <n v="20.394809720000001"/>
    <n v="93.251609799999997"/>
    <n v="196994"/>
    <x v="0"/>
    <m/>
  </r>
  <r>
    <x v="1"/>
    <x v="3"/>
    <x v="3"/>
    <s v="EU"/>
    <x v="1"/>
    <x v="11"/>
    <x v="0"/>
    <x v="119"/>
    <n v="203"/>
    <n v="1118"/>
    <d v="2017-01-01T00:00:00"/>
    <d v="2021-12-21T00:00:00"/>
    <m/>
    <m/>
    <n v="18"/>
    <n v="111"/>
    <n v="2"/>
    <m/>
    <m/>
    <m/>
    <m/>
    <n v="97"/>
    <x v="3"/>
    <m/>
    <m/>
    <m/>
    <m/>
    <m/>
    <m/>
    <m/>
    <m/>
    <m/>
    <m/>
    <m/>
    <m/>
    <m/>
    <m/>
    <m/>
    <m/>
    <m/>
    <m/>
    <m/>
    <m/>
    <m/>
    <m/>
    <n v="1"/>
    <n v="1118"/>
    <n v="1"/>
    <n v="1118"/>
    <n v="1"/>
    <n v="1118"/>
    <n v="4.4720000000000004"/>
    <n v="0"/>
    <n v="0"/>
    <n v="0"/>
    <n v="4"/>
    <n v="0.52057245080500891"/>
    <n v="582"/>
    <n v="0"/>
    <n v="186"/>
    <n v="89"/>
    <n v="0.47942754919499109"/>
    <n v="0"/>
    <n v="0"/>
    <n v="0"/>
    <n v="0"/>
    <n v="1"/>
    <n v="0"/>
    <n v="0"/>
    <n v="0"/>
    <n v="0"/>
    <x v="0"/>
    <s v="Village"/>
    <x v="0"/>
    <n v="0"/>
    <n v="20.391029357910199"/>
    <n v="93.257637023925795"/>
    <n v="196997"/>
    <x v="0"/>
    <m/>
  </r>
  <r>
    <x v="1"/>
    <x v="3"/>
    <x v="3"/>
    <s v="EU"/>
    <x v="1"/>
    <x v="11"/>
    <x v="0"/>
    <x v="120"/>
    <n v="31"/>
    <n v="170"/>
    <d v="2017-01-01T00:00:00"/>
    <d v="2021-12-21T00:00:00"/>
    <m/>
    <m/>
    <n v="0"/>
    <n v="54"/>
    <n v="4"/>
    <m/>
    <m/>
    <m/>
    <m/>
    <n v="154"/>
    <x v="3"/>
    <m/>
    <m/>
    <m/>
    <m/>
    <m/>
    <m/>
    <m/>
    <m/>
    <m/>
    <m/>
    <m/>
    <m/>
    <m/>
    <m/>
    <m/>
    <m/>
    <m/>
    <m/>
    <m/>
    <m/>
    <m/>
    <m/>
    <n v="1"/>
    <n v="170"/>
    <n v="1"/>
    <n v="170"/>
    <n v="1"/>
    <n v="170"/>
    <n v="0.68"/>
    <n v="0"/>
    <n v="0"/>
    <n v="0.31999999999999995"/>
    <n v="1"/>
    <n v="1"/>
    <n v="170"/>
    <n v="0"/>
    <n v="28"/>
    <n v="0"/>
    <n v="0"/>
    <n v="0"/>
    <n v="0"/>
    <n v="0"/>
    <n v="0"/>
    <n v="1"/>
    <n v="0"/>
    <n v="0"/>
    <n v="0"/>
    <n v="0"/>
    <x v="0"/>
    <s v="Village"/>
    <x v="0"/>
    <s v="Rakhine"/>
    <n v="20.396680830000001"/>
    <n v="93.252868649999996"/>
    <n v="196998"/>
    <x v="0"/>
    <m/>
  </r>
  <r>
    <x v="1"/>
    <x v="3"/>
    <x v="3"/>
    <s v="BMZ"/>
    <x v="1"/>
    <x v="11"/>
    <x v="0"/>
    <x v="121"/>
    <n v="180"/>
    <n v="964"/>
    <d v="2017-01-01T00:00:00"/>
    <d v="2021-12-21T00:00:00"/>
    <m/>
    <m/>
    <n v="3"/>
    <n v="76"/>
    <n v="3"/>
    <m/>
    <m/>
    <m/>
    <m/>
    <n v="116"/>
    <x v="3"/>
    <m/>
    <m/>
    <m/>
    <m/>
    <m/>
    <m/>
    <m/>
    <m/>
    <m/>
    <m/>
    <m/>
    <m/>
    <m/>
    <m/>
    <m/>
    <m/>
    <m/>
    <m/>
    <m/>
    <m/>
    <m/>
    <m/>
    <n v="1"/>
    <n v="964"/>
    <n v="1"/>
    <n v="964"/>
    <n v="1"/>
    <n v="964"/>
    <n v="3.8559999999999999"/>
    <n v="0"/>
    <n v="0"/>
    <n v="0.14400000000000013"/>
    <n v="4"/>
    <n v="0.72199170124481327"/>
    <n v="696"/>
    <n v="0"/>
    <n v="161"/>
    <n v="45"/>
    <n v="0.27800829875518673"/>
    <n v="0"/>
    <n v="0"/>
    <n v="0"/>
    <n v="0"/>
    <n v="1"/>
    <n v="0"/>
    <n v="0"/>
    <n v="0"/>
    <n v="0"/>
    <x v="0"/>
    <s v="Village"/>
    <x v="0"/>
    <n v="0"/>
    <n v="20.410079956054702"/>
    <n v="93.37109375"/>
    <n v="197114"/>
    <x v="0"/>
    <m/>
  </r>
  <r>
    <x v="1"/>
    <x v="3"/>
    <x v="3"/>
    <s v="BMZ"/>
    <x v="1"/>
    <x v="11"/>
    <x v="0"/>
    <x v="122"/>
    <n v="130"/>
    <n v="398"/>
    <d v="2017-01-01T00:00:00"/>
    <d v="2021-12-21T00:00:00"/>
    <m/>
    <m/>
    <n v="43"/>
    <n v="48"/>
    <n v="2"/>
    <m/>
    <m/>
    <m/>
    <m/>
    <n v="78"/>
    <x v="3"/>
    <m/>
    <m/>
    <m/>
    <m/>
    <m/>
    <m/>
    <m/>
    <m/>
    <m/>
    <m/>
    <m/>
    <m/>
    <m/>
    <m/>
    <m/>
    <m/>
    <m/>
    <m/>
    <m/>
    <m/>
    <m/>
    <m/>
    <n v="1"/>
    <n v="398"/>
    <n v="1"/>
    <n v="398"/>
    <n v="1"/>
    <n v="398"/>
    <n v="1.5920000000000001"/>
    <n v="0"/>
    <n v="0"/>
    <n v="0.40799999999999992"/>
    <n v="2"/>
    <n v="1"/>
    <n v="398"/>
    <n v="0"/>
    <n v="66"/>
    <n v="0"/>
    <n v="0"/>
    <n v="0"/>
    <n v="0"/>
    <n v="0"/>
    <n v="0"/>
    <n v="1"/>
    <n v="0"/>
    <n v="0"/>
    <n v="0"/>
    <n v="0"/>
    <x v="0"/>
    <s v="Village"/>
    <x v="0"/>
    <n v="0"/>
    <n v="20.382389068603501"/>
    <n v="93.373863220214801"/>
    <n v="197111"/>
    <x v="0"/>
    <m/>
  </r>
  <r>
    <x v="1"/>
    <x v="3"/>
    <x v="3"/>
    <s v="BMZ"/>
    <x v="1"/>
    <x v="11"/>
    <x v="0"/>
    <x v="123"/>
    <n v="191"/>
    <n v="713"/>
    <d v="2017-01-01T00:00:00"/>
    <d v="2021-12-21T00:00:00"/>
    <m/>
    <m/>
    <n v="11"/>
    <n v="93"/>
    <n v="2"/>
    <m/>
    <m/>
    <m/>
    <m/>
    <n v="89"/>
    <x v="3"/>
    <m/>
    <m/>
    <m/>
    <m/>
    <m/>
    <m/>
    <m/>
    <m/>
    <m/>
    <m/>
    <m/>
    <m/>
    <m/>
    <m/>
    <m/>
    <m/>
    <m/>
    <m/>
    <m/>
    <m/>
    <m/>
    <m/>
    <n v="1"/>
    <n v="713"/>
    <n v="1"/>
    <n v="713"/>
    <n v="1"/>
    <n v="713"/>
    <n v="2.8519999999999999"/>
    <n v="0"/>
    <n v="0"/>
    <n v="0.14800000000000013"/>
    <n v="3"/>
    <n v="0.74894810659186539"/>
    <n v="534"/>
    <n v="0"/>
    <n v="119"/>
    <n v="30"/>
    <n v="0.25105189340813461"/>
    <n v="0"/>
    <n v="0"/>
    <n v="0"/>
    <n v="0"/>
    <n v="1"/>
    <n v="0"/>
    <n v="0"/>
    <n v="0"/>
    <n v="0"/>
    <x v="0"/>
    <s v="Village"/>
    <x v="0"/>
    <n v="0"/>
    <n v="20.389610290527301"/>
    <n v="93.371490478515597"/>
    <n v="197112"/>
    <x v="0"/>
    <m/>
  </r>
  <r>
    <x v="1"/>
    <x v="3"/>
    <x v="3"/>
    <s v="BMZ"/>
    <x v="1"/>
    <x v="11"/>
    <x v="0"/>
    <x v="124"/>
    <n v="27"/>
    <n v="53"/>
    <d v="2017-01-01T00:00:00"/>
    <d v="2021-12-21T00:00:00"/>
    <m/>
    <m/>
    <n v="2"/>
    <n v="23"/>
    <n v="1"/>
    <m/>
    <m/>
    <m/>
    <m/>
    <n v="22"/>
    <x v="3"/>
    <m/>
    <m/>
    <m/>
    <m/>
    <m/>
    <m/>
    <m/>
    <m/>
    <m/>
    <m/>
    <m/>
    <m/>
    <m/>
    <m/>
    <m/>
    <m/>
    <m/>
    <m/>
    <m/>
    <m/>
    <m/>
    <m/>
    <n v="1"/>
    <n v="53"/>
    <n v="1"/>
    <n v="53"/>
    <n v="1"/>
    <n v="53"/>
    <n v="0.21199999999999999"/>
    <n v="0"/>
    <n v="0"/>
    <n v="0.78800000000000003"/>
    <n v="1"/>
    <n v="1"/>
    <n v="53"/>
    <n v="0"/>
    <n v="9"/>
    <n v="0"/>
    <n v="0"/>
    <n v="0"/>
    <n v="0"/>
    <n v="0"/>
    <n v="0"/>
    <n v="1"/>
    <n v="0"/>
    <n v="0"/>
    <n v="0"/>
    <n v="0"/>
    <x v="0"/>
    <s v="Village"/>
    <x v="0"/>
    <n v="0"/>
    <n v="20.384975433349599"/>
    <n v="93.373054504394503"/>
    <n v="220653"/>
    <x v="0"/>
    <m/>
  </r>
  <r>
    <x v="1"/>
    <x v="3"/>
    <x v="3"/>
    <s v="BMZ"/>
    <x v="1"/>
    <x v="11"/>
    <x v="0"/>
    <x v="125"/>
    <n v="63"/>
    <n v="249"/>
    <d v="2017-01-01T00:00:00"/>
    <d v="2021-12-21T00:00:00"/>
    <m/>
    <m/>
    <n v="0"/>
    <n v="88"/>
    <n v="2"/>
    <m/>
    <m/>
    <m/>
    <m/>
    <n v="108"/>
    <x v="3"/>
    <m/>
    <m/>
    <m/>
    <m/>
    <m/>
    <m/>
    <m/>
    <m/>
    <m/>
    <m/>
    <m/>
    <m/>
    <m/>
    <m/>
    <m/>
    <m/>
    <m/>
    <m/>
    <m/>
    <m/>
    <m/>
    <m/>
    <n v="1"/>
    <n v="249"/>
    <n v="1"/>
    <n v="249"/>
    <n v="1"/>
    <n v="249"/>
    <n v="0.996"/>
    <n v="0"/>
    <n v="0"/>
    <n v="4.0000000000000036E-3"/>
    <n v="1"/>
    <n v="1"/>
    <n v="249"/>
    <n v="0"/>
    <n v="42"/>
    <n v="0"/>
    <n v="0"/>
    <n v="0"/>
    <n v="0"/>
    <n v="0"/>
    <n v="0"/>
    <n v="1"/>
    <n v="0"/>
    <n v="0"/>
    <n v="0"/>
    <n v="0"/>
    <x v="0"/>
    <s v="Village"/>
    <x v="0"/>
    <n v="0"/>
    <n v="0"/>
    <n v="0"/>
    <n v="197110"/>
    <x v="0"/>
    <m/>
  </r>
  <r>
    <x v="1"/>
    <x v="5"/>
    <x v="5"/>
    <s v="USAID/OFDA"/>
    <x v="1"/>
    <x v="12"/>
    <x v="0"/>
    <x v="126"/>
    <n v="40"/>
    <n v="217"/>
    <d v="2020-05-01T00:00:00"/>
    <d v="2021-04-30T00:00:00"/>
    <n v="107"/>
    <m/>
    <m/>
    <n v="8"/>
    <m/>
    <m/>
    <m/>
    <n v="2"/>
    <m/>
    <n v="40"/>
    <x v="1"/>
    <n v="2"/>
    <m/>
    <m/>
    <n v="1"/>
    <m/>
    <m/>
    <n v="39"/>
    <n v="147"/>
    <n v="70"/>
    <n v="116"/>
    <n v="30"/>
    <n v="32"/>
    <n v="40"/>
    <n v="2"/>
    <n v="40"/>
    <n v="80"/>
    <m/>
    <n v="1"/>
    <n v="1"/>
    <s v="N/A"/>
    <s v="N/A"/>
    <s v="N/A"/>
    <n v="1"/>
    <n v="217"/>
    <n v="0"/>
    <n v="0"/>
    <n v="1"/>
    <n v="217"/>
    <n v="0.86799999999999999"/>
    <n v="0"/>
    <n v="0"/>
    <n v="0.13200000000000001"/>
    <n v="1"/>
    <n v="1"/>
    <n v="217"/>
    <n v="100"/>
    <n v="36"/>
    <n v="0"/>
    <n v="0"/>
    <n v="217"/>
    <n v="217"/>
    <n v="217"/>
    <n v="1"/>
    <n v="0"/>
    <n v="1"/>
    <n v="217"/>
    <n v="80"/>
    <n v="217"/>
    <x v="1"/>
    <s v="Village"/>
    <x v="2"/>
    <s v="Rakhine"/>
    <n v="20.041981"/>
    <n v="93.373951000000005"/>
    <s v="MMR012CMP013"/>
    <x v="0"/>
    <m/>
  </r>
  <r>
    <x v="1"/>
    <x v="6"/>
    <x v="6"/>
    <s v="DFID/HARP"/>
    <x v="1"/>
    <x v="10"/>
    <x v="0"/>
    <x v="127"/>
    <n v="249"/>
    <n v="1362"/>
    <d v="2017-10-01T00:00:00"/>
    <d v="2020-09-30T00:00:00"/>
    <m/>
    <n v="0"/>
    <m/>
    <m/>
    <m/>
    <m/>
    <m/>
    <m/>
    <m/>
    <m/>
    <x v="3"/>
    <m/>
    <m/>
    <m/>
    <m/>
    <m/>
    <m/>
    <m/>
    <m/>
    <m/>
    <m/>
    <m/>
    <m/>
    <m/>
    <m/>
    <m/>
    <m/>
    <m/>
    <m/>
    <m/>
    <m/>
    <m/>
    <m/>
    <n v="0"/>
    <n v="0"/>
    <n v="0"/>
    <n v="0"/>
    <n v="0"/>
    <n v="0"/>
    <n v="0"/>
    <n v="1"/>
    <n v="1362"/>
    <n v="5"/>
    <n v="5"/>
    <n v="0"/>
    <n v="0"/>
    <n v="0"/>
    <n v="227"/>
    <n v="227"/>
    <n v="1"/>
    <n v="0"/>
    <n v="0"/>
    <n v="0"/>
    <n v="0"/>
    <n v="1"/>
    <n v="0"/>
    <n v="0"/>
    <n v="0"/>
    <n v="0"/>
    <x v="0"/>
    <s v="Village"/>
    <x v="2"/>
    <s v="Rakhine"/>
    <n v="20.151471999999998"/>
    <n v="92.887277999999995"/>
    <s v="MMR012CMP111"/>
    <x v="0"/>
    <m/>
  </r>
  <r>
    <x v="1"/>
    <x v="4"/>
    <x v="4"/>
    <s v="DFID/HARP"/>
    <x v="1"/>
    <x v="10"/>
    <x v="0"/>
    <x v="128"/>
    <n v="420"/>
    <n v="2179"/>
    <d v="2017-10-01T00:00:00"/>
    <d v="2020-09-30T00:00:00"/>
    <m/>
    <n v="0"/>
    <m/>
    <m/>
    <m/>
    <m/>
    <m/>
    <m/>
    <m/>
    <m/>
    <x v="3"/>
    <m/>
    <m/>
    <m/>
    <m/>
    <m/>
    <m/>
    <n v="72"/>
    <n v="60"/>
    <m/>
    <m/>
    <m/>
    <m/>
    <m/>
    <m/>
    <m/>
    <m/>
    <m/>
    <m/>
    <m/>
    <m/>
    <m/>
    <m/>
    <n v="0"/>
    <n v="0"/>
    <n v="0"/>
    <n v="0"/>
    <n v="0"/>
    <n v="0"/>
    <n v="0"/>
    <n v="1"/>
    <n v="2179"/>
    <n v="9"/>
    <n v="9"/>
    <n v="0"/>
    <n v="0"/>
    <n v="0"/>
    <n v="363"/>
    <n v="363"/>
    <n v="1"/>
    <n v="132"/>
    <n v="0"/>
    <n v="132"/>
    <n v="6.0578246902248736E-2"/>
    <n v="0.93942175309775122"/>
    <n v="6.0578246902248736E-2"/>
    <n v="0"/>
    <n v="0"/>
    <n v="0"/>
    <x v="0"/>
    <s v="Village"/>
    <x v="2"/>
    <s v="Rakhine"/>
    <n v="20.151471999999998"/>
    <n v="92.887277999999995"/>
    <s v="MMR012CMP112"/>
    <x v="0"/>
    <m/>
  </r>
  <r>
    <x v="1"/>
    <x v="4"/>
    <x v="4"/>
    <s v="DFID/HARP"/>
    <x v="1"/>
    <x v="10"/>
    <x v="0"/>
    <x v="129"/>
    <n v="235"/>
    <n v="1390"/>
    <d v="2017-10-01T00:00:00"/>
    <d v="2020-09-30T00:00:00"/>
    <m/>
    <n v="0"/>
    <m/>
    <m/>
    <m/>
    <m/>
    <m/>
    <m/>
    <m/>
    <m/>
    <x v="3"/>
    <m/>
    <m/>
    <m/>
    <m/>
    <m/>
    <m/>
    <n v="149"/>
    <n v="275"/>
    <m/>
    <m/>
    <m/>
    <m/>
    <m/>
    <m/>
    <m/>
    <m/>
    <m/>
    <m/>
    <m/>
    <m/>
    <m/>
    <m/>
    <n v="0"/>
    <n v="0"/>
    <n v="0"/>
    <n v="0"/>
    <n v="0"/>
    <n v="0"/>
    <n v="0"/>
    <n v="1"/>
    <n v="1390"/>
    <n v="6"/>
    <n v="6"/>
    <n v="0"/>
    <n v="0"/>
    <n v="0"/>
    <n v="232"/>
    <n v="232"/>
    <n v="1"/>
    <n v="424"/>
    <n v="0"/>
    <n v="424"/>
    <n v="0.30503597122302156"/>
    <n v="0.69496402877697849"/>
    <n v="0.30503597122302156"/>
    <n v="0"/>
    <n v="0"/>
    <n v="0"/>
    <x v="0"/>
    <s v="Village"/>
    <x v="0"/>
    <s v="Muslim"/>
    <n v="20.19171906"/>
    <n v="92.808166499999999"/>
    <n v="196155"/>
    <x v="0"/>
    <m/>
  </r>
  <r>
    <x v="1"/>
    <x v="4"/>
    <x v="4"/>
    <s v="DFID/HARP"/>
    <x v="1"/>
    <x v="10"/>
    <x v="0"/>
    <x v="130"/>
    <n v="72"/>
    <n v="442"/>
    <d v="2017-10-01T00:00:00"/>
    <d v="2020-09-30T00:00:00"/>
    <m/>
    <n v="0"/>
    <m/>
    <m/>
    <m/>
    <m/>
    <m/>
    <m/>
    <m/>
    <m/>
    <x v="3"/>
    <m/>
    <m/>
    <m/>
    <m/>
    <m/>
    <m/>
    <n v="99"/>
    <n v="210"/>
    <m/>
    <m/>
    <m/>
    <m/>
    <m/>
    <m/>
    <m/>
    <m/>
    <m/>
    <m/>
    <m/>
    <m/>
    <m/>
    <m/>
    <n v="0"/>
    <n v="0"/>
    <n v="0"/>
    <n v="0"/>
    <n v="0"/>
    <n v="0"/>
    <n v="0"/>
    <n v="1"/>
    <n v="442"/>
    <n v="2"/>
    <n v="2"/>
    <n v="0"/>
    <n v="0"/>
    <n v="0"/>
    <n v="74"/>
    <n v="74"/>
    <n v="1"/>
    <n v="309"/>
    <n v="0"/>
    <n v="309"/>
    <n v="0.69909502262443435"/>
    <n v="0.30090497737556565"/>
    <n v="0.69909502262443435"/>
    <n v="0"/>
    <n v="0"/>
    <n v="0"/>
    <x v="0"/>
    <s v="Village"/>
    <x v="2"/>
    <s v="Maramargyi"/>
    <n v="20.148584"/>
    <n v="92.880319999999998"/>
    <s v="MMR012CMP056"/>
    <x v="0"/>
    <m/>
  </r>
  <r>
    <x v="1"/>
    <x v="4"/>
    <x v="4"/>
    <s v="DFID/HARP"/>
    <x v="1"/>
    <x v="10"/>
    <x v="0"/>
    <x v="131"/>
    <n v="151"/>
    <n v="625"/>
    <d v="2017-10-01T00:00:00"/>
    <d v="2020-09-30T00:00:00"/>
    <m/>
    <n v="0"/>
    <m/>
    <m/>
    <m/>
    <m/>
    <m/>
    <m/>
    <m/>
    <m/>
    <x v="3"/>
    <m/>
    <m/>
    <m/>
    <m/>
    <m/>
    <m/>
    <n v="155"/>
    <n v="277"/>
    <n v="15"/>
    <n v="57"/>
    <m/>
    <m/>
    <m/>
    <m/>
    <m/>
    <m/>
    <m/>
    <m/>
    <m/>
    <m/>
    <m/>
    <m/>
    <n v="0"/>
    <n v="0"/>
    <n v="0"/>
    <n v="0"/>
    <n v="0"/>
    <n v="0"/>
    <n v="0"/>
    <n v="1"/>
    <n v="625"/>
    <n v="3"/>
    <n v="3"/>
    <n v="0"/>
    <n v="0"/>
    <n v="0"/>
    <n v="104"/>
    <n v="104"/>
    <n v="1"/>
    <n v="504"/>
    <n v="0"/>
    <n v="504"/>
    <n v="0.80640000000000001"/>
    <n v="0.19359999999999999"/>
    <n v="0.80640000000000001"/>
    <n v="0"/>
    <n v="0"/>
    <n v="0"/>
    <x v="0"/>
    <s v="Village"/>
    <x v="2"/>
    <s v="Rakhine"/>
    <n v="20.155805999999998"/>
    <n v="92.879138999999995"/>
    <s v="MMR012CMP093"/>
    <x v="0"/>
    <m/>
  </r>
  <r>
    <x v="1"/>
    <x v="6"/>
    <x v="6"/>
    <s v="DFID/HARP"/>
    <x v="1"/>
    <x v="10"/>
    <x v="0"/>
    <x v="132"/>
    <n v="173"/>
    <n v="749"/>
    <d v="2017-10-01T00:00:00"/>
    <d v="2020-09-30T00:00:00"/>
    <m/>
    <n v="0"/>
    <m/>
    <n v="9"/>
    <m/>
    <m/>
    <m/>
    <m/>
    <m/>
    <n v="28"/>
    <x v="3"/>
    <m/>
    <m/>
    <m/>
    <m/>
    <m/>
    <m/>
    <n v="0"/>
    <n v="10"/>
    <m/>
    <m/>
    <m/>
    <m/>
    <m/>
    <m/>
    <m/>
    <m/>
    <m/>
    <m/>
    <m/>
    <m/>
    <m/>
    <m/>
    <n v="1"/>
    <n v="749"/>
    <n v="0"/>
    <n v="0"/>
    <n v="1"/>
    <n v="749"/>
    <n v="2.996"/>
    <n v="0"/>
    <n v="0"/>
    <n v="4.0000000000000036E-3"/>
    <n v="3"/>
    <n v="0.22429906542056074"/>
    <n v="168"/>
    <n v="0"/>
    <n v="125"/>
    <n v="97"/>
    <n v="0.77570093457943923"/>
    <n v="10"/>
    <n v="0"/>
    <n v="10"/>
    <n v="1.335113484646195E-2"/>
    <n v="0.986648865153538"/>
    <n v="1.335113484646195E-2"/>
    <n v="0"/>
    <n v="0"/>
    <n v="0"/>
    <x v="0"/>
    <s v="Village"/>
    <x v="0"/>
    <s v="Rakhine"/>
    <n v="20.16259956"/>
    <n v="92.834457400000005"/>
    <n v="196210"/>
    <x v="0"/>
    <m/>
  </r>
  <r>
    <x v="1"/>
    <x v="6"/>
    <x v="6"/>
    <s v="DFID/HARP"/>
    <x v="1"/>
    <x v="10"/>
    <x v="0"/>
    <x v="133"/>
    <n v="763"/>
    <n v="3797"/>
    <d v="2017-10-01T00:00:00"/>
    <d v="2020-09-30T00:00:00"/>
    <m/>
    <n v="0"/>
    <m/>
    <n v="15"/>
    <m/>
    <m/>
    <m/>
    <m/>
    <m/>
    <n v="158"/>
    <x v="3"/>
    <m/>
    <m/>
    <m/>
    <m/>
    <m/>
    <m/>
    <n v="28"/>
    <n v="158"/>
    <m/>
    <m/>
    <m/>
    <m/>
    <m/>
    <m/>
    <n v="758"/>
    <m/>
    <m/>
    <n v="1"/>
    <m/>
    <m/>
    <m/>
    <m/>
    <n v="1"/>
    <n v="3797"/>
    <n v="0"/>
    <n v="0"/>
    <n v="1"/>
    <n v="3797"/>
    <n v="15.188000000000001"/>
    <n v="0"/>
    <n v="0"/>
    <n v="0"/>
    <n v="15"/>
    <n v="0.24967079273110351"/>
    <n v="948"/>
    <n v="0"/>
    <n v="633"/>
    <n v="475"/>
    <n v="0.75032920726889651"/>
    <n v="186"/>
    <n v="0"/>
    <n v="3797"/>
    <n v="1"/>
    <n v="0"/>
    <n v="4.8986041611798786E-2"/>
    <n v="3797"/>
    <n v="0"/>
    <n v="3797"/>
    <x v="0"/>
    <s v="Village"/>
    <x v="0"/>
    <s v="Muslim"/>
    <n v="20.15736008"/>
    <n v="92.838653559999997"/>
    <n v="196211"/>
    <x v="0"/>
    <m/>
  </r>
  <r>
    <x v="1"/>
    <x v="6"/>
    <x v="6"/>
    <s v="DFID/HARP"/>
    <x v="1"/>
    <x v="10"/>
    <x v="0"/>
    <x v="134"/>
    <n v="427"/>
    <n v="2455"/>
    <d v="2017-10-01T00:00:00"/>
    <d v="2020-09-30T00:00:00"/>
    <m/>
    <n v="0"/>
    <m/>
    <n v="18"/>
    <m/>
    <m/>
    <m/>
    <m/>
    <m/>
    <n v="35"/>
    <x v="3"/>
    <m/>
    <m/>
    <m/>
    <m/>
    <m/>
    <m/>
    <n v="18"/>
    <n v="102"/>
    <m/>
    <m/>
    <m/>
    <m/>
    <m/>
    <m/>
    <n v="426"/>
    <m/>
    <m/>
    <n v="0.96"/>
    <m/>
    <m/>
    <m/>
    <m/>
    <n v="1"/>
    <n v="2455"/>
    <n v="0"/>
    <n v="0"/>
    <n v="1"/>
    <n v="2455"/>
    <n v="9.82"/>
    <n v="0"/>
    <n v="0"/>
    <n v="0.17999999999999972"/>
    <n v="10"/>
    <n v="8.5539714867617106E-2"/>
    <n v="210"/>
    <n v="0"/>
    <n v="409"/>
    <n v="374"/>
    <n v="0.91446028513238287"/>
    <n v="120"/>
    <n v="0"/>
    <n v="2455"/>
    <n v="1"/>
    <n v="0"/>
    <n v="4.8879837067209775E-2"/>
    <n v="2455"/>
    <n v="0"/>
    <n v="2455"/>
    <x v="0"/>
    <s v="Village"/>
    <x v="0"/>
    <s v="Muslim"/>
    <n v="20.147863431600001"/>
    <n v="92.846768572000002"/>
    <n v="196209"/>
    <x v="0"/>
    <m/>
  </r>
  <r>
    <x v="1"/>
    <x v="3"/>
    <x v="3"/>
    <s v="BMZ"/>
    <x v="1"/>
    <x v="10"/>
    <x v="0"/>
    <x v="135"/>
    <n v="452"/>
    <n v="1901"/>
    <d v="2017-01-01T00:00:00"/>
    <d v="2021-12-21T00:00:00"/>
    <m/>
    <m/>
    <m/>
    <m/>
    <m/>
    <m/>
    <m/>
    <m/>
    <m/>
    <m/>
    <x v="3"/>
    <m/>
    <m/>
    <m/>
    <m/>
    <m/>
    <m/>
    <m/>
    <m/>
    <m/>
    <m/>
    <m/>
    <m/>
    <m/>
    <m/>
    <m/>
    <m/>
    <m/>
    <m/>
    <m/>
    <m/>
    <m/>
    <m/>
    <n v="0"/>
    <n v="0"/>
    <n v="0"/>
    <n v="0"/>
    <n v="0"/>
    <n v="0"/>
    <n v="0"/>
    <n v="1"/>
    <n v="1901"/>
    <n v="8"/>
    <n v="8"/>
    <n v="0"/>
    <n v="0"/>
    <n v="0"/>
    <n v="317"/>
    <n v="317"/>
    <n v="1"/>
    <n v="0"/>
    <n v="0"/>
    <n v="0"/>
    <n v="0"/>
    <n v="1"/>
    <n v="0"/>
    <n v="0"/>
    <n v="0"/>
    <n v="0"/>
    <x v="0"/>
    <s v="Village"/>
    <x v="0"/>
    <n v="0"/>
    <n v="20.760820389999999"/>
    <n v="92.960083010000005"/>
    <n v="196893"/>
    <x v="0"/>
    <m/>
  </r>
  <r>
    <x v="1"/>
    <x v="4"/>
    <x v="4"/>
    <s v="DFID/HARP"/>
    <x v="1"/>
    <x v="10"/>
    <x v="0"/>
    <x v="136"/>
    <n v="17"/>
    <n v="74"/>
    <d v="2017-10-01T00:00:00"/>
    <d v="2020-09-30T00:00:00"/>
    <m/>
    <n v="0"/>
    <m/>
    <m/>
    <m/>
    <m/>
    <m/>
    <m/>
    <m/>
    <m/>
    <x v="3"/>
    <m/>
    <m/>
    <m/>
    <m/>
    <m/>
    <m/>
    <m/>
    <m/>
    <m/>
    <m/>
    <m/>
    <m/>
    <m/>
    <m/>
    <m/>
    <m/>
    <m/>
    <m/>
    <m/>
    <m/>
    <m/>
    <m/>
    <n v="0"/>
    <n v="0"/>
    <n v="0"/>
    <n v="0"/>
    <n v="0"/>
    <n v="0"/>
    <n v="0"/>
    <n v="1"/>
    <n v="74"/>
    <n v="1"/>
    <n v="1"/>
    <n v="0"/>
    <n v="0"/>
    <n v="0"/>
    <n v="12"/>
    <n v="12"/>
    <n v="1"/>
    <n v="0"/>
    <n v="0"/>
    <n v="0"/>
    <n v="0"/>
    <n v="1"/>
    <n v="0"/>
    <n v="0"/>
    <n v="0"/>
    <n v="0"/>
    <x v="0"/>
    <s v="Village"/>
    <x v="0"/>
    <s v="Muslim"/>
    <n v="20.193460460000001"/>
    <n v="92.867782590000004"/>
    <n v="196147"/>
    <x v="0"/>
    <m/>
  </r>
  <r>
    <x v="1"/>
    <x v="7"/>
    <x v="7"/>
    <s v="ECHO, OFDA, CDC"/>
    <x v="1"/>
    <x v="8"/>
    <x v="0"/>
    <x v="137"/>
    <n v="483"/>
    <n v="2228"/>
    <d v="2019-03-01T00:00:00"/>
    <d v="2021-02-28T00:00:00"/>
    <m/>
    <n v="454"/>
    <n v="0"/>
    <n v="0"/>
    <n v="1"/>
    <m/>
    <m/>
    <m/>
    <m/>
    <m/>
    <x v="3"/>
    <m/>
    <m/>
    <m/>
    <m/>
    <m/>
    <m/>
    <n v="417"/>
    <n v="463"/>
    <n v="614"/>
    <n v="556"/>
    <m/>
    <m/>
    <n v="0"/>
    <n v="0"/>
    <n v="483"/>
    <n v="1019"/>
    <s v="HP session of SI targeted the all population od ANYv 2228 / 5 Hand Washing station have been installed in the pubblic space in ANYvillage"/>
    <m/>
    <m/>
    <n v="0"/>
    <m/>
    <n v="0"/>
    <n v="0"/>
    <n v="0"/>
    <n v="1"/>
    <n v="2228"/>
    <n v="1"/>
    <n v="2228"/>
    <n v="8.9120000000000008"/>
    <n v="0"/>
    <n v="0"/>
    <n v="8.799999999999919E-2"/>
    <n v="9"/>
    <n v="0"/>
    <n v="0"/>
    <n v="0"/>
    <n v="371"/>
    <n v="371"/>
    <n v="1"/>
    <n v="2050"/>
    <n v="0"/>
    <n v="2228"/>
    <n v="1"/>
    <n v="0"/>
    <n v="0.92010771992818674"/>
    <n v="2228"/>
    <n v="1019"/>
    <n v="2228"/>
    <x v="0"/>
    <s v="Village"/>
    <x v="0"/>
    <s v="Muslim"/>
    <n v="20.099340439999999"/>
    <n v="92.989143369999994"/>
    <n v="197558"/>
    <x v="0"/>
    <m/>
  </r>
  <r>
    <x v="1"/>
    <x v="1"/>
    <x v="1"/>
    <s v="BMZ"/>
    <x v="1"/>
    <x v="8"/>
    <x v="0"/>
    <x v="138"/>
    <n v="36"/>
    <n v="172"/>
    <d v="2018-09-16T00:00:00"/>
    <d v="2020-12-31T00:00:00"/>
    <n v="52"/>
    <m/>
    <m/>
    <m/>
    <n v="0"/>
    <m/>
    <n v="172"/>
    <n v="0"/>
    <m/>
    <n v="0"/>
    <x v="2"/>
    <n v="0"/>
    <n v="2"/>
    <m/>
    <m/>
    <m/>
    <m/>
    <m/>
    <m/>
    <m/>
    <m/>
    <m/>
    <m/>
    <m/>
    <m/>
    <m/>
    <m/>
    <m/>
    <m/>
    <m/>
    <m/>
    <m/>
    <m/>
    <n v="0"/>
    <n v="0"/>
    <n v="1"/>
    <n v="172"/>
    <n v="1"/>
    <n v="172"/>
    <n v="0.68799999999999994"/>
    <n v="0"/>
    <n v="0"/>
    <n v="0.31200000000000006"/>
    <n v="1"/>
    <n v="0"/>
    <n v="0"/>
    <n v="0"/>
    <n v="29"/>
    <n v="29"/>
    <n v="1"/>
    <n v="0"/>
    <n v="0"/>
    <n v="0"/>
    <n v="0"/>
    <n v="1"/>
    <n v="0"/>
    <n v="0"/>
    <n v="0"/>
    <n v="0"/>
    <x v="1"/>
    <s v="Village"/>
    <x v="0"/>
    <n v="0"/>
    <n v="20.005199432373001"/>
    <n v="92.948463439941406"/>
    <n v="197565"/>
    <x v="0"/>
    <m/>
  </r>
  <r>
    <x v="1"/>
    <x v="9"/>
    <x v="9"/>
    <s v="GIZ"/>
    <x v="1"/>
    <x v="13"/>
    <x v="0"/>
    <x v="144"/>
    <n v="128"/>
    <n v="583"/>
    <d v="2019-07-01T00:00:00"/>
    <d v="2020-07-31T00:00:00"/>
    <n v="90"/>
    <m/>
    <m/>
    <m/>
    <n v="4"/>
    <m/>
    <m/>
    <m/>
    <m/>
    <n v="6"/>
    <x v="3"/>
    <n v="3"/>
    <n v="3"/>
    <m/>
    <m/>
    <m/>
    <m/>
    <m/>
    <m/>
    <m/>
    <m/>
    <m/>
    <m/>
    <n v="11"/>
    <m/>
    <m/>
    <m/>
    <m/>
    <m/>
    <m/>
    <m/>
    <m/>
    <m/>
    <n v="0"/>
    <n v="0"/>
    <n v="1"/>
    <n v="583"/>
    <n v="1"/>
    <n v="583"/>
    <n v="2.3319999999999999"/>
    <n v="0"/>
    <n v="0"/>
    <n v="0"/>
    <n v="2"/>
    <n v="6.1749571183533448E-2"/>
    <n v="36"/>
    <n v="150"/>
    <n v="97"/>
    <n v="91"/>
    <n v="0.93825042881646659"/>
    <n v="0"/>
    <n v="66"/>
    <n v="0"/>
    <n v="0"/>
    <n v="1"/>
    <n v="0"/>
    <n v="0"/>
    <n v="0"/>
    <n v="0"/>
    <x v="1"/>
    <s v="Village"/>
    <x v="0"/>
    <s v="Rakhine"/>
    <n v="20.646560668945298"/>
    <n v="92.976043701171903"/>
    <n v="196937"/>
    <x v="0"/>
    <m/>
  </r>
  <r>
    <x v="1"/>
    <x v="9"/>
    <x v="9"/>
    <s v="GIZ"/>
    <x v="1"/>
    <x v="13"/>
    <x v="0"/>
    <x v="145"/>
    <n v="178"/>
    <n v="849"/>
    <d v="2019-07-01T00:00:00"/>
    <d v="2020-07-31T00:00:00"/>
    <n v="154"/>
    <m/>
    <m/>
    <m/>
    <m/>
    <m/>
    <n v="3"/>
    <m/>
    <m/>
    <n v="35"/>
    <x v="3"/>
    <n v="1"/>
    <n v="2"/>
    <m/>
    <m/>
    <m/>
    <m/>
    <m/>
    <m/>
    <m/>
    <m/>
    <m/>
    <m/>
    <n v="12"/>
    <m/>
    <m/>
    <m/>
    <m/>
    <m/>
    <m/>
    <m/>
    <m/>
    <m/>
    <n v="0"/>
    <n v="0"/>
    <n v="3.5335689045936395E-3"/>
    <n v="3"/>
    <n v="3.5335689045936395E-3"/>
    <n v="3"/>
    <n v="1.2E-2"/>
    <n v="0.99646643109540634"/>
    <n v="846"/>
    <n v="2.988"/>
    <n v="3"/>
    <n v="0.24734982332155478"/>
    <n v="210"/>
    <n v="50"/>
    <n v="142"/>
    <n v="107"/>
    <n v="0.75265017667844525"/>
    <n v="0"/>
    <n v="72"/>
    <n v="0"/>
    <n v="0"/>
    <n v="1"/>
    <n v="0"/>
    <n v="0"/>
    <n v="0"/>
    <n v="0"/>
    <x v="1"/>
    <s v="Village"/>
    <x v="0"/>
    <n v="0"/>
    <n v="92.998542785644503"/>
    <n v="20.6563606262207"/>
    <n v="196940"/>
    <x v="0"/>
    <m/>
  </r>
  <r>
    <x v="1"/>
    <x v="9"/>
    <x v="9"/>
    <s v="GIZ"/>
    <x v="1"/>
    <x v="13"/>
    <x v="0"/>
    <x v="146"/>
    <n v="176"/>
    <n v="880"/>
    <d v="2019-07-01T00:00:00"/>
    <d v="2020-07-31T00:00:00"/>
    <n v="105"/>
    <m/>
    <m/>
    <m/>
    <m/>
    <m/>
    <n v="3"/>
    <m/>
    <m/>
    <n v="50"/>
    <x v="3"/>
    <n v="1"/>
    <n v="2"/>
    <m/>
    <m/>
    <m/>
    <m/>
    <m/>
    <m/>
    <m/>
    <m/>
    <m/>
    <m/>
    <n v="12"/>
    <m/>
    <m/>
    <m/>
    <m/>
    <m/>
    <m/>
    <m/>
    <m/>
    <m/>
    <n v="0"/>
    <n v="0"/>
    <n v="3.4090909090909089E-3"/>
    <n v="3"/>
    <n v="3.4090909090909089E-3"/>
    <n v="3"/>
    <n v="1.2E-2"/>
    <n v="0.99659090909090908"/>
    <n v="877"/>
    <n v="3.988"/>
    <n v="4"/>
    <n v="0.34090909090909088"/>
    <n v="300"/>
    <n v="50"/>
    <n v="147"/>
    <n v="97"/>
    <n v="0.65909090909090917"/>
    <n v="0"/>
    <n v="72"/>
    <n v="0"/>
    <n v="0"/>
    <n v="1"/>
    <n v="0"/>
    <n v="0"/>
    <n v="0"/>
    <n v="0"/>
    <x v="1"/>
    <s v="Village"/>
    <x v="0"/>
    <n v="0"/>
    <n v="92.983703613281307"/>
    <n v="20.776130676269499"/>
    <n v="196962"/>
    <x v="0"/>
    <m/>
  </r>
  <r>
    <x v="1"/>
    <x v="9"/>
    <x v="9"/>
    <s v="GIZ"/>
    <x v="1"/>
    <x v="13"/>
    <x v="0"/>
    <x v="147"/>
    <n v="29"/>
    <n v="137"/>
    <d v="2019-07-01T00:00:00"/>
    <d v="2020-07-31T00:00:00"/>
    <n v="30"/>
    <m/>
    <m/>
    <m/>
    <n v="2"/>
    <m/>
    <n v="2"/>
    <m/>
    <m/>
    <n v="15"/>
    <x v="3"/>
    <m/>
    <m/>
    <m/>
    <m/>
    <m/>
    <m/>
    <m/>
    <m/>
    <m/>
    <m/>
    <m/>
    <m/>
    <n v="12"/>
    <m/>
    <m/>
    <m/>
    <m/>
    <m/>
    <m/>
    <m/>
    <m/>
    <m/>
    <n v="0"/>
    <n v="0"/>
    <n v="1"/>
    <n v="137"/>
    <n v="1"/>
    <n v="137"/>
    <n v="0.54800000000000004"/>
    <n v="0"/>
    <n v="0"/>
    <n v="0.45199999999999996"/>
    <n v="1"/>
    <n v="0.65693430656934304"/>
    <n v="90"/>
    <n v="0"/>
    <n v="23"/>
    <n v="8"/>
    <n v="0.34306569343065696"/>
    <n v="0"/>
    <n v="72"/>
    <n v="0"/>
    <n v="0"/>
    <n v="1"/>
    <n v="0"/>
    <n v="0"/>
    <n v="0"/>
    <n v="0"/>
    <x v="1"/>
    <s v="Village"/>
    <x v="0"/>
    <n v="0"/>
    <n v="92.929412841796903"/>
    <n v="20.642980575561499"/>
    <n v="196919"/>
    <x v="0"/>
    <m/>
  </r>
  <r>
    <x v="1"/>
    <x v="9"/>
    <x v="9"/>
    <s v="GIZ"/>
    <x v="1"/>
    <x v="13"/>
    <x v="0"/>
    <x v="148"/>
    <n v="361"/>
    <n v="1669"/>
    <d v="2019-07-01T00:00:00"/>
    <d v="2020-07-31T00:00:00"/>
    <n v="512"/>
    <m/>
    <m/>
    <m/>
    <n v="4"/>
    <m/>
    <n v="5"/>
    <n v="1"/>
    <m/>
    <n v="210"/>
    <x v="3"/>
    <n v="4"/>
    <n v="6"/>
    <m/>
    <n v="1"/>
    <m/>
    <m/>
    <m/>
    <m/>
    <m/>
    <m/>
    <m/>
    <m/>
    <n v="12"/>
    <m/>
    <m/>
    <m/>
    <m/>
    <m/>
    <m/>
    <m/>
    <m/>
    <m/>
    <n v="0.14979029358897544"/>
    <n v="250"/>
    <n v="1"/>
    <n v="1669"/>
    <n v="1"/>
    <n v="1669"/>
    <n v="6.6760000000000002"/>
    <n v="0"/>
    <n v="0"/>
    <n v="0.32399999999999984"/>
    <n v="7"/>
    <n v="0.75494307968843621"/>
    <n v="1260"/>
    <n v="200"/>
    <n v="278"/>
    <n v="68"/>
    <n v="0.24505692031156379"/>
    <n v="0"/>
    <n v="72"/>
    <n v="0"/>
    <n v="0"/>
    <n v="1"/>
    <n v="0"/>
    <n v="0"/>
    <n v="0"/>
    <n v="0"/>
    <x v="1"/>
    <s v="Village"/>
    <x v="0"/>
    <s v="Rakhine"/>
    <n v="20.705930710000001"/>
    <n v="93.001953130000004"/>
    <n v="196943"/>
    <x v="0"/>
    <m/>
  </r>
  <r>
    <x v="1"/>
    <x v="9"/>
    <x v="9"/>
    <s v="GIZ"/>
    <x v="1"/>
    <x v="13"/>
    <x v="0"/>
    <x v="149"/>
    <n v="86"/>
    <n v="404"/>
    <d v="2019-07-01T00:00:00"/>
    <d v="2020-07-31T00:00:00"/>
    <n v="55"/>
    <m/>
    <m/>
    <m/>
    <n v="3"/>
    <m/>
    <m/>
    <m/>
    <m/>
    <n v="35"/>
    <x v="3"/>
    <n v="2"/>
    <n v="4"/>
    <m/>
    <m/>
    <m/>
    <m/>
    <m/>
    <m/>
    <m/>
    <m/>
    <m/>
    <m/>
    <n v="9"/>
    <m/>
    <m/>
    <m/>
    <m/>
    <m/>
    <m/>
    <m/>
    <m/>
    <m/>
    <n v="0"/>
    <n v="0"/>
    <n v="1"/>
    <n v="404"/>
    <n v="1"/>
    <n v="404"/>
    <n v="1.6160000000000001"/>
    <n v="0"/>
    <n v="0"/>
    <n v="0.3839999999999999"/>
    <n v="2"/>
    <n v="0.51980198019801982"/>
    <n v="210"/>
    <n v="100"/>
    <n v="67"/>
    <n v="32"/>
    <n v="0.48019801980198018"/>
    <n v="0"/>
    <n v="54"/>
    <n v="0"/>
    <n v="0"/>
    <n v="1"/>
    <n v="0"/>
    <n v="0"/>
    <n v="0"/>
    <n v="0"/>
    <x v="1"/>
    <s v="Village"/>
    <x v="0"/>
    <n v="0"/>
    <n v="20.640909189999999"/>
    <n v="92.979751590000006"/>
    <n v="196938"/>
    <x v="0"/>
    <m/>
  </r>
  <r>
    <x v="1"/>
    <x v="9"/>
    <x v="9"/>
    <s v="GIZ"/>
    <x v="1"/>
    <x v="13"/>
    <x v="0"/>
    <x v="150"/>
    <n v="181"/>
    <n v="833"/>
    <d v="2019-07-01T00:00:00"/>
    <d v="2020-07-31T00:00:00"/>
    <n v="195"/>
    <m/>
    <m/>
    <m/>
    <m/>
    <m/>
    <n v="4"/>
    <m/>
    <m/>
    <n v="75"/>
    <x v="3"/>
    <n v="1"/>
    <n v="4"/>
    <m/>
    <m/>
    <m/>
    <m/>
    <m/>
    <m/>
    <m/>
    <m/>
    <m/>
    <m/>
    <n v="11"/>
    <m/>
    <m/>
    <m/>
    <m/>
    <m/>
    <m/>
    <m/>
    <m/>
    <m/>
    <n v="0"/>
    <n v="0"/>
    <n v="4.8019207683073226E-3"/>
    <n v="3.9999999999999996"/>
    <n v="4.8019207683073226E-3"/>
    <n v="3.9999999999999996"/>
    <n v="1.5999999999999997E-2"/>
    <n v="0.99519807923169268"/>
    <n v="829"/>
    <n v="2.984"/>
    <n v="3"/>
    <n v="0.54021608643457386"/>
    <n v="450"/>
    <n v="50"/>
    <n v="139"/>
    <n v="64"/>
    <n v="0.45978391356542614"/>
    <n v="0"/>
    <n v="66"/>
    <n v="0"/>
    <n v="0"/>
    <n v="1"/>
    <n v="0"/>
    <n v="0"/>
    <n v="0"/>
    <n v="0"/>
    <x v="1"/>
    <s v="Village"/>
    <x v="0"/>
    <n v="0"/>
    <n v="92.934356689453097"/>
    <n v="20.657760620117202"/>
    <n v="196925"/>
    <x v="0"/>
    <m/>
  </r>
  <r>
    <x v="1"/>
    <x v="9"/>
    <x v="9"/>
    <s v="GIZ"/>
    <x v="1"/>
    <x v="13"/>
    <x v="0"/>
    <x v="159"/>
    <n v="26"/>
    <n v="98"/>
    <d v="2019-07-01T00:00:00"/>
    <d v="2020-07-31T00:00:00"/>
    <n v="30"/>
    <m/>
    <m/>
    <m/>
    <m/>
    <m/>
    <m/>
    <m/>
    <m/>
    <m/>
    <x v="3"/>
    <m/>
    <m/>
    <m/>
    <m/>
    <m/>
    <m/>
    <m/>
    <m/>
    <m/>
    <m/>
    <m/>
    <m/>
    <m/>
    <m/>
    <m/>
    <m/>
    <m/>
    <m/>
    <m/>
    <m/>
    <m/>
    <m/>
    <n v="0"/>
    <n v="0"/>
    <n v="0"/>
    <n v="0"/>
    <n v="0"/>
    <n v="0"/>
    <n v="0"/>
    <n v="1"/>
    <n v="98"/>
    <n v="1"/>
    <n v="1"/>
    <n v="0"/>
    <n v="0"/>
    <n v="0"/>
    <n v="16"/>
    <n v="16"/>
    <n v="1"/>
    <n v="0"/>
    <n v="0"/>
    <n v="0"/>
    <n v="0"/>
    <n v="1"/>
    <n v="0"/>
    <n v="0"/>
    <n v="0"/>
    <n v="0"/>
    <x v="1"/>
    <s v="Village"/>
    <x v="0"/>
    <n v="0"/>
    <n v="0"/>
    <n v="0"/>
    <n v="0"/>
    <x v="0"/>
    <m/>
  </r>
  <r>
    <x v="1"/>
    <x v="9"/>
    <x v="9"/>
    <s v="GIZ"/>
    <x v="1"/>
    <x v="13"/>
    <x v="0"/>
    <x v="153"/>
    <n v="289"/>
    <n v="1331"/>
    <d v="2019-07-01T00:00:00"/>
    <d v="2020-07-31T00:00:00"/>
    <n v="100"/>
    <m/>
    <m/>
    <m/>
    <n v="1"/>
    <m/>
    <n v="4"/>
    <m/>
    <m/>
    <n v="51"/>
    <x v="3"/>
    <n v="2"/>
    <n v="10"/>
    <m/>
    <m/>
    <m/>
    <m/>
    <m/>
    <m/>
    <m/>
    <m/>
    <m/>
    <m/>
    <n v="10"/>
    <m/>
    <m/>
    <m/>
    <m/>
    <m/>
    <m/>
    <m/>
    <m/>
    <m/>
    <n v="0"/>
    <n v="0"/>
    <n v="1"/>
    <n v="1331"/>
    <n v="1"/>
    <n v="1331"/>
    <n v="5.3239999999999998"/>
    <n v="0"/>
    <n v="0"/>
    <n v="0"/>
    <n v="5"/>
    <n v="0.22990232907588279"/>
    <n v="306"/>
    <n v="100"/>
    <n v="222"/>
    <n v="171"/>
    <n v="0.77009767092411718"/>
    <n v="0"/>
    <n v="60"/>
    <n v="0"/>
    <n v="0"/>
    <n v="1"/>
    <n v="0"/>
    <n v="0"/>
    <n v="0"/>
    <n v="0"/>
    <x v="1"/>
    <s v="Village"/>
    <x v="0"/>
    <n v="0"/>
    <n v="92.981712341308594"/>
    <n v="20.772109985351602"/>
    <n v="196959"/>
    <x v="0"/>
    <m/>
  </r>
  <r>
    <x v="1"/>
    <x v="9"/>
    <x v="9"/>
    <s v="GIZ"/>
    <x v="1"/>
    <x v="13"/>
    <x v="0"/>
    <x v="152"/>
    <n v="76"/>
    <n v="365"/>
    <d v="2019-07-01T00:00:00"/>
    <d v="2020-07-31T00:00:00"/>
    <n v="400"/>
    <m/>
    <m/>
    <m/>
    <n v="1"/>
    <m/>
    <m/>
    <m/>
    <m/>
    <n v="4"/>
    <x v="3"/>
    <m/>
    <n v="2"/>
    <m/>
    <m/>
    <m/>
    <m/>
    <m/>
    <m/>
    <m/>
    <m/>
    <m/>
    <m/>
    <n v="12"/>
    <m/>
    <m/>
    <m/>
    <m/>
    <m/>
    <m/>
    <m/>
    <m/>
    <m/>
    <n v="0"/>
    <n v="0"/>
    <n v="1"/>
    <n v="365"/>
    <n v="1"/>
    <n v="365"/>
    <n v="1.46"/>
    <n v="0"/>
    <n v="0"/>
    <n v="0"/>
    <n v="1"/>
    <n v="6.575342465753424E-2"/>
    <n v="23.999999999999996"/>
    <n v="0"/>
    <n v="61"/>
    <n v="57"/>
    <n v="0.9342465753424658"/>
    <n v="0"/>
    <n v="72"/>
    <n v="0"/>
    <n v="0"/>
    <n v="1"/>
    <n v="0"/>
    <n v="0"/>
    <n v="0"/>
    <n v="0"/>
    <x v="1"/>
    <s v="Village"/>
    <x v="0"/>
    <n v="0"/>
    <n v="92.978729248046903"/>
    <n v="20.768480300903299"/>
    <n v="196960"/>
    <x v="0"/>
    <m/>
  </r>
  <r>
    <x v="1"/>
    <x v="9"/>
    <x v="9"/>
    <s v="DRA"/>
    <x v="1"/>
    <x v="13"/>
    <x v="0"/>
    <x v="157"/>
    <n v="62"/>
    <n v="142"/>
    <d v="2019-07-01T00:00:00"/>
    <d v="2020-06-30T00:00:00"/>
    <n v="30"/>
    <m/>
    <m/>
    <m/>
    <n v="1"/>
    <m/>
    <n v="2"/>
    <m/>
    <m/>
    <n v="5"/>
    <x v="3"/>
    <n v="2"/>
    <n v="1"/>
    <m/>
    <m/>
    <m/>
    <m/>
    <m/>
    <m/>
    <m/>
    <m/>
    <m/>
    <m/>
    <n v="23"/>
    <m/>
    <m/>
    <m/>
    <m/>
    <m/>
    <m/>
    <m/>
    <m/>
    <m/>
    <n v="0"/>
    <n v="0"/>
    <n v="1"/>
    <n v="142"/>
    <n v="1"/>
    <n v="142"/>
    <n v="0.56799999999999995"/>
    <n v="0"/>
    <n v="0"/>
    <n v="0.43200000000000005"/>
    <n v="1"/>
    <n v="0.21126760563380281"/>
    <n v="30"/>
    <n v="100"/>
    <n v="24"/>
    <n v="19"/>
    <n v="0.78873239436619724"/>
    <n v="0"/>
    <n v="138"/>
    <n v="0"/>
    <n v="0"/>
    <n v="1"/>
    <n v="0"/>
    <n v="0"/>
    <n v="0"/>
    <n v="0"/>
    <x v="1"/>
    <s v="Village"/>
    <x v="0"/>
    <n v="0"/>
    <n v="20.7489204406738"/>
    <n v="92.958816528320298"/>
    <n v="196894"/>
    <x v="0"/>
    <m/>
  </r>
  <r>
    <x v="1"/>
    <x v="9"/>
    <x v="9"/>
    <s v="DRA"/>
    <x v="1"/>
    <x v="13"/>
    <x v="0"/>
    <x v="156"/>
    <n v="140"/>
    <n v="740"/>
    <d v="2019-07-01T00:00:00"/>
    <d v="2020-06-30T00:00:00"/>
    <n v="103"/>
    <m/>
    <m/>
    <m/>
    <n v="1"/>
    <m/>
    <n v="3"/>
    <n v="1"/>
    <m/>
    <n v="30"/>
    <x v="3"/>
    <n v="4"/>
    <n v="1"/>
    <m/>
    <m/>
    <m/>
    <m/>
    <m/>
    <m/>
    <m/>
    <m/>
    <m/>
    <m/>
    <n v="25"/>
    <m/>
    <m/>
    <m/>
    <m/>
    <m/>
    <m/>
    <m/>
    <m/>
    <m/>
    <n v="0.33783783783783783"/>
    <n v="250"/>
    <n v="1"/>
    <n v="740"/>
    <n v="1"/>
    <n v="740"/>
    <n v="2.96"/>
    <n v="0"/>
    <n v="0"/>
    <n v="4.0000000000000036E-2"/>
    <n v="3"/>
    <n v="0.24324324324324326"/>
    <n v="180"/>
    <n v="200"/>
    <n v="123"/>
    <n v="93"/>
    <n v="0.7567567567567568"/>
    <n v="0"/>
    <n v="150"/>
    <n v="0"/>
    <n v="0"/>
    <n v="1"/>
    <n v="0"/>
    <n v="0"/>
    <n v="0"/>
    <n v="0"/>
    <x v="1"/>
    <s v="Village"/>
    <x v="0"/>
    <n v="0"/>
    <n v="0"/>
    <n v="0"/>
    <n v="0"/>
    <x v="0"/>
    <m/>
  </r>
  <r>
    <x v="1"/>
    <x v="9"/>
    <x v="9"/>
    <s v="GIZ"/>
    <x v="1"/>
    <x v="13"/>
    <x v="0"/>
    <x v="154"/>
    <n v="219"/>
    <n v="959"/>
    <d v="2019-07-01T00:00:00"/>
    <d v="2020-07-31T00:00:00"/>
    <n v="158"/>
    <m/>
    <m/>
    <m/>
    <n v="2"/>
    <m/>
    <n v="3"/>
    <m/>
    <m/>
    <n v="50"/>
    <x v="3"/>
    <n v="2"/>
    <n v="1"/>
    <m/>
    <m/>
    <m/>
    <m/>
    <m/>
    <m/>
    <m/>
    <m/>
    <m/>
    <m/>
    <n v="12"/>
    <m/>
    <m/>
    <m/>
    <m/>
    <m/>
    <m/>
    <m/>
    <m/>
    <m/>
    <n v="0"/>
    <n v="0"/>
    <n v="1"/>
    <n v="959"/>
    <n v="1"/>
    <n v="959"/>
    <n v="3.8359999999999999"/>
    <n v="0"/>
    <n v="0"/>
    <n v="0.16400000000000015"/>
    <n v="4"/>
    <n v="0.31282586027111575"/>
    <n v="300"/>
    <n v="100"/>
    <n v="160"/>
    <n v="110"/>
    <n v="0.68717413972888419"/>
    <n v="0"/>
    <n v="72"/>
    <n v="0"/>
    <n v="0"/>
    <n v="1"/>
    <n v="0"/>
    <n v="0"/>
    <n v="0"/>
    <n v="0"/>
    <x v="1"/>
    <s v="Village"/>
    <x v="0"/>
    <n v="0"/>
    <n v="92.985267639160199"/>
    <n v="20.7800903320313"/>
    <n v="196963"/>
    <x v="0"/>
    <m/>
  </r>
  <r>
    <x v="1"/>
    <x v="9"/>
    <x v="9"/>
    <s v="DRA"/>
    <x v="1"/>
    <x v="13"/>
    <x v="0"/>
    <x v="158"/>
    <n v="103"/>
    <n v="449"/>
    <d v="2019-07-01T00:00:00"/>
    <d v="2020-06-30T00:00:00"/>
    <n v="53"/>
    <m/>
    <m/>
    <n v="8"/>
    <n v="1"/>
    <m/>
    <n v="4"/>
    <m/>
    <m/>
    <n v="96"/>
    <x v="3"/>
    <n v="2"/>
    <n v="6"/>
    <m/>
    <m/>
    <m/>
    <m/>
    <m/>
    <m/>
    <m/>
    <m/>
    <m/>
    <m/>
    <n v="25"/>
    <m/>
    <m/>
    <m/>
    <m/>
    <m/>
    <m/>
    <m/>
    <m/>
    <m/>
    <n v="1"/>
    <n v="449"/>
    <n v="1"/>
    <n v="449"/>
    <n v="1"/>
    <n v="449"/>
    <n v="1.796"/>
    <n v="0"/>
    <n v="0"/>
    <n v="0.20399999999999996"/>
    <n v="2"/>
    <n v="1"/>
    <n v="449"/>
    <n v="100"/>
    <n v="75"/>
    <n v="0"/>
    <n v="0"/>
    <n v="0"/>
    <n v="150"/>
    <n v="0"/>
    <n v="0"/>
    <n v="1"/>
    <n v="0"/>
    <n v="0"/>
    <n v="0"/>
    <n v="0"/>
    <x v="1"/>
    <s v="Village"/>
    <x v="0"/>
    <s v="Mro"/>
    <n v="20.720500950000002"/>
    <n v="92.937339780000002"/>
    <n v="196950"/>
    <x v="0"/>
    <m/>
  </r>
  <r>
    <x v="1"/>
    <x v="9"/>
    <x v="9"/>
    <s v="DRA"/>
    <x v="1"/>
    <x v="13"/>
    <x v="0"/>
    <x v="155"/>
    <n v="158"/>
    <n v="456"/>
    <d v="2019-07-01T00:00:00"/>
    <d v="2020-06-30T00:00:00"/>
    <n v="101"/>
    <m/>
    <m/>
    <m/>
    <n v="3"/>
    <m/>
    <n v="1"/>
    <n v="1"/>
    <m/>
    <n v="250"/>
    <x v="3"/>
    <n v="1"/>
    <m/>
    <m/>
    <n v="1"/>
    <m/>
    <m/>
    <m/>
    <m/>
    <m/>
    <m/>
    <m/>
    <m/>
    <n v="25"/>
    <m/>
    <m/>
    <m/>
    <m/>
    <m/>
    <m/>
    <m/>
    <m/>
    <m/>
    <n v="0.54824561403508776"/>
    <n v="250.00000000000003"/>
    <n v="1"/>
    <n v="456"/>
    <n v="1"/>
    <n v="456"/>
    <n v="1.8240000000000001"/>
    <n v="0"/>
    <n v="0"/>
    <n v="0.17599999999999993"/>
    <n v="2"/>
    <n v="1"/>
    <n v="456"/>
    <n v="50"/>
    <n v="76"/>
    <n v="0"/>
    <n v="0"/>
    <n v="0"/>
    <n v="150"/>
    <n v="0"/>
    <n v="0"/>
    <n v="1"/>
    <n v="0"/>
    <n v="0"/>
    <n v="0"/>
    <n v="0"/>
    <x v="1"/>
    <s v="Village"/>
    <x v="0"/>
    <n v="0"/>
    <n v="0"/>
    <n v="0"/>
    <n v="196948"/>
    <x v="0"/>
    <m/>
  </r>
  <r>
    <x v="1"/>
    <x v="9"/>
    <x v="9"/>
    <s v="GIZ"/>
    <x v="1"/>
    <x v="13"/>
    <x v="0"/>
    <x v="151"/>
    <n v="34"/>
    <n v="198"/>
    <d v="2019-07-01T00:00:00"/>
    <d v="2020-07-31T00:00:00"/>
    <n v="205"/>
    <m/>
    <m/>
    <m/>
    <n v="2"/>
    <m/>
    <n v="2"/>
    <m/>
    <m/>
    <n v="4"/>
    <x v="3"/>
    <n v="1"/>
    <m/>
    <m/>
    <m/>
    <m/>
    <m/>
    <m/>
    <m/>
    <m/>
    <m/>
    <m/>
    <m/>
    <n v="12"/>
    <m/>
    <m/>
    <m/>
    <m/>
    <m/>
    <m/>
    <m/>
    <m/>
    <m/>
    <n v="0"/>
    <n v="0"/>
    <n v="1"/>
    <n v="198"/>
    <n v="1"/>
    <n v="198"/>
    <n v="0.79200000000000004"/>
    <n v="0"/>
    <n v="0"/>
    <n v="0.20799999999999996"/>
    <n v="1"/>
    <n v="0.12121212121212122"/>
    <n v="24"/>
    <n v="50"/>
    <n v="33"/>
    <n v="29"/>
    <n v="0.87878787878787878"/>
    <n v="0"/>
    <n v="72"/>
    <n v="0"/>
    <n v="0"/>
    <n v="1"/>
    <n v="0"/>
    <n v="0"/>
    <n v="0"/>
    <n v="0"/>
    <x v="1"/>
    <s v="Village"/>
    <x v="0"/>
    <n v="0"/>
    <n v="92.928596496582003"/>
    <n v="20.649574279785199"/>
    <n v="196920"/>
    <x v="0"/>
    <m/>
  </r>
  <r>
    <x v="1"/>
    <x v="9"/>
    <x v="9"/>
    <s v="GIZ"/>
    <x v="1"/>
    <x v="10"/>
    <x v="0"/>
    <x v="160"/>
    <n v="389"/>
    <n v="1790"/>
    <d v="2019-08-01T00:00:00"/>
    <d v="2020-07-31T00:00:00"/>
    <n v="350"/>
    <m/>
    <m/>
    <n v="230"/>
    <n v="0"/>
    <m/>
    <m/>
    <n v="0"/>
    <m/>
    <n v="80"/>
    <x v="2"/>
    <n v="0"/>
    <n v="20"/>
    <m/>
    <m/>
    <m/>
    <m/>
    <m/>
    <m/>
    <m/>
    <m/>
    <m/>
    <m/>
    <n v="45"/>
    <m/>
    <m/>
    <m/>
    <m/>
    <m/>
    <m/>
    <m/>
    <m/>
    <m/>
    <n v="1"/>
    <n v="1790"/>
    <n v="0"/>
    <n v="0"/>
    <n v="1"/>
    <n v="1790"/>
    <n v="7.16"/>
    <n v="0"/>
    <n v="0"/>
    <n v="0"/>
    <n v="7"/>
    <n v="0.26815642458100558"/>
    <n v="480"/>
    <n v="0"/>
    <n v="298"/>
    <n v="218"/>
    <n v="0.73184357541899447"/>
    <n v="0"/>
    <n v="270"/>
    <n v="0"/>
    <n v="0"/>
    <n v="1"/>
    <n v="0"/>
    <n v="0"/>
    <n v="0"/>
    <n v="0"/>
    <x v="1"/>
    <s v="Village"/>
    <x v="0"/>
    <s v="Muslim"/>
    <n v="20.235199999999999"/>
    <n v="92.805000000000007"/>
    <n v="196143"/>
    <x v="0"/>
    <m/>
  </r>
  <r>
    <x v="1"/>
    <x v="9"/>
    <x v="9"/>
    <s v="GIZ"/>
    <x v="1"/>
    <x v="10"/>
    <x v="0"/>
    <x v="161"/>
    <n v="410"/>
    <n v="2100"/>
    <d v="2019-08-01T00:00:00"/>
    <d v="2020-07-31T00:00:00"/>
    <n v="200"/>
    <m/>
    <n v="11"/>
    <n v="52"/>
    <m/>
    <m/>
    <m/>
    <n v="1"/>
    <m/>
    <n v="280"/>
    <x v="2"/>
    <n v="5"/>
    <n v="9"/>
    <m/>
    <m/>
    <m/>
    <m/>
    <m/>
    <m/>
    <m/>
    <m/>
    <m/>
    <m/>
    <n v="50"/>
    <m/>
    <m/>
    <m/>
    <m/>
    <m/>
    <m/>
    <m/>
    <m/>
    <m/>
    <n v="1"/>
    <n v="2100"/>
    <n v="0"/>
    <n v="0"/>
    <n v="1"/>
    <n v="2100"/>
    <n v="8.4"/>
    <n v="0"/>
    <n v="0"/>
    <n v="0"/>
    <n v="8"/>
    <n v="0.8"/>
    <n v="1680"/>
    <n v="250"/>
    <n v="350"/>
    <n v="70"/>
    <n v="0.19999999999999996"/>
    <n v="0"/>
    <n v="300"/>
    <n v="0"/>
    <n v="0"/>
    <n v="1"/>
    <n v="0"/>
    <n v="0"/>
    <n v="0"/>
    <n v="0"/>
    <x v="1"/>
    <s v="Village"/>
    <x v="0"/>
    <n v="0"/>
    <n v="20.2351894378662"/>
    <n v="92.790191650390597"/>
    <n v="196138"/>
    <x v="0"/>
    <m/>
  </r>
  <r>
    <x v="1"/>
    <x v="9"/>
    <x v="9"/>
    <s v="GIZ"/>
    <x v="1"/>
    <x v="10"/>
    <x v="0"/>
    <x v="162"/>
    <n v="187"/>
    <n v="913"/>
    <d v="2019-08-01T00:00:00"/>
    <d v="2020-07-31T00:00:00"/>
    <n v="110"/>
    <m/>
    <n v="7"/>
    <n v="10"/>
    <n v="0"/>
    <m/>
    <m/>
    <m/>
    <m/>
    <n v="12"/>
    <x v="2"/>
    <n v="0"/>
    <n v="14"/>
    <m/>
    <m/>
    <m/>
    <m/>
    <m/>
    <m/>
    <m/>
    <m/>
    <m/>
    <m/>
    <n v="50"/>
    <m/>
    <m/>
    <m/>
    <m/>
    <m/>
    <m/>
    <m/>
    <m/>
    <m/>
    <n v="1"/>
    <n v="913"/>
    <n v="0"/>
    <n v="0"/>
    <n v="1"/>
    <n v="913"/>
    <n v="3.6520000000000001"/>
    <n v="0"/>
    <n v="0"/>
    <n v="0.34799999999999986"/>
    <n v="4"/>
    <n v="7.8860898138006577E-2"/>
    <n v="72"/>
    <n v="0"/>
    <n v="152"/>
    <n v="140"/>
    <n v="0.92113910186199344"/>
    <n v="0"/>
    <n v="300"/>
    <n v="0"/>
    <n v="0"/>
    <n v="1"/>
    <n v="0"/>
    <n v="0"/>
    <n v="0"/>
    <n v="0"/>
    <x v="1"/>
    <s v="Village"/>
    <x v="0"/>
    <n v="0"/>
    <n v="0"/>
    <n v="0"/>
    <n v="0"/>
    <x v="0"/>
    <m/>
  </r>
  <r>
    <x v="1"/>
    <x v="9"/>
    <x v="9"/>
    <s v="GIZ"/>
    <x v="1"/>
    <x v="10"/>
    <x v="0"/>
    <x v="163"/>
    <n v="164"/>
    <n v="1172"/>
    <d v="2019-08-01T00:00:00"/>
    <d v="2020-07-31T00:00:00"/>
    <n v="50"/>
    <m/>
    <n v="2"/>
    <n v="70"/>
    <n v="0"/>
    <m/>
    <n v="0"/>
    <n v="0"/>
    <m/>
    <n v="20"/>
    <x v="2"/>
    <m/>
    <n v="10"/>
    <m/>
    <m/>
    <m/>
    <m/>
    <m/>
    <m/>
    <m/>
    <m/>
    <m/>
    <m/>
    <n v="50"/>
    <m/>
    <m/>
    <m/>
    <m/>
    <m/>
    <m/>
    <m/>
    <m/>
    <m/>
    <n v="1"/>
    <n v="1172"/>
    <n v="0"/>
    <n v="0"/>
    <n v="1"/>
    <n v="1172"/>
    <n v="4.6879999999999997"/>
    <n v="0"/>
    <n v="0"/>
    <n v="0.31200000000000028"/>
    <n v="5"/>
    <n v="0.10238907849829351"/>
    <n v="120"/>
    <n v="0"/>
    <n v="195"/>
    <n v="175"/>
    <n v="0.89761092150170652"/>
    <n v="0"/>
    <n v="300"/>
    <n v="0"/>
    <n v="0"/>
    <n v="1"/>
    <n v="0"/>
    <n v="0"/>
    <n v="0"/>
    <n v="0"/>
    <x v="1"/>
    <s v="Village"/>
    <x v="0"/>
    <n v="0"/>
    <n v="0"/>
    <n v="0"/>
    <n v="0"/>
    <x v="0"/>
    <m/>
  </r>
  <r>
    <x v="1"/>
    <x v="9"/>
    <x v="9"/>
    <s v="GIZ"/>
    <x v="1"/>
    <x v="10"/>
    <x v="0"/>
    <x v="164"/>
    <n v="126"/>
    <n v="636"/>
    <d v="2019-08-01T00:00:00"/>
    <d v="2020-07-31T00:00:00"/>
    <n v="136"/>
    <m/>
    <m/>
    <n v="23"/>
    <n v="0"/>
    <m/>
    <m/>
    <m/>
    <m/>
    <n v="57"/>
    <x v="2"/>
    <n v="0"/>
    <n v="15"/>
    <m/>
    <m/>
    <m/>
    <m/>
    <m/>
    <m/>
    <m/>
    <m/>
    <m/>
    <m/>
    <n v="48"/>
    <m/>
    <m/>
    <m/>
    <m/>
    <m/>
    <m/>
    <m/>
    <m/>
    <m/>
    <n v="1"/>
    <n v="636"/>
    <n v="0"/>
    <n v="0"/>
    <n v="1"/>
    <n v="636"/>
    <n v="2.544"/>
    <n v="0"/>
    <n v="0"/>
    <n v="0.45599999999999996"/>
    <n v="3"/>
    <n v="0.53773584905660377"/>
    <n v="342"/>
    <n v="0"/>
    <n v="106"/>
    <n v="49"/>
    <n v="0.46226415094339623"/>
    <n v="0"/>
    <n v="288"/>
    <n v="0"/>
    <n v="0"/>
    <n v="1"/>
    <n v="0"/>
    <n v="0"/>
    <n v="0"/>
    <n v="0"/>
    <x v="1"/>
    <s v="Village"/>
    <x v="0"/>
    <n v="0"/>
    <n v="0"/>
    <n v="0"/>
    <n v="0"/>
    <x v="0"/>
    <m/>
  </r>
  <r>
    <x v="1"/>
    <x v="9"/>
    <x v="9"/>
    <s v="GIZ"/>
    <x v="1"/>
    <x v="10"/>
    <x v="0"/>
    <x v="165"/>
    <n v="240"/>
    <n v="1150"/>
    <d v="2019-08-01T00:00:00"/>
    <d v="2020-07-31T00:00:00"/>
    <n v="320"/>
    <m/>
    <n v="10"/>
    <n v="40"/>
    <n v="0"/>
    <m/>
    <n v="0"/>
    <n v="0"/>
    <m/>
    <n v="100"/>
    <x v="2"/>
    <n v="6"/>
    <n v="15"/>
    <m/>
    <m/>
    <m/>
    <m/>
    <m/>
    <m/>
    <m/>
    <m/>
    <m/>
    <m/>
    <n v="46"/>
    <m/>
    <m/>
    <m/>
    <m/>
    <m/>
    <m/>
    <m/>
    <m/>
    <m/>
    <n v="1"/>
    <n v="1150"/>
    <n v="0"/>
    <n v="0"/>
    <n v="1"/>
    <n v="1150"/>
    <n v="4.5999999999999996"/>
    <n v="0"/>
    <n v="0"/>
    <n v="0.40000000000000036"/>
    <n v="5"/>
    <n v="0.52173913043478259"/>
    <n v="600"/>
    <n v="300"/>
    <n v="192"/>
    <n v="92"/>
    <n v="0.47826086956521741"/>
    <n v="0"/>
    <n v="276"/>
    <n v="0"/>
    <n v="0"/>
    <n v="1"/>
    <n v="0"/>
    <n v="0"/>
    <n v="0"/>
    <n v="0"/>
    <x v="1"/>
    <s v="Village"/>
    <x v="0"/>
    <s v="Muslim"/>
    <n v="20.212700000000002"/>
    <n v="92.820800000000006"/>
    <n v="196144"/>
    <x v="0"/>
    <m/>
  </r>
  <r>
    <x v="1"/>
    <x v="9"/>
    <x v="9"/>
    <s v="GIZ"/>
    <x v="1"/>
    <x v="10"/>
    <x v="0"/>
    <x v="166"/>
    <n v="430"/>
    <n v="1530"/>
    <d v="2019-08-01T00:00:00"/>
    <d v="2020-07-31T00:00:00"/>
    <n v="480"/>
    <m/>
    <n v="30"/>
    <n v="124"/>
    <n v="0"/>
    <m/>
    <m/>
    <n v="1"/>
    <m/>
    <n v="130"/>
    <x v="2"/>
    <n v="6"/>
    <n v="2"/>
    <m/>
    <m/>
    <m/>
    <m/>
    <m/>
    <m/>
    <m/>
    <m/>
    <m/>
    <m/>
    <n v="42"/>
    <m/>
    <m/>
    <m/>
    <m/>
    <m/>
    <m/>
    <m/>
    <m/>
    <m/>
    <n v="1"/>
    <n v="1530"/>
    <n v="0"/>
    <n v="0"/>
    <n v="1"/>
    <n v="1530"/>
    <n v="6.12"/>
    <n v="0"/>
    <n v="0"/>
    <n v="0"/>
    <n v="6"/>
    <n v="0.50980392156862742"/>
    <n v="780"/>
    <n v="300"/>
    <n v="255"/>
    <n v="125"/>
    <n v="0.49019607843137258"/>
    <n v="0"/>
    <n v="252"/>
    <n v="0"/>
    <n v="0"/>
    <n v="1"/>
    <n v="0"/>
    <n v="0"/>
    <n v="0"/>
    <n v="0"/>
    <x v="1"/>
    <s v="Village"/>
    <x v="0"/>
    <s v="Muslim"/>
    <n v="20.219509120000001"/>
    <n v="92.811332699999994"/>
    <n v="196145"/>
    <x v="0"/>
    <m/>
  </r>
  <r>
    <x v="1"/>
    <x v="9"/>
    <x v="9"/>
    <s v="GIZ"/>
    <x v="1"/>
    <x v="10"/>
    <x v="0"/>
    <x v="167"/>
    <n v="150"/>
    <n v="590"/>
    <d v="2019-08-01T00:00:00"/>
    <d v="2020-07-31T00:00:00"/>
    <n v="112"/>
    <m/>
    <n v="4"/>
    <n v="28"/>
    <n v="0"/>
    <m/>
    <n v="0"/>
    <n v="1"/>
    <m/>
    <n v="83"/>
    <x v="2"/>
    <n v="2"/>
    <n v="0"/>
    <m/>
    <m/>
    <m/>
    <m/>
    <m/>
    <m/>
    <m/>
    <m/>
    <m/>
    <m/>
    <n v="43"/>
    <m/>
    <m/>
    <m/>
    <m/>
    <m/>
    <m/>
    <m/>
    <m/>
    <m/>
    <n v="1"/>
    <n v="590"/>
    <n v="0"/>
    <n v="0"/>
    <n v="1"/>
    <n v="590"/>
    <n v="2.36"/>
    <n v="0"/>
    <n v="0"/>
    <n v="0"/>
    <n v="2"/>
    <n v="0.84406779661016951"/>
    <n v="498"/>
    <n v="100"/>
    <n v="98"/>
    <n v="15"/>
    <n v="0.15593220338983049"/>
    <n v="0"/>
    <n v="258"/>
    <n v="0"/>
    <n v="0"/>
    <n v="1"/>
    <n v="0"/>
    <n v="0"/>
    <n v="0"/>
    <n v="0"/>
    <x v="1"/>
    <s v="Village"/>
    <x v="0"/>
    <s v="Rakhine"/>
    <n v="20.2199096679688"/>
    <n v="92.7716064453125"/>
    <n v="196141"/>
    <x v="0"/>
    <m/>
  </r>
  <r>
    <x v="1"/>
    <x v="9"/>
    <x v="9"/>
    <s v="GIZ"/>
    <x v="1"/>
    <x v="10"/>
    <x v="0"/>
    <x v="168"/>
    <n v="289"/>
    <n v="3400"/>
    <d v="2019-08-01T00:00:00"/>
    <d v="2020-07-31T00:00:00"/>
    <n v="287"/>
    <m/>
    <n v="0"/>
    <n v="200"/>
    <n v="0"/>
    <m/>
    <n v="0"/>
    <n v="0"/>
    <m/>
    <n v="50"/>
    <x v="2"/>
    <n v="3"/>
    <n v="6"/>
    <m/>
    <m/>
    <m/>
    <m/>
    <m/>
    <m/>
    <m/>
    <m/>
    <m/>
    <m/>
    <n v="44"/>
    <m/>
    <m/>
    <m/>
    <m/>
    <m/>
    <m/>
    <m/>
    <m/>
    <m/>
    <n v="1"/>
    <n v="3400"/>
    <n v="0"/>
    <n v="0"/>
    <n v="1"/>
    <n v="3400"/>
    <n v="13.6"/>
    <n v="0"/>
    <n v="0"/>
    <n v="0.40000000000000036"/>
    <n v="14"/>
    <n v="8.8235294117647065E-2"/>
    <n v="300"/>
    <n v="150"/>
    <n v="567"/>
    <n v="517"/>
    <n v="0.91176470588235292"/>
    <n v="0"/>
    <n v="264"/>
    <n v="0"/>
    <n v="0"/>
    <n v="1"/>
    <n v="0"/>
    <n v="0"/>
    <n v="0"/>
    <n v="0"/>
    <x v="1"/>
    <s v="Village"/>
    <x v="0"/>
    <s v="Muslim"/>
    <n v="20.208799362182599"/>
    <n v="92.794113159179702"/>
    <n v="196142"/>
    <x v="0"/>
    <m/>
  </r>
  <r>
    <x v="1"/>
    <x v="1"/>
    <x v="1"/>
    <s v="BMZ"/>
    <x v="1"/>
    <x v="8"/>
    <x v="0"/>
    <x v="169"/>
    <n v="106"/>
    <n v="469"/>
    <d v="2018-09-16T00:00:00"/>
    <d v="2020-12-31T00:00:00"/>
    <n v="189"/>
    <m/>
    <m/>
    <m/>
    <n v="0"/>
    <m/>
    <n v="469"/>
    <n v="1"/>
    <m/>
    <n v="30"/>
    <x v="1"/>
    <n v="14"/>
    <n v="9"/>
    <m/>
    <m/>
    <m/>
    <m/>
    <m/>
    <m/>
    <m/>
    <m/>
    <m/>
    <m/>
    <m/>
    <m/>
    <m/>
    <m/>
    <m/>
    <m/>
    <m/>
    <m/>
    <m/>
    <m/>
    <n v="0.53304904051172708"/>
    <n v="250"/>
    <n v="1"/>
    <n v="469"/>
    <n v="1"/>
    <n v="469"/>
    <n v="1.8759999999999999"/>
    <n v="0"/>
    <n v="0"/>
    <n v="0.12400000000000011"/>
    <n v="2"/>
    <n v="0.38379530916844351"/>
    <n v="180"/>
    <n v="700"/>
    <n v="78"/>
    <n v="48"/>
    <n v="0.61620469083155649"/>
    <n v="0"/>
    <n v="0"/>
    <n v="0"/>
    <n v="0"/>
    <n v="1"/>
    <n v="0"/>
    <n v="0"/>
    <n v="0"/>
    <n v="0"/>
    <x v="1"/>
    <s v="Village"/>
    <x v="0"/>
    <n v="0"/>
    <n v="92.994781494140597"/>
    <n v="19.9693508148193"/>
    <n v="197541"/>
    <x v="0"/>
    <m/>
  </r>
  <r>
    <x v="1"/>
    <x v="1"/>
    <x v="1"/>
    <s v="BMZ"/>
    <x v="1"/>
    <x v="8"/>
    <x v="0"/>
    <x v="170"/>
    <n v="37"/>
    <n v="207"/>
    <d v="2018-09-16T00:00:00"/>
    <d v="2020-12-31T00:00:00"/>
    <n v="33"/>
    <m/>
    <m/>
    <m/>
    <n v="1"/>
    <m/>
    <n v="207"/>
    <n v="0"/>
    <m/>
    <n v="0"/>
    <x v="1"/>
    <n v="2"/>
    <n v="3"/>
    <m/>
    <m/>
    <m/>
    <m/>
    <m/>
    <m/>
    <m/>
    <m/>
    <m/>
    <m/>
    <m/>
    <m/>
    <m/>
    <m/>
    <m/>
    <m/>
    <m/>
    <m/>
    <m/>
    <m/>
    <n v="0"/>
    <n v="0"/>
    <n v="1"/>
    <n v="207"/>
    <n v="1"/>
    <n v="207"/>
    <n v="0.82799999999999996"/>
    <n v="0"/>
    <n v="0"/>
    <n v="0.17200000000000004"/>
    <n v="1"/>
    <n v="0"/>
    <n v="0"/>
    <n v="100"/>
    <n v="35"/>
    <n v="35"/>
    <n v="1"/>
    <n v="0"/>
    <n v="0"/>
    <n v="0"/>
    <n v="0"/>
    <n v="1"/>
    <n v="0"/>
    <n v="0"/>
    <n v="0"/>
    <n v="0"/>
    <x v="1"/>
    <s v="Village"/>
    <x v="0"/>
    <n v="0"/>
    <n v="93.005447387695298"/>
    <n v="19.914190292358398"/>
    <n v="197567"/>
    <x v="0"/>
    <m/>
  </r>
  <r>
    <x v="1"/>
    <x v="1"/>
    <x v="1"/>
    <s v="BMZ"/>
    <x v="1"/>
    <x v="8"/>
    <x v="0"/>
    <x v="171"/>
    <n v="486"/>
    <n v="2042"/>
    <d v="2018-09-16T00:00:00"/>
    <d v="2020-12-31T00:00:00"/>
    <n v="531"/>
    <m/>
    <m/>
    <m/>
    <n v="5"/>
    <m/>
    <n v="2042"/>
    <n v="1"/>
    <m/>
    <n v="30"/>
    <x v="1"/>
    <n v="10"/>
    <n v="21"/>
    <m/>
    <m/>
    <m/>
    <m/>
    <m/>
    <m/>
    <m/>
    <m/>
    <m/>
    <m/>
    <m/>
    <m/>
    <m/>
    <m/>
    <m/>
    <m/>
    <m/>
    <m/>
    <m/>
    <m/>
    <n v="0.12242899118511263"/>
    <n v="250"/>
    <n v="1"/>
    <n v="2042"/>
    <n v="1"/>
    <n v="2042"/>
    <n v="8.1679999999999993"/>
    <n v="0"/>
    <n v="0"/>
    <n v="0"/>
    <n v="8"/>
    <n v="8.8148873653281098E-2"/>
    <n v="180"/>
    <n v="500"/>
    <n v="340"/>
    <n v="310"/>
    <n v="0.91185112634671894"/>
    <n v="0"/>
    <n v="0"/>
    <n v="0"/>
    <n v="0"/>
    <n v="1"/>
    <n v="0"/>
    <n v="0"/>
    <n v="0"/>
    <n v="0"/>
    <x v="1"/>
    <s v="Village"/>
    <x v="0"/>
    <s v="Muslim"/>
    <n v="20.663370130000001"/>
    <n v="92.613876340000004"/>
    <n v="198449"/>
    <x v="0"/>
    <m/>
  </r>
  <r>
    <x v="1"/>
    <x v="1"/>
    <x v="1"/>
    <s v="BMZ"/>
    <x v="1"/>
    <x v="8"/>
    <x v="0"/>
    <x v="172"/>
    <n v="340"/>
    <n v="1408"/>
    <d v="2018-09-16T00:00:00"/>
    <d v="2020-12-31T00:00:00"/>
    <n v="223"/>
    <m/>
    <m/>
    <m/>
    <n v="0"/>
    <m/>
    <n v="1408"/>
    <n v="0"/>
    <m/>
    <n v="30"/>
    <x v="2"/>
    <n v="1"/>
    <n v="8"/>
    <m/>
    <m/>
    <m/>
    <m/>
    <m/>
    <m/>
    <m/>
    <m/>
    <m/>
    <m/>
    <m/>
    <m/>
    <m/>
    <m/>
    <m/>
    <m/>
    <m/>
    <m/>
    <m/>
    <m/>
    <n v="0"/>
    <n v="0"/>
    <n v="1"/>
    <n v="1408"/>
    <n v="1"/>
    <n v="1408"/>
    <n v="5.6319999999999997"/>
    <n v="0"/>
    <n v="0"/>
    <n v="0.36800000000000033"/>
    <n v="6"/>
    <n v="0.12784090909090909"/>
    <n v="180"/>
    <n v="50"/>
    <n v="235"/>
    <n v="205"/>
    <n v="0.87215909090909094"/>
    <n v="0"/>
    <n v="0"/>
    <n v="0"/>
    <n v="0"/>
    <n v="1"/>
    <n v="0"/>
    <n v="0"/>
    <n v="0"/>
    <n v="0"/>
    <x v="1"/>
    <s v="Village"/>
    <x v="0"/>
    <n v="0"/>
    <n v="92.925521850585895"/>
    <n v="20.091190338134801"/>
    <n v="217989"/>
    <x v="0"/>
    <m/>
  </r>
  <r>
    <x v="1"/>
    <x v="1"/>
    <x v="1"/>
    <s v="BMZ"/>
    <x v="1"/>
    <x v="8"/>
    <x v="0"/>
    <x v="173"/>
    <n v="72"/>
    <n v="308"/>
    <d v="2018-09-16T00:00:00"/>
    <d v="2020-12-31T00:00:00"/>
    <n v="65"/>
    <m/>
    <m/>
    <m/>
    <n v="1"/>
    <m/>
    <n v="308"/>
    <n v="0"/>
    <m/>
    <n v="3"/>
    <x v="2"/>
    <n v="0"/>
    <n v="3"/>
    <m/>
    <m/>
    <m/>
    <m/>
    <m/>
    <m/>
    <m/>
    <m/>
    <m/>
    <m/>
    <m/>
    <m/>
    <m/>
    <m/>
    <m/>
    <m/>
    <m/>
    <m/>
    <m/>
    <m/>
    <n v="0"/>
    <n v="0"/>
    <n v="1"/>
    <n v="308"/>
    <n v="1"/>
    <n v="308"/>
    <n v="1.232"/>
    <n v="0"/>
    <n v="0"/>
    <n v="0"/>
    <n v="1"/>
    <n v="5.844155844155844E-2"/>
    <n v="18"/>
    <n v="0"/>
    <n v="51"/>
    <n v="48"/>
    <n v="0.94155844155844159"/>
    <n v="0"/>
    <n v="0"/>
    <n v="0"/>
    <n v="0"/>
    <n v="1"/>
    <n v="0"/>
    <n v="0"/>
    <n v="0"/>
    <n v="0"/>
    <x v="1"/>
    <s v="Village"/>
    <x v="0"/>
    <n v="0"/>
    <n v="20.06903076"/>
    <n v="92.930137630000004"/>
    <n v="197562"/>
    <x v="0"/>
    <m/>
  </r>
  <r>
    <x v="1"/>
    <x v="12"/>
    <x v="13"/>
    <s v="HQ"/>
    <x v="1"/>
    <x v="10"/>
    <x v="0"/>
    <x v="141"/>
    <n v="342"/>
    <n v="1980"/>
    <d v="2020-04-01T00:00:00"/>
    <d v="2020-08-30T00:00:00"/>
    <m/>
    <m/>
    <m/>
    <m/>
    <m/>
    <m/>
    <m/>
    <m/>
    <m/>
    <m/>
    <x v="3"/>
    <m/>
    <n v="18"/>
    <n v="18"/>
    <m/>
    <m/>
    <m/>
    <n v="426"/>
    <n v="371"/>
    <n v="548"/>
    <n v="535"/>
    <n v="548"/>
    <n v="535"/>
    <m/>
    <m/>
    <n v="1980"/>
    <m/>
    <m/>
    <n v="0.2"/>
    <n v="0.01"/>
    <m/>
    <m/>
    <m/>
    <n v="0"/>
    <n v="0"/>
    <n v="0"/>
    <n v="0"/>
    <n v="0"/>
    <n v="0"/>
    <n v="0"/>
    <n v="1"/>
    <n v="1980"/>
    <n v="8"/>
    <n v="8"/>
    <n v="9.0909090909090905E-3"/>
    <n v="18"/>
    <n v="0"/>
    <n v="330"/>
    <n v="330"/>
    <n v="0.99090909090909096"/>
    <n v="1980"/>
    <n v="0"/>
    <n v="1980"/>
    <n v="1"/>
    <n v="0"/>
    <n v="1"/>
    <n v="1980"/>
    <n v="0"/>
    <n v="1980"/>
    <x v="0"/>
    <s v="Village"/>
    <x v="0"/>
    <n v="0"/>
    <n v="20.183790210000002"/>
    <n v="92.864143369999994"/>
    <n v="196197"/>
    <x v="0"/>
    <m/>
  </r>
  <r>
    <x v="1"/>
    <x v="12"/>
    <x v="13"/>
    <s v="HARP-F"/>
    <x v="1"/>
    <x v="10"/>
    <x v="0"/>
    <x v="236"/>
    <n v="203"/>
    <n v="937"/>
    <d v="2020-05-01T00:00:00"/>
    <d v="2020-08-30T00:00:00"/>
    <m/>
    <m/>
    <m/>
    <m/>
    <m/>
    <m/>
    <m/>
    <m/>
    <m/>
    <m/>
    <x v="3"/>
    <m/>
    <n v="4"/>
    <n v="4"/>
    <m/>
    <m/>
    <m/>
    <n v="282"/>
    <n v="377"/>
    <n v="134"/>
    <n v="144"/>
    <n v="134"/>
    <n v="144"/>
    <m/>
    <m/>
    <n v="203"/>
    <m/>
    <m/>
    <m/>
    <m/>
    <m/>
    <m/>
    <m/>
    <n v="0"/>
    <n v="0"/>
    <n v="0"/>
    <n v="0"/>
    <n v="0"/>
    <n v="0"/>
    <n v="0"/>
    <n v="1"/>
    <n v="937"/>
    <n v="4"/>
    <n v="4"/>
    <n v="4.2689434364994666E-3"/>
    <n v="4"/>
    <n v="0"/>
    <n v="156"/>
    <n v="156"/>
    <n v="0.99573105656350058"/>
    <n v="937"/>
    <n v="0"/>
    <n v="937"/>
    <n v="1"/>
    <n v="0"/>
    <n v="1"/>
    <n v="937"/>
    <n v="0"/>
    <n v="937"/>
    <x v="0"/>
    <s v="Village"/>
    <x v="0"/>
    <n v="0"/>
    <n v="20.210090637206999"/>
    <n v="92.879753112792997"/>
    <n v="196146"/>
    <x v="0"/>
    <m/>
  </r>
  <r>
    <x v="1"/>
    <x v="12"/>
    <x v="13"/>
    <s v="HARP-F"/>
    <x v="1"/>
    <x v="10"/>
    <x v="0"/>
    <x v="237"/>
    <n v="91"/>
    <n v="358"/>
    <d v="2020-05-01T00:00:00"/>
    <d v="2020-08-30T00:00:00"/>
    <m/>
    <m/>
    <m/>
    <m/>
    <m/>
    <m/>
    <m/>
    <m/>
    <m/>
    <m/>
    <x v="3"/>
    <m/>
    <n v="0"/>
    <n v="0"/>
    <m/>
    <m/>
    <m/>
    <n v="93"/>
    <n v="98"/>
    <n v="101"/>
    <n v="66"/>
    <n v="101"/>
    <n v="66"/>
    <m/>
    <m/>
    <n v="91"/>
    <m/>
    <m/>
    <m/>
    <m/>
    <m/>
    <m/>
    <m/>
    <n v="0"/>
    <n v="0"/>
    <n v="0"/>
    <n v="0"/>
    <n v="0"/>
    <n v="0"/>
    <n v="0"/>
    <n v="1"/>
    <n v="358"/>
    <n v="1"/>
    <n v="1"/>
    <n v="0"/>
    <n v="0"/>
    <n v="0"/>
    <n v="60"/>
    <n v="60"/>
    <n v="1"/>
    <n v="358"/>
    <n v="0"/>
    <n v="358"/>
    <n v="1"/>
    <n v="0"/>
    <n v="1"/>
    <n v="358"/>
    <n v="0"/>
    <n v="358"/>
    <x v="0"/>
    <s v="Village"/>
    <x v="0"/>
    <n v="0"/>
    <n v="20.172649383544901"/>
    <n v="92.874351501464801"/>
    <n v="196195"/>
    <x v="0"/>
    <m/>
  </r>
  <r>
    <x v="1"/>
    <x v="12"/>
    <x v="13"/>
    <s v="HARP-F"/>
    <x v="1"/>
    <x v="10"/>
    <x v="0"/>
    <x v="238"/>
    <n v="100"/>
    <n v="514"/>
    <d v="2020-05-01T00:00:00"/>
    <d v="2020-08-30T00:00:00"/>
    <m/>
    <m/>
    <m/>
    <m/>
    <m/>
    <m/>
    <m/>
    <m/>
    <m/>
    <m/>
    <x v="3"/>
    <m/>
    <n v="1"/>
    <n v="1"/>
    <m/>
    <m/>
    <m/>
    <n v="168"/>
    <n v="112"/>
    <n v="161"/>
    <n v="133"/>
    <n v="161"/>
    <n v="133"/>
    <m/>
    <m/>
    <n v="100"/>
    <m/>
    <m/>
    <m/>
    <m/>
    <m/>
    <m/>
    <m/>
    <n v="0"/>
    <n v="0"/>
    <n v="0"/>
    <n v="0"/>
    <n v="0"/>
    <n v="0"/>
    <n v="0"/>
    <n v="1"/>
    <n v="514"/>
    <n v="2"/>
    <n v="2"/>
    <n v="1.9455252918287938E-3"/>
    <n v="1"/>
    <n v="0"/>
    <n v="86"/>
    <n v="86"/>
    <n v="0.99805447470817121"/>
    <n v="514"/>
    <n v="0"/>
    <n v="514"/>
    <n v="1"/>
    <n v="0"/>
    <n v="1"/>
    <n v="514"/>
    <n v="0"/>
    <n v="514"/>
    <x v="0"/>
    <s v="Village"/>
    <x v="0"/>
    <n v="0"/>
    <n v="20.172649383544901"/>
    <n v="92.874351501464801"/>
    <n v="196195"/>
    <x v="0"/>
    <m/>
  </r>
  <r>
    <x v="1"/>
    <x v="12"/>
    <x v="13"/>
    <s v="HQ"/>
    <x v="1"/>
    <x v="10"/>
    <x v="0"/>
    <x v="143"/>
    <n v="169"/>
    <n v="829"/>
    <d v="2020-04-01T00:00:00"/>
    <d v="2020-08-30T00:00:00"/>
    <m/>
    <m/>
    <m/>
    <m/>
    <m/>
    <m/>
    <m/>
    <m/>
    <m/>
    <m/>
    <x v="3"/>
    <m/>
    <n v="3"/>
    <n v="3"/>
    <m/>
    <m/>
    <m/>
    <n v="296"/>
    <n v="314"/>
    <n v="106"/>
    <n v="118"/>
    <n v="106"/>
    <n v="118"/>
    <m/>
    <m/>
    <n v="169"/>
    <m/>
    <m/>
    <n v="0.5"/>
    <n v="2.41E-2"/>
    <m/>
    <m/>
    <m/>
    <n v="0"/>
    <n v="0"/>
    <n v="0"/>
    <n v="0"/>
    <n v="0"/>
    <n v="0"/>
    <n v="0"/>
    <n v="1"/>
    <n v="829"/>
    <n v="3"/>
    <n v="3"/>
    <n v="3.6188178528347406E-3"/>
    <n v="3"/>
    <n v="0"/>
    <n v="138"/>
    <n v="138"/>
    <n v="0.99638118214716531"/>
    <n v="829"/>
    <n v="0"/>
    <n v="829"/>
    <n v="1"/>
    <n v="0"/>
    <n v="1"/>
    <n v="829"/>
    <n v="0"/>
    <n v="829"/>
    <x v="0"/>
    <s v="Village"/>
    <x v="0"/>
    <s v="Rakhine"/>
    <n v="20.245159149999999"/>
    <n v="92.807418819999995"/>
    <n v="196137"/>
    <x v="0"/>
    <m/>
  </r>
  <r>
    <x v="1"/>
    <x v="12"/>
    <x v="13"/>
    <s v="HARP-F"/>
    <x v="1"/>
    <x v="10"/>
    <x v="0"/>
    <x v="239"/>
    <n v="145"/>
    <n v="688"/>
    <d v="2020-05-01T00:00:00"/>
    <d v="2020-08-30T00:00:00"/>
    <m/>
    <m/>
    <m/>
    <m/>
    <m/>
    <m/>
    <m/>
    <m/>
    <m/>
    <m/>
    <x v="3"/>
    <m/>
    <n v="6"/>
    <n v="6"/>
    <m/>
    <m/>
    <m/>
    <n v="269"/>
    <n v="312"/>
    <n v="196"/>
    <n v="196"/>
    <n v="196"/>
    <n v="196"/>
    <m/>
    <m/>
    <n v="145"/>
    <m/>
    <m/>
    <m/>
    <m/>
    <m/>
    <m/>
    <m/>
    <n v="0"/>
    <n v="0"/>
    <n v="0"/>
    <n v="0"/>
    <n v="0"/>
    <n v="0"/>
    <n v="0"/>
    <n v="1"/>
    <n v="688"/>
    <n v="3"/>
    <n v="3"/>
    <n v="8.7209302325581394E-3"/>
    <n v="6"/>
    <n v="0"/>
    <n v="115"/>
    <n v="115"/>
    <n v="0.99127906976744184"/>
    <n v="688"/>
    <n v="0"/>
    <n v="688"/>
    <n v="1"/>
    <n v="0"/>
    <n v="1"/>
    <n v="688"/>
    <n v="0"/>
    <n v="688"/>
    <x v="0"/>
    <s v="Village"/>
    <x v="0"/>
    <n v="0"/>
    <n v="0"/>
    <n v="0"/>
    <n v="0"/>
    <x v="0"/>
    <m/>
  </r>
  <r>
    <x v="1"/>
    <x v="12"/>
    <x v="13"/>
    <s v="HQ"/>
    <x v="1"/>
    <x v="10"/>
    <x v="0"/>
    <x v="240"/>
    <n v="241"/>
    <n v="1162"/>
    <d v="2020-04-01T00:00:00"/>
    <d v="2020-08-30T00:00:00"/>
    <m/>
    <m/>
    <m/>
    <m/>
    <m/>
    <m/>
    <m/>
    <m/>
    <m/>
    <m/>
    <x v="3"/>
    <m/>
    <n v="25"/>
    <n v="25"/>
    <m/>
    <m/>
    <m/>
    <n v="412"/>
    <n v="427"/>
    <n v="175"/>
    <n v="153"/>
    <n v="175"/>
    <n v="153"/>
    <m/>
    <m/>
    <n v="241"/>
    <m/>
    <m/>
    <n v="0.2"/>
    <n v="3.3599999999999998E-2"/>
    <m/>
    <m/>
    <m/>
    <n v="0"/>
    <n v="0"/>
    <n v="0"/>
    <n v="0"/>
    <n v="0"/>
    <n v="0"/>
    <n v="0"/>
    <n v="1"/>
    <n v="1162"/>
    <n v="5"/>
    <n v="5"/>
    <n v="2.1514629948364887E-2"/>
    <n v="25"/>
    <n v="0"/>
    <n v="194"/>
    <n v="194"/>
    <n v="0.97848537005163516"/>
    <n v="1162"/>
    <n v="0"/>
    <n v="1162"/>
    <n v="1"/>
    <n v="0"/>
    <n v="1"/>
    <n v="1162"/>
    <n v="0"/>
    <n v="1162"/>
    <x v="0"/>
    <s v="Village"/>
    <x v="0"/>
    <n v="0"/>
    <n v="20.219699859619102"/>
    <n v="92.851379394531307"/>
    <n v="196153"/>
    <x v="0"/>
    <m/>
  </r>
  <r>
    <x v="1"/>
    <x v="12"/>
    <x v="13"/>
    <s v="HARP-F"/>
    <x v="1"/>
    <x v="10"/>
    <x v="0"/>
    <x v="241"/>
    <n v="117"/>
    <n v="487"/>
    <d v="2020-05-01T00:00:00"/>
    <d v="2020-08-30T00:00:00"/>
    <m/>
    <m/>
    <m/>
    <m/>
    <m/>
    <m/>
    <m/>
    <m/>
    <m/>
    <m/>
    <x v="3"/>
    <m/>
    <n v="6"/>
    <n v="6"/>
    <m/>
    <m/>
    <m/>
    <n v="147"/>
    <n v="137"/>
    <n v="105"/>
    <n v="98"/>
    <n v="105"/>
    <n v="98"/>
    <m/>
    <m/>
    <n v="117"/>
    <m/>
    <m/>
    <m/>
    <m/>
    <m/>
    <m/>
    <m/>
    <n v="0"/>
    <n v="0"/>
    <n v="0"/>
    <n v="0"/>
    <n v="0"/>
    <n v="0"/>
    <n v="0"/>
    <n v="1"/>
    <n v="487"/>
    <n v="2"/>
    <n v="2"/>
    <n v="1.2320328542094456E-2"/>
    <n v="6"/>
    <n v="0"/>
    <n v="81"/>
    <n v="81"/>
    <n v="0.98767967145790558"/>
    <n v="487"/>
    <n v="0"/>
    <n v="487"/>
    <n v="1"/>
    <n v="0"/>
    <n v="1"/>
    <n v="487"/>
    <n v="0"/>
    <n v="487"/>
    <x v="0"/>
    <s v="Village"/>
    <x v="0"/>
    <n v="0"/>
    <n v="20.261358000000001"/>
    <n v="92.805672999999999"/>
    <n v="220593"/>
    <x v="0"/>
    <m/>
  </r>
  <r>
    <x v="1"/>
    <x v="12"/>
    <x v="13"/>
    <s v="HARP-F"/>
    <x v="1"/>
    <x v="10"/>
    <x v="0"/>
    <x v="242"/>
    <n v="217"/>
    <n v="837"/>
    <d v="2020-05-01T00:00:00"/>
    <d v="2020-08-30T00:00:00"/>
    <m/>
    <m/>
    <m/>
    <m/>
    <m/>
    <m/>
    <m/>
    <m/>
    <m/>
    <m/>
    <x v="3"/>
    <m/>
    <n v="19"/>
    <n v="19"/>
    <m/>
    <m/>
    <m/>
    <n v="321"/>
    <n v="337"/>
    <n v="145"/>
    <n v="121"/>
    <n v="145"/>
    <n v="121"/>
    <m/>
    <m/>
    <n v="217"/>
    <m/>
    <m/>
    <m/>
    <m/>
    <m/>
    <m/>
    <m/>
    <n v="0"/>
    <n v="0"/>
    <n v="0"/>
    <n v="0"/>
    <n v="0"/>
    <n v="0"/>
    <n v="0"/>
    <n v="1"/>
    <n v="837"/>
    <n v="3"/>
    <n v="3"/>
    <n v="2.2700119474313024E-2"/>
    <n v="19"/>
    <n v="0"/>
    <n v="140"/>
    <n v="140"/>
    <n v="0.97729988052568695"/>
    <n v="837"/>
    <n v="0"/>
    <n v="837"/>
    <n v="1"/>
    <n v="0"/>
    <n v="1"/>
    <n v="837"/>
    <n v="0"/>
    <n v="837"/>
    <x v="0"/>
    <s v="Village"/>
    <x v="0"/>
    <n v="0"/>
    <n v="20.236940383911101"/>
    <n v="92.833259582519503"/>
    <n v="196130"/>
    <x v="0"/>
    <m/>
  </r>
  <r>
    <x v="1"/>
    <x v="12"/>
    <x v="13"/>
    <s v="HQ"/>
    <x v="1"/>
    <x v="10"/>
    <x v="0"/>
    <x v="243"/>
    <n v="119"/>
    <n v="546"/>
    <d v="2020-04-01T00:00:00"/>
    <d v="2020-08-30T00:00:00"/>
    <m/>
    <m/>
    <m/>
    <m/>
    <m/>
    <m/>
    <m/>
    <m/>
    <m/>
    <m/>
    <x v="3"/>
    <m/>
    <n v="45"/>
    <n v="45"/>
    <m/>
    <m/>
    <m/>
    <n v="121"/>
    <n v="146"/>
    <n v="135"/>
    <n v="133"/>
    <n v="135"/>
    <n v="133"/>
    <m/>
    <m/>
    <n v="119"/>
    <m/>
    <m/>
    <n v="0.5"/>
    <n v="0.1681"/>
    <m/>
    <m/>
    <m/>
    <n v="0"/>
    <n v="0"/>
    <n v="0"/>
    <n v="0"/>
    <n v="0"/>
    <n v="0"/>
    <n v="0"/>
    <n v="1"/>
    <n v="546"/>
    <n v="2"/>
    <n v="2"/>
    <n v="8.2417582417582416E-2"/>
    <n v="45"/>
    <n v="0"/>
    <n v="91"/>
    <n v="91"/>
    <n v="0.91758241758241754"/>
    <n v="546"/>
    <n v="0"/>
    <n v="546"/>
    <n v="1"/>
    <n v="0"/>
    <n v="1"/>
    <n v="546"/>
    <n v="0"/>
    <n v="546"/>
    <x v="0"/>
    <s v="Village"/>
    <x v="0"/>
    <s v="Muslim"/>
    <n v="20.239929199999999"/>
    <n v="92.827529909999996"/>
    <n v="196162"/>
    <x v="0"/>
    <m/>
  </r>
  <r>
    <x v="1"/>
    <x v="12"/>
    <x v="13"/>
    <s v="HARP-F"/>
    <x v="1"/>
    <x v="10"/>
    <x v="0"/>
    <x v="74"/>
    <n v="175"/>
    <n v="723"/>
    <d v="2020-05-01T00:00:00"/>
    <d v="2020-08-30T00:00:00"/>
    <m/>
    <m/>
    <m/>
    <m/>
    <m/>
    <m/>
    <m/>
    <m/>
    <m/>
    <m/>
    <x v="3"/>
    <m/>
    <n v="1"/>
    <n v="1"/>
    <m/>
    <m/>
    <m/>
    <n v="213"/>
    <n v="285"/>
    <n v="116"/>
    <n v="109"/>
    <n v="116"/>
    <n v="109"/>
    <m/>
    <m/>
    <n v="175"/>
    <m/>
    <m/>
    <m/>
    <m/>
    <m/>
    <m/>
    <m/>
    <n v="0"/>
    <n v="0"/>
    <n v="0"/>
    <n v="0"/>
    <n v="0"/>
    <n v="0"/>
    <n v="0"/>
    <n v="1"/>
    <n v="723"/>
    <n v="3"/>
    <n v="3"/>
    <n v="1.3831258644536654E-3"/>
    <n v="1"/>
    <n v="0"/>
    <n v="121"/>
    <n v="121"/>
    <n v="0.99861687413554634"/>
    <n v="723"/>
    <n v="0"/>
    <n v="723"/>
    <n v="1"/>
    <n v="0"/>
    <n v="1"/>
    <n v="723"/>
    <n v="0"/>
    <n v="723"/>
    <x v="0"/>
    <s v="Village"/>
    <x v="0"/>
    <s v="Rakhine"/>
    <n v="20.22929001"/>
    <n v="92.864669800000001"/>
    <n v="196167"/>
    <x v="0"/>
    <m/>
  </r>
  <r>
    <x v="1"/>
    <x v="12"/>
    <x v="13"/>
    <s v="HQ"/>
    <x v="1"/>
    <x v="10"/>
    <x v="0"/>
    <x v="244"/>
    <n v="545"/>
    <n v="3007"/>
    <d v="2020-04-01T00:00:00"/>
    <d v="2020-08-30T00:00:00"/>
    <m/>
    <m/>
    <m/>
    <m/>
    <m/>
    <m/>
    <m/>
    <m/>
    <m/>
    <m/>
    <x v="3"/>
    <m/>
    <n v="47"/>
    <n v="47"/>
    <m/>
    <m/>
    <m/>
    <n v="744"/>
    <n v="793"/>
    <n v="743"/>
    <n v="727"/>
    <n v="743"/>
    <n v="727"/>
    <m/>
    <m/>
    <n v="545"/>
    <m/>
    <m/>
    <n v="0.1"/>
    <n v="1.3599999999999999E-2"/>
    <m/>
    <m/>
    <m/>
    <n v="0"/>
    <n v="0"/>
    <n v="0"/>
    <n v="0"/>
    <n v="0"/>
    <n v="0"/>
    <n v="0"/>
    <n v="1"/>
    <n v="3007"/>
    <n v="12"/>
    <n v="12"/>
    <n v="1.5630196208846026E-2"/>
    <n v="47"/>
    <n v="0"/>
    <n v="501"/>
    <n v="501"/>
    <n v="0.98436980379115402"/>
    <n v="3007"/>
    <n v="0"/>
    <n v="3007"/>
    <n v="1"/>
    <n v="0"/>
    <n v="1"/>
    <n v="3007"/>
    <n v="0"/>
    <n v="3007"/>
    <x v="0"/>
    <s v="Village"/>
    <x v="0"/>
    <n v="0"/>
    <n v="0"/>
    <n v="0"/>
    <n v="0"/>
    <x v="0"/>
    <m/>
  </r>
  <r>
    <x v="1"/>
    <x v="12"/>
    <x v="13"/>
    <s v="HQ"/>
    <x v="1"/>
    <x v="10"/>
    <x v="0"/>
    <x v="245"/>
    <n v="241"/>
    <n v="667"/>
    <d v="2020-04-01T00:00:00"/>
    <d v="2020-08-30T00:00:00"/>
    <m/>
    <m/>
    <m/>
    <m/>
    <m/>
    <m/>
    <m/>
    <m/>
    <m/>
    <m/>
    <x v="3"/>
    <m/>
    <n v="7"/>
    <n v="7"/>
    <m/>
    <m/>
    <m/>
    <n v="188"/>
    <n v="304"/>
    <n v="117"/>
    <n v="81"/>
    <n v="117"/>
    <n v="81"/>
    <m/>
    <m/>
    <n v="169"/>
    <m/>
    <m/>
    <n v="0.3"/>
    <n v="3.39E-2"/>
    <m/>
    <m/>
    <m/>
    <n v="0"/>
    <n v="0"/>
    <n v="0"/>
    <n v="0"/>
    <n v="0"/>
    <n v="0"/>
    <n v="0"/>
    <n v="1"/>
    <n v="667"/>
    <n v="3"/>
    <n v="3"/>
    <n v="1.0494752623688156E-2"/>
    <n v="7"/>
    <n v="0"/>
    <n v="111"/>
    <n v="111"/>
    <n v="0.98950524737631185"/>
    <n v="667"/>
    <n v="0"/>
    <n v="667"/>
    <n v="1"/>
    <n v="0"/>
    <n v="1"/>
    <n v="667"/>
    <n v="0"/>
    <n v="667"/>
    <x v="0"/>
    <s v="Village"/>
    <x v="0"/>
    <n v="0"/>
    <n v="20.176319122314499"/>
    <n v="92.875183105468807"/>
    <n v="196196"/>
    <x v="0"/>
    <m/>
  </r>
  <r>
    <x v="1"/>
    <x v="12"/>
    <x v="13"/>
    <s v="HQ"/>
    <x v="1"/>
    <x v="10"/>
    <x v="0"/>
    <x v="246"/>
    <n v="118"/>
    <n v="432"/>
    <d v="2020-04-01T00:00:00"/>
    <d v="2020-08-30T00:00:00"/>
    <m/>
    <m/>
    <m/>
    <m/>
    <m/>
    <m/>
    <m/>
    <m/>
    <m/>
    <m/>
    <x v="3"/>
    <m/>
    <n v="7"/>
    <n v="7"/>
    <m/>
    <m/>
    <m/>
    <n v="144"/>
    <n v="157"/>
    <n v="60"/>
    <n v="61"/>
    <n v="60"/>
    <n v="61"/>
    <m/>
    <m/>
    <n v="118"/>
    <m/>
    <m/>
    <n v="0.5"/>
    <n v="6.1600000000000002E-2"/>
    <m/>
    <m/>
    <m/>
    <n v="0"/>
    <n v="0"/>
    <n v="0"/>
    <n v="0"/>
    <n v="0"/>
    <n v="0"/>
    <n v="0"/>
    <n v="1"/>
    <n v="432"/>
    <n v="2"/>
    <n v="2"/>
    <n v="1.6203703703703703E-2"/>
    <n v="7"/>
    <n v="0"/>
    <n v="72"/>
    <n v="72"/>
    <n v="0.98379629629629628"/>
    <n v="432"/>
    <n v="0"/>
    <n v="432"/>
    <n v="1"/>
    <n v="0"/>
    <n v="1"/>
    <n v="432"/>
    <n v="0"/>
    <n v="432"/>
    <x v="0"/>
    <s v="Village"/>
    <x v="0"/>
    <s v="Rakhine"/>
    <n v="21.153581620000001"/>
    <n v="92.250885010000005"/>
    <n v="220747"/>
    <x v="0"/>
    <m/>
  </r>
  <r>
    <x v="1"/>
    <x v="12"/>
    <x v="13"/>
    <s v="HQ"/>
    <x v="1"/>
    <x v="10"/>
    <x v="0"/>
    <x v="79"/>
    <n v="354"/>
    <n v="1546"/>
    <d v="2020-04-01T00:00:00"/>
    <d v="2020-08-30T00:00:00"/>
    <m/>
    <m/>
    <m/>
    <m/>
    <m/>
    <m/>
    <m/>
    <m/>
    <m/>
    <m/>
    <x v="3"/>
    <m/>
    <n v="15"/>
    <n v="15"/>
    <m/>
    <m/>
    <m/>
    <n v="557"/>
    <n v="501"/>
    <n v="225"/>
    <n v="248"/>
    <n v="225"/>
    <n v="248"/>
    <m/>
    <m/>
    <n v="354"/>
    <m/>
    <m/>
    <n v="0.2"/>
    <n v="1.03E-2"/>
    <m/>
    <m/>
    <m/>
    <n v="0"/>
    <n v="0"/>
    <n v="0"/>
    <n v="0"/>
    <n v="0"/>
    <n v="0"/>
    <n v="0"/>
    <n v="1"/>
    <n v="1546"/>
    <n v="6"/>
    <n v="6"/>
    <n v="9.7024579560155231E-3"/>
    <n v="14.999999999999998"/>
    <n v="0"/>
    <n v="258"/>
    <n v="258"/>
    <n v="0.99029754204398446"/>
    <n v="1546"/>
    <n v="0"/>
    <n v="1546"/>
    <n v="1"/>
    <n v="0"/>
    <n v="1"/>
    <n v="1546"/>
    <n v="0"/>
    <n v="1546"/>
    <x v="0"/>
    <s v="Village"/>
    <x v="0"/>
    <s v="Rakhine"/>
    <n v="20.226730346679702"/>
    <n v="92.836929321289105"/>
    <n v="196129"/>
    <x v="0"/>
    <m/>
  </r>
  <r>
    <x v="1"/>
    <x v="12"/>
    <x v="13"/>
    <s v="HARP-F"/>
    <x v="1"/>
    <x v="10"/>
    <x v="0"/>
    <x v="135"/>
    <n v="410"/>
    <n v="1421"/>
    <d v="2020-05-01T00:00:00"/>
    <d v="2020-08-30T00:00:00"/>
    <m/>
    <m/>
    <m/>
    <m/>
    <m/>
    <m/>
    <m/>
    <m/>
    <m/>
    <m/>
    <x v="3"/>
    <m/>
    <n v="30"/>
    <n v="30"/>
    <m/>
    <m/>
    <m/>
    <n v="401"/>
    <n v="465"/>
    <n v="265"/>
    <n v="290"/>
    <n v="265"/>
    <n v="290"/>
    <m/>
    <m/>
    <n v="410"/>
    <m/>
    <m/>
    <m/>
    <m/>
    <m/>
    <m/>
    <m/>
    <n v="0"/>
    <n v="0"/>
    <n v="0"/>
    <n v="0"/>
    <n v="0"/>
    <n v="0"/>
    <n v="0"/>
    <n v="1"/>
    <n v="1421"/>
    <n v="6"/>
    <n v="6"/>
    <n v="2.1111893033075299E-2"/>
    <n v="30"/>
    <n v="0"/>
    <n v="237"/>
    <n v="237"/>
    <n v="0.97888810696692474"/>
    <n v="1421"/>
    <n v="0"/>
    <n v="1421"/>
    <n v="1"/>
    <n v="0"/>
    <n v="1"/>
    <n v="1421"/>
    <n v="0"/>
    <n v="1421"/>
    <x v="0"/>
    <s v="Village"/>
    <x v="0"/>
    <n v="0"/>
    <n v="20.760820389999999"/>
    <n v="92.960083010000005"/>
    <n v="196893"/>
    <x v="0"/>
    <m/>
  </r>
  <r>
    <x v="1"/>
    <x v="12"/>
    <x v="13"/>
    <s v="HQ"/>
    <x v="1"/>
    <x v="10"/>
    <x v="0"/>
    <x v="80"/>
    <n v="310"/>
    <n v="1490"/>
    <d v="2020-04-01T00:00:00"/>
    <d v="2020-08-30T00:00:00"/>
    <m/>
    <m/>
    <m/>
    <m/>
    <m/>
    <m/>
    <m/>
    <m/>
    <m/>
    <m/>
    <x v="3"/>
    <m/>
    <n v="20"/>
    <n v="20"/>
    <m/>
    <m/>
    <m/>
    <n v="487"/>
    <n v="541"/>
    <n v="265"/>
    <n v="215"/>
    <n v="265"/>
    <n v="215"/>
    <m/>
    <m/>
    <n v="310"/>
    <m/>
    <m/>
    <n v="0.2"/>
    <n v="3.15E-2"/>
    <m/>
    <m/>
    <m/>
    <n v="0"/>
    <n v="0"/>
    <n v="0"/>
    <n v="0"/>
    <n v="0"/>
    <n v="0"/>
    <n v="0"/>
    <n v="1"/>
    <n v="1490"/>
    <n v="6"/>
    <n v="6"/>
    <n v="1.3422818791946308E-2"/>
    <n v="20"/>
    <n v="0"/>
    <n v="248"/>
    <n v="248"/>
    <n v="0.98657718120805371"/>
    <n v="1490"/>
    <n v="0"/>
    <n v="1490"/>
    <n v="1"/>
    <n v="0"/>
    <n v="1"/>
    <n v="1490"/>
    <n v="0"/>
    <n v="1490"/>
    <x v="0"/>
    <s v="Village"/>
    <x v="0"/>
    <s v="Rakhine"/>
    <n v="20.257850650000002"/>
    <n v="92.811126709999996"/>
    <n v="196161"/>
    <x v="0"/>
    <m/>
  </r>
  <r>
    <x v="1"/>
    <x v="13"/>
    <x v="0"/>
    <s v="BMZ"/>
    <x v="3"/>
    <x v="21"/>
    <x v="0"/>
    <x v="247"/>
    <n v="93"/>
    <n v="382"/>
    <d v="2018-07-19T00:00:00"/>
    <d v="2021-06-30T00:00:00"/>
    <n v="0"/>
    <n v="0"/>
    <n v="52"/>
    <n v="0"/>
    <n v="0"/>
    <n v="0"/>
    <n v="0"/>
    <n v="0"/>
    <m/>
    <n v="40"/>
    <x v="3"/>
    <n v="2"/>
    <n v="0"/>
    <n v="0"/>
    <n v="0"/>
    <n v="0"/>
    <m/>
    <n v="0"/>
    <n v="0"/>
    <n v="0"/>
    <n v="0"/>
    <n v="0"/>
    <n v="0"/>
    <n v="0"/>
    <n v="1"/>
    <n v="0"/>
    <n v="0"/>
    <m/>
    <n v="0"/>
    <n v="0"/>
    <n v="0"/>
    <n v="0"/>
    <n v="0"/>
    <n v="1"/>
    <n v="382"/>
    <n v="0"/>
    <n v="0"/>
    <n v="1"/>
    <n v="382"/>
    <n v="1.528"/>
    <n v="0"/>
    <n v="0"/>
    <n v="0.47199999999999998"/>
    <n v="2"/>
    <n v="0.62827225130890052"/>
    <n v="240"/>
    <n v="100"/>
    <n v="64"/>
    <n v="24"/>
    <n v="0.37172774869109948"/>
    <n v="0"/>
    <n v="0"/>
    <n v="0"/>
    <n v="0"/>
    <n v="1"/>
    <n v="0"/>
    <n v="0"/>
    <n v="0"/>
    <n v="0"/>
    <x v="0"/>
    <s v="Village"/>
    <x v="0"/>
    <n v="0"/>
    <n v="0"/>
    <n v="0"/>
    <n v="0"/>
    <x v="0"/>
    <m/>
  </r>
  <r>
    <x v="1"/>
    <x v="13"/>
    <x v="0"/>
    <s v="BMZ"/>
    <x v="3"/>
    <x v="21"/>
    <x v="0"/>
    <x v="248"/>
    <n v="63"/>
    <n v="265"/>
    <d v="2018-07-19T00:00:00"/>
    <d v="2021-06-30T00:00:00"/>
    <n v="0"/>
    <n v="0"/>
    <n v="28"/>
    <n v="0"/>
    <n v="0"/>
    <n v="0"/>
    <n v="0"/>
    <n v="0"/>
    <m/>
    <n v="30"/>
    <x v="3"/>
    <n v="0"/>
    <n v="0"/>
    <n v="0"/>
    <n v="0"/>
    <n v="0"/>
    <m/>
    <n v="0"/>
    <n v="0"/>
    <n v="0"/>
    <n v="0"/>
    <n v="0"/>
    <n v="0"/>
    <n v="0"/>
    <n v="0"/>
    <n v="0"/>
    <n v="0"/>
    <m/>
    <n v="0"/>
    <n v="0"/>
    <n v="0"/>
    <n v="0"/>
    <n v="0"/>
    <n v="1"/>
    <n v="265"/>
    <n v="0"/>
    <n v="0"/>
    <n v="1"/>
    <n v="265"/>
    <n v="1.06"/>
    <n v="0"/>
    <n v="0"/>
    <n v="0"/>
    <n v="1"/>
    <n v="0.67924528301886788"/>
    <n v="180"/>
    <n v="0"/>
    <n v="44"/>
    <n v="14"/>
    <n v="0.32075471698113212"/>
    <n v="0"/>
    <n v="0"/>
    <n v="0"/>
    <n v="0"/>
    <n v="1"/>
    <n v="0"/>
    <n v="0"/>
    <n v="0"/>
    <n v="0"/>
    <x v="0"/>
    <s v="Village"/>
    <x v="0"/>
    <n v="0"/>
    <n v="0"/>
    <n v="0"/>
    <n v="0"/>
    <x v="0"/>
    <m/>
  </r>
  <r>
    <x v="1"/>
    <x v="13"/>
    <x v="0"/>
    <s v="BMZ"/>
    <x v="3"/>
    <x v="21"/>
    <x v="0"/>
    <x v="249"/>
    <n v="68"/>
    <n v="282"/>
    <d v="2018-07-19T00:00:00"/>
    <d v="2021-06-30T00:00:00"/>
    <n v="0"/>
    <n v="0"/>
    <n v="32"/>
    <n v="0"/>
    <n v="0"/>
    <n v="0"/>
    <n v="0"/>
    <n v="1"/>
    <m/>
    <n v="45"/>
    <x v="3"/>
    <n v="1"/>
    <n v="0"/>
    <n v="0"/>
    <n v="0"/>
    <n v="0"/>
    <m/>
    <n v="0"/>
    <n v="0"/>
    <n v="0"/>
    <n v="0"/>
    <n v="0"/>
    <n v="0"/>
    <n v="0"/>
    <n v="0"/>
    <n v="0"/>
    <n v="0"/>
    <m/>
    <n v="0"/>
    <n v="0"/>
    <n v="0"/>
    <n v="0"/>
    <n v="0"/>
    <n v="1"/>
    <n v="282"/>
    <n v="0"/>
    <n v="0"/>
    <n v="1"/>
    <n v="282"/>
    <n v="1.1279999999999999"/>
    <n v="0"/>
    <n v="0"/>
    <n v="0"/>
    <n v="1"/>
    <n v="0.95744680851063835"/>
    <n v="270"/>
    <n v="50"/>
    <n v="47"/>
    <n v="2"/>
    <n v="4.2553191489361653E-2"/>
    <n v="0"/>
    <n v="0"/>
    <n v="0"/>
    <n v="0"/>
    <n v="1"/>
    <n v="0"/>
    <n v="0"/>
    <n v="0"/>
    <n v="0"/>
    <x v="0"/>
    <s v="Village"/>
    <x v="0"/>
    <n v="0"/>
    <n v="0"/>
    <n v="0"/>
    <n v="0"/>
    <x v="0"/>
    <m/>
  </r>
  <r>
    <x v="1"/>
    <x v="13"/>
    <x v="0"/>
    <s v="BMZ"/>
    <x v="3"/>
    <x v="21"/>
    <x v="0"/>
    <x v="250"/>
    <n v="87"/>
    <n v="418"/>
    <d v="2018-07-19T00:00:00"/>
    <d v="2021-06-30T00:00:00"/>
    <n v="0"/>
    <n v="0"/>
    <n v="31"/>
    <n v="0"/>
    <n v="0"/>
    <n v="0"/>
    <n v="0"/>
    <n v="0"/>
    <m/>
    <n v="40"/>
    <x v="3"/>
    <n v="1"/>
    <n v="0"/>
    <n v="0"/>
    <n v="0"/>
    <n v="0"/>
    <m/>
    <n v="0"/>
    <n v="0"/>
    <n v="0"/>
    <n v="0"/>
    <n v="0"/>
    <n v="0"/>
    <n v="0"/>
    <n v="0"/>
    <n v="0"/>
    <n v="0"/>
    <m/>
    <n v="0"/>
    <n v="0"/>
    <n v="0"/>
    <n v="0"/>
    <n v="0"/>
    <n v="1"/>
    <n v="418"/>
    <n v="0"/>
    <n v="0"/>
    <n v="1"/>
    <n v="418"/>
    <n v="1.6719999999999999"/>
    <n v="0"/>
    <n v="0"/>
    <n v="0.32800000000000007"/>
    <n v="2"/>
    <n v="0.57416267942583732"/>
    <n v="240"/>
    <n v="50"/>
    <n v="70"/>
    <n v="30"/>
    <n v="0.42583732057416268"/>
    <n v="0"/>
    <n v="0"/>
    <n v="0"/>
    <n v="0"/>
    <n v="1"/>
    <n v="0"/>
    <n v="0"/>
    <n v="0"/>
    <n v="0"/>
    <x v="0"/>
    <s v="Village"/>
    <x v="0"/>
    <n v="0"/>
    <n v="0"/>
    <n v="0"/>
    <n v="0"/>
    <x v="0"/>
    <m/>
  </r>
  <r>
    <x v="1"/>
    <x v="13"/>
    <x v="0"/>
    <s v="BMZ"/>
    <x v="3"/>
    <x v="21"/>
    <x v="0"/>
    <x v="251"/>
    <n v="95"/>
    <n v="539"/>
    <d v="2018-07-19T00:00:00"/>
    <d v="2021-06-30T00:00:00"/>
    <n v="0"/>
    <n v="0"/>
    <n v="42"/>
    <n v="0"/>
    <n v="0"/>
    <n v="0"/>
    <n v="0"/>
    <n v="0"/>
    <m/>
    <n v="79"/>
    <x v="3"/>
    <n v="1"/>
    <n v="0"/>
    <n v="0"/>
    <n v="0"/>
    <n v="0"/>
    <m/>
    <n v="0"/>
    <n v="0"/>
    <n v="0"/>
    <n v="0"/>
    <n v="0"/>
    <n v="0"/>
    <n v="0"/>
    <n v="0"/>
    <n v="0"/>
    <n v="0"/>
    <m/>
    <n v="0"/>
    <n v="0"/>
    <n v="0"/>
    <n v="0"/>
    <n v="0"/>
    <n v="1"/>
    <n v="539"/>
    <n v="0"/>
    <n v="0"/>
    <n v="1"/>
    <n v="539"/>
    <n v="2.1560000000000001"/>
    <n v="0"/>
    <n v="0"/>
    <n v="0"/>
    <n v="2"/>
    <n v="0.87940630797773656"/>
    <n v="474"/>
    <n v="50"/>
    <n v="90"/>
    <n v="11"/>
    <n v="0.12059369202226344"/>
    <n v="0"/>
    <n v="0"/>
    <n v="0"/>
    <n v="0"/>
    <n v="1"/>
    <n v="0"/>
    <n v="0"/>
    <n v="0"/>
    <n v="0"/>
    <x v="0"/>
    <s v="Village"/>
    <x v="0"/>
    <n v="0"/>
    <n v="0"/>
    <n v="0"/>
    <n v="0"/>
    <x v="0"/>
    <m/>
  </r>
  <r>
    <x v="1"/>
    <x v="13"/>
    <x v="0"/>
    <s v="BMZ"/>
    <x v="3"/>
    <x v="21"/>
    <x v="0"/>
    <x v="252"/>
    <n v="63"/>
    <n v="348"/>
    <d v="2018-07-19T00:00:00"/>
    <d v="2021-06-30T00:00:00"/>
    <n v="0"/>
    <n v="0"/>
    <n v="34"/>
    <n v="0"/>
    <n v="0"/>
    <n v="0"/>
    <n v="0"/>
    <n v="0"/>
    <m/>
    <n v="33"/>
    <x v="3"/>
    <n v="1"/>
    <n v="0"/>
    <n v="0"/>
    <n v="0"/>
    <n v="0"/>
    <m/>
    <n v="0"/>
    <n v="0"/>
    <n v="0"/>
    <n v="0"/>
    <n v="0"/>
    <n v="0"/>
    <n v="0"/>
    <n v="0"/>
    <n v="0"/>
    <n v="0"/>
    <m/>
    <n v="0"/>
    <n v="0"/>
    <n v="0"/>
    <n v="0"/>
    <n v="0"/>
    <n v="1"/>
    <n v="348"/>
    <n v="0"/>
    <n v="0"/>
    <n v="1"/>
    <n v="348"/>
    <n v="1.3919999999999999"/>
    <n v="0"/>
    <n v="0"/>
    <n v="0"/>
    <n v="1"/>
    <n v="0.56896551724137934"/>
    <n v="198"/>
    <n v="50"/>
    <n v="58"/>
    <n v="25"/>
    <n v="0.43103448275862066"/>
    <n v="0"/>
    <n v="0"/>
    <n v="0"/>
    <n v="0"/>
    <n v="1"/>
    <n v="0"/>
    <n v="0"/>
    <n v="0"/>
    <n v="0"/>
    <x v="0"/>
    <s v="Village"/>
    <x v="0"/>
    <n v="0"/>
    <n v="0"/>
    <n v="0"/>
    <n v="0"/>
    <x v="0"/>
    <m/>
  </r>
  <r>
    <x v="1"/>
    <x v="13"/>
    <x v="0"/>
    <s v="BMZ"/>
    <x v="3"/>
    <x v="21"/>
    <x v="0"/>
    <x v="253"/>
    <n v="53"/>
    <n v="211"/>
    <d v="2018-07-19T00:00:00"/>
    <d v="2021-06-30T00:00:00"/>
    <n v="0"/>
    <n v="0"/>
    <n v="36"/>
    <n v="0"/>
    <n v="0"/>
    <n v="0"/>
    <n v="0"/>
    <n v="0"/>
    <m/>
    <n v="30"/>
    <x v="3"/>
    <n v="0"/>
    <n v="0"/>
    <n v="0"/>
    <n v="0"/>
    <n v="0"/>
    <m/>
    <n v="0"/>
    <n v="0"/>
    <n v="0"/>
    <n v="0"/>
    <n v="0"/>
    <n v="0"/>
    <n v="0"/>
    <n v="0"/>
    <n v="0"/>
    <n v="0"/>
    <m/>
    <n v="0"/>
    <n v="0"/>
    <n v="0"/>
    <n v="0"/>
    <n v="0"/>
    <n v="1"/>
    <n v="211"/>
    <n v="0"/>
    <n v="0"/>
    <n v="1"/>
    <n v="211"/>
    <n v="0.84399999999999997"/>
    <n v="0"/>
    <n v="0"/>
    <n v="0.15600000000000003"/>
    <n v="1"/>
    <n v="0.85308056872037918"/>
    <n v="180"/>
    <n v="0"/>
    <n v="35"/>
    <n v="5"/>
    <n v="0.14691943127962082"/>
    <n v="0"/>
    <n v="0"/>
    <n v="0"/>
    <n v="0"/>
    <n v="1"/>
    <n v="0"/>
    <n v="0"/>
    <n v="0"/>
    <n v="0"/>
    <x v="0"/>
    <s v="Village"/>
    <x v="0"/>
    <n v="0"/>
    <n v="0"/>
    <n v="0"/>
    <n v="0"/>
    <x v="0"/>
    <m/>
  </r>
  <r>
    <x v="1"/>
    <x v="13"/>
    <x v="0"/>
    <s v="BMZ"/>
    <x v="3"/>
    <x v="21"/>
    <x v="0"/>
    <x v="254"/>
    <n v="49"/>
    <n v="224"/>
    <d v="2018-07-19T00:00:00"/>
    <d v="2021-06-30T00:00:00"/>
    <n v="0"/>
    <n v="0"/>
    <n v="7"/>
    <n v="0"/>
    <n v="0"/>
    <n v="0"/>
    <n v="0"/>
    <n v="0"/>
    <m/>
    <n v="31"/>
    <x v="3"/>
    <n v="0"/>
    <n v="0"/>
    <n v="0"/>
    <n v="0"/>
    <n v="0"/>
    <m/>
    <n v="0"/>
    <n v="0"/>
    <n v="0"/>
    <n v="0"/>
    <n v="0"/>
    <n v="0"/>
    <n v="0"/>
    <n v="0"/>
    <n v="0"/>
    <n v="0"/>
    <m/>
    <n v="0"/>
    <n v="0"/>
    <n v="0"/>
    <n v="0"/>
    <n v="0"/>
    <n v="1"/>
    <n v="224"/>
    <n v="0"/>
    <n v="0"/>
    <n v="1"/>
    <n v="224"/>
    <n v="0.89600000000000002"/>
    <n v="0"/>
    <n v="0"/>
    <n v="0.10399999999999998"/>
    <n v="1"/>
    <n v="0.8303571428571429"/>
    <n v="186"/>
    <n v="0"/>
    <n v="37"/>
    <n v="6"/>
    <n v="0.1696428571428571"/>
    <n v="0"/>
    <n v="0"/>
    <n v="0"/>
    <n v="0"/>
    <n v="1"/>
    <n v="0"/>
    <n v="0"/>
    <n v="0"/>
    <n v="0"/>
    <x v="0"/>
    <s v="Village"/>
    <x v="0"/>
    <n v="0"/>
    <n v="0"/>
    <n v="0"/>
    <n v="0"/>
    <x v="0"/>
    <m/>
  </r>
  <r>
    <x v="1"/>
    <x v="13"/>
    <x v="0"/>
    <s v="BMZ"/>
    <x v="3"/>
    <x v="21"/>
    <x v="0"/>
    <x v="255"/>
    <n v="49"/>
    <n v="221"/>
    <d v="2018-07-19T00:00:00"/>
    <d v="2021-06-30T00:00:00"/>
    <n v="0"/>
    <n v="0"/>
    <n v="16"/>
    <n v="0"/>
    <n v="0"/>
    <n v="0"/>
    <n v="0"/>
    <n v="0"/>
    <m/>
    <n v="17"/>
    <x v="3"/>
    <n v="0"/>
    <n v="0"/>
    <n v="0"/>
    <n v="0"/>
    <n v="0"/>
    <m/>
    <n v="0"/>
    <n v="0"/>
    <n v="0"/>
    <n v="0"/>
    <n v="0"/>
    <n v="0"/>
    <n v="0"/>
    <n v="0"/>
    <n v="0"/>
    <n v="0"/>
    <m/>
    <n v="0"/>
    <n v="0"/>
    <n v="0"/>
    <n v="0"/>
    <n v="0"/>
    <n v="1"/>
    <n v="221"/>
    <n v="0"/>
    <n v="0"/>
    <n v="1"/>
    <n v="221"/>
    <n v="0.88400000000000001"/>
    <n v="0"/>
    <n v="0"/>
    <n v="0.11599999999999999"/>
    <n v="1"/>
    <n v="0.46153846153846156"/>
    <n v="102"/>
    <n v="0"/>
    <n v="37"/>
    <n v="20"/>
    <n v="0.53846153846153844"/>
    <n v="0"/>
    <n v="0"/>
    <n v="0"/>
    <n v="0"/>
    <n v="1"/>
    <n v="0"/>
    <n v="0"/>
    <n v="0"/>
    <n v="0"/>
    <x v="0"/>
    <s v="Village"/>
    <x v="0"/>
    <n v="0"/>
    <n v="0"/>
    <n v="0"/>
    <n v="0"/>
    <x v="0"/>
    <m/>
  </r>
  <r>
    <x v="1"/>
    <x v="13"/>
    <x v="0"/>
    <s v="BMZ"/>
    <x v="3"/>
    <x v="21"/>
    <x v="0"/>
    <x v="256"/>
    <n v="65"/>
    <n v="449"/>
    <d v="2018-07-19T00:00:00"/>
    <d v="2021-06-30T00:00:00"/>
    <n v="0"/>
    <n v="0"/>
    <m/>
    <n v="0"/>
    <n v="0"/>
    <n v="0"/>
    <n v="0"/>
    <n v="0"/>
    <m/>
    <n v="35"/>
    <x v="3"/>
    <n v="1"/>
    <n v="0"/>
    <n v="0"/>
    <n v="0"/>
    <n v="0"/>
    <m/>
    <n v="0"/>
    <n v="0"/>
    <n v="0"/>
    <n v="0"/>
    <n v="0"/>
    <n v="0"/>
    <n v="0"/>
    <n v="0"/>
    <n v="0"/>
    <n v="0"/>
    <m/>
    <n v="0"/>
    <n v="0"/>
    <n v="0"/>
    <n v="0"/>
    <n v="0"/>
    <n v="0"/>
    <n v="0"/>
    <n v="0"/>
    <n v="0"/>
    <n v="0"/>
    <n v="0"/>
    <n v="0"/>
    <n v="1"/>
    <n v="449"/>
    <n v="2"/>
    <n v="2"/>
    <n v="0.46770601336302897"/>
    <n v="210"/>
    <n v="50"/>
    <n v="75"/>
    <n v="40"/>
    <n v="0.53229398663697103"/>
    <n v="0"/>
    <n v="0"/>
    <n v="0"/>
    <n v="0"/>
    <n v="1"/>
    <n v="0"/>
    <n v="0"/>
    <n v="0"/>
    <n v="0"/>
    <x v="0"/>
    <s v="Village"/>
    <x v="0"/>
    <n v="0"/>
    <n v="0"/>
    <n v="0"/>
    <n v="0"/>
    <x v="0"/>
    <m/>
  </r>
  <r>
    <x v="1"/>
    <x v="13"/>
    <x v="0"/>
    <s v="BMZ"/>
    <x v="3"/>
    <x v="21"/>
    <x v="0"/>
    <x v="257"/>
    <n v="80"/>
    <n v="555"/>
    <d v="2018-07-19T00:00:00"/>
    <d v="2021-06-30T00:00:00"/>
    <n v="0"/>
    <n v="0"/>
    <n v="6"/>
    <n v="0"/>
    <n v="0"/>
    <n v="0"/>
    <n v="0"/>
    <n v="1"/>
    <m/>
    <n v="43"/>
    <x v="3"/>
    <n v="1"/>
    <n v="0"/>
    <n v="0"/>
    <n v="0"/>
    <n v="0"/>
    <m/>
    <n v="0"/>
    <n v="0"/>
    <n v="0"/>
    <n v="0"/>
    <n v="0"/>
    <n v="0"/>
    <n v="0"/>
    <n v="0"/>
    <n v="0"/>
    <n v="0"/>
    <m/>
    <n v="0"/>
    <n v="0"/>
    <n v="0"/>
    <n v="0"/>
    <n v="0"/>
    <n v="1"/>
    <n v="555"/>
    <n v="0"/>
    <n v="0"/>
    <n v="1"/>
    <n v="555"/>
    <n v="2.2200000000000002"/>
    <n v="0"/>
    <n v="0"/>
    <n v="0"/>
    <n v="2"/>
    <n v="0.46486486486486489"/>
    <n v="258"/>
    <n v="50"/>
    <n v="93"/>
    <n v="50"/>
    <n v="0.53513513513513511"/>
    <n v="0"/>
    <n v="0"/>
    <n v="0"/>
    <n v="0"/>
    <n v="1"/>
    <n v="0"/>
    <n v="0"/>
    <n v="0"/>
    <n v="0"/>
    <x v="0"/>
    <s v="Village"/>
    <x v="0"/>
    <n v="0"/>
    <n v="0"/>
    <n v="0"/>
    <n v="0"/>
    <x v="0"/>
    <m/>
  </r>
  <r>
    <x v="1"/>
    <x v="13"/>
    <x v="0"/>
    <s v="BMZ"/>
    <x v="3"/>
    <x v="21"/>
    <x v="0"/>
    <x v="258"/>
    <n v="66"/>
    <n v="390"/>
    <d v="2018-07-19T00:00:00"/>
    <d v="2021-06-30T00:00:00"/>
    <n v="0"/>
    <n v="0"/>
    <n v="1"/>
    <n v="0"/>
    <n v="0"/>
    <n v="0"/>
    <n v="0"/>
    <n v="0"/>
    <m/>
    <n v="42"/>
    <x v="3"/>
    <n v="1"/>
    <n v="0"/>
    <n v="0"/>
    <n v="0"/>
    <n v="0"/>
    <m/>
    <n v="0"/>
    <n v="0"/>
    <n v="0"/>
    <n v="0"/>
    <n v="0"/>
    <n v="0"/>
    <n v="0"/>
    <n v="0"/>
    <n v="0"/>
    <n v="0"/>
    <m/>
    <n v="0"/>
    <n v="0"/>
    <n v="0"/>
    <n v="0"/>
    <n v="0"/>
    <n v="1"/>
    <n v="390"/>
    <n v="0"/>
    <n v="0"/>
    <n v="1"/>
    <n v="390"/>
    <n v="1.56"/>
    <n v="0"/>
    <n v="0"/>
    <n v="0.43999999999999995"/>
    <n v="2"/>
    <n v="0.64615384615384619"/>
    <n v="252"/>
    <n v="50"/>
    <n v="65"/>
    <n v="23"/>
    <n v="0.35384615384615381"/>
    <n v="0"/>
    <n v="0"/>
    <n v="0"/>
    <n v="0"/>
    <n v="1"/>
    <n v="0"/>
    <n v="0"/>
    <n v="0"/>
    <n v="0"/>
    <x v="0"/>
    <s v="Village"/>
    <x v="0"/>
    <n v="0"/>
    <n v="0"/>
    <n v="0"/>
    <n v="0"/>
    <x v="0"/>
    <m/>
  </r>
  <r>
    <x v="1"/>
    <x v="13"/>
    <x v="0"/>
    <s v="BMZ"/>
    <x v="3"/>
    <x v="21"/>
    <x v="0"/>
    <x v="259"/>
    <n v="84"/>
    <n v="475"/>
    <d v="2018-07-19T00:00:00"/>
    <d v="2021-06-30T00:00:00"/>
    <n v="0"/>
    <n v="0"/>
    <n v="4"/>
    <n v="1"/>
    <n v="0"/>
    <n v="0"/>
    <n v="0"/>
    <n v="1"/>
    <m/>
    <n v="46"/>
    <x v="3"/>
    <n v="2"/>
    <n v="0"/>
    <n v="0"/>
    <n v="0"/>
    <n v="0"/>
    <m/>
    <n v="0"/>
    <n v="0"/>
    <n v="0"/>
    <n v="0"/>
    <n v="0"/>
    <n v="0"/>
    <n v="0"/>
    <n v="0"/>
    <n v="0"/>
    <n v="0"/>
    <m/>
    <n v="0"/>
    <n v="0"/>
    <n v="0"/>
    <n v="0"/>
    <n v="0"/>
    <n v="1"/>
    <n v="475"/>
    <n v="0"/>
    <n v="0"/>
    <n v="1"/>
    <n v="475"/>
    <n v="1.9"/>
    <n v="0"/>
    <n v="0"/>
    <n v="0.10000000000000009"/>
    <n v="2"/>
    <n v="0.58105263157894738"/>
    <n v="276"/>
    <n v="100"/>
    <n v="79"/>
    <n v="33"/>
    <n v="0.41894736842105262"/>
    <n v="0"/>
    <n v="0"/>
    <n v="0"/>
    <n v="0"/>
    <n v="1"/>
    <n v="0"/>
    <n v="0"/>
    <n v="0"/>
    <n v="0"/>
    <x v="0"/>
    <s v="Village"/>
    <x v="0"/>
    <n v="0"/>
    <n v="0"/>
    <n v="0"/>
    <n v="0"/>
    <x v="0"/>
    <m/>
  </r>
  <r>
    <x v="1"/>
    <x v="13"/>
    <x v="0"/>
    <s v="BMZ"/>
    <x v="3"/>
    <x v="21"/>
    <x v="0"/>
    <x v="260"/>
    <n v="29"/>
    <n v="179"/>
    <d v="2018-07-19T00:00:00"/>
    <d v="2021-06-30T00:00:00"/>
    <n v="0"/>
    <n v="0"/>
    <n v="9"/>
    <n v="0"/>
    <n v="0"/>
    <n v="0"/>
    <n v="0"/>
    <n v="0"/>
    <m/>
    <n v="13"/>
    <x v="3"/>
    <n v="0"/>
    <n v="0"/>
    <n v="0"/>
    <n v="0"/>
    <n v="0"/>
    <m/>
    <n v="0"/>
    <n v="0"/>
    <n v="0"/>
    <n v="0"/>
    <n v="0"/>
    <n v="0"/>
    <n v="0"/>
    <n v="0"/>
    <n v="0"/>
    <n v="0"/>
    <m/>
    <n v="0"/>
    <n v="0"/>
    <n v="0"/>
    <n v="0"/>
    <n v="0"/>
    <n v="1"/>
    <n v="179"/>
    <n v="0"/>
    <n v="0"/>
    <n v="1"/>
    <n v="179"/>
    <n v="0.71599999999999997"/>
    <n v="0"/>
    <n v="0"/>
    <n v="0.28400000000000003"/>
    <n v="1"/>
    <n v="0.43575418994413406"/>
    <n v="78"/>
    <n v="0"/>
    <n v="30"/>
    <n v="17"/>
    <n v="0.56424581005586594"/>
    <n v="0"/>
    <n v="0"/>
    <n v="0"/>
    <n v="0"/>
    <n v="1"/>
    <n v="0"/>
    <n v="0"/>
    <n v="0"/>
    <n v="0"/>
    <x v="0"/>
    <s v="Village"/>
    <x v="0"/>
    <n v="0"/>
    <n v="0"/>
    <n v="0"/>
    <n v="0"/>
    <x v="0"/>
    <m/>
  </r>
  <r>
    <x v="1"/>
    <x v="13"/>
    <x v="0"/>
    <s v="BMZ"/>
    <x v="3"/>
    <x v="21"/>
    <x v="0"/>
    <x v="261"/>
    <n v="57"/>
    <n v="399"/>
    <d v="2018-07-19T00:00:00"/>
    <d v="2021-06-30T00:00:00"/>
    <n v="0"/>
    <n v="0"/>
    <n v="31"/>
    <n v="0"/>
    <n v="0"/>
    <n v="0"/>
    <n v="0"/>
    <n v="0"/>
    <m/>
    <n v="35"/>
    <x v="3"/>
    <n v="1"/>
    <n v="0"/>
    <n v="0"/>
    <n v="0"/>
    <n v="0"/>
    <m/>
    <n v="0"/>
    <n v="0"/>
    <n v="0"/>
    <n v="0"/>
    <n v="0"/>
    <n v="0"/>
    <n v="0"/>
    <n v="0"/>
    <n v="0"/>
    <n v="0"/>
    <m/>
    <n v="0"/>
    <n v="0"/>
    <n v="0"/>
    <n v="0"/>
    <n v="0"/>
    <n v="1"/>
    <n v="399"/>
    <n v="0"/>
    <n v="0"/>
    <n v="1"/>
    <n v="399"/>
    <n v="1.5960000000000001"/>
    <n v="0"/>
    <n v="0"/>
    <n v="0.40399999999999991"/>
    <n v="2"/>
    <n v="0.52631578947368418"/>
    <n v="210"/>
    <n v="50"/>
    <n v="67"/>
    <n v="32"/>
    <n v="0.47368421052631582"/>
    <n v="0"/>
    <n v="0"/>
    <n v="0"/>
    <n v="0"/>
    <n v="1"/>
    <n v="0"/>
    <n v="0"/>
    <n v="0"/>
    <n v="0"/>
    <x v="0"/>
    <s v="Village"/>
    <x v="0"/>
    <n v="0"/>
    <n v="0"/>
    <n v="0"/>
    <n v="0"/>
    <x v="0"/>
    <m/>
  </r>
  <r>
    <x v="1"/>
    <x v="13"/>
    <x v="0"/>
    <s v="BMZ"/>
    <x v="3"/>
    <x v="21"/>
    <x v="0"/>
    <x v="262"/>
    <n v="75"/>
    <n v="426"/>
    <d v="2018-07-19T00:00:00"/>
    <d v="2021-06-30T00:00:00"/>
    <n v="0"/>
    <n v="0"/>
    <n v="15"/>
    <n v="0"/>
    <n v="0"/>
    <n v="0"/>
    <n v="0"/>
    <n v="1"/>
    <m/>
    <n v="44"/>
    <x v="3"/>
    <n v="1"/>
    <n v="0"/>
    <n v="0"/>
    <n v="0"/>
    <n v="0"/>
    <m/>
    <n v="0"/>
    <n v="0"/>
    <n v="0"/>
    <n v="0"/>
    <n v="0"/>
    <n v="0"/>
    <n v="0"/>
    <n v="0"/>
    <n v="0"/>
    <n v="0"/>
    <m/>
    <n v="0"/>
    <n v="0"/>
    <n v="0"/>
    <n v="0"/>
    <n v="0"/>
    <n v="1"/>
    <n v="426"/>
    <n v="0"/>
    <n v="0"/>
    <n v="1"/>
    <n v="426"/>
    <n v="1.704"/>
    <n v="0"/>
    <n v="0"/>
    <n v="0.29600000000000004"/>
    <n v="2"/>
    <n v="0.61971830985915488"/>
    <n v="264"/>
    <n v="50"/>
    <n v="71"/>
    <n v="27"/>
    <n v="0.38028169014084512"/>
    <n v="0"/>
    <n v="0"/>
    <n v="0"/>
    <n v="0"/>
    <n v="1"/>
    <n v="0"/>
    <n v="0"/>
    <n v="0"/>
    <n v="0"/>
    <x v="0"/>
    <s v="Village"/>
    <x v="0"/>
    <n v="0"/>
    <n v="0"/>
    <n v="0"/>
    <n v="0"/>
    <x v="0"/>
    <m/>
  </r>
  <r>
    <x v="1"/>
    <x v="13"/>
    <x v="0"/>
    <s v="BMZ"/>
    <x v="3"/>
    <x v="21"/>
    <x v="0"/>
    <x v="263"/>
    <n v="74"/>
    <n v="321"/>
    <d v="2018-07-19T00:00:00"/>
    <d v="2021-06-30T00:00:00"/>
    <n v="0"/>
    <n v="0"/>
    <n v="41"/>
    <n v="0"/>
    <n v="0"/>
    <n v="0"/>
    <n v="0"/>
    <n v="0"/>
    <m/>
    <n v="30"/>
    <x v="3"/>
    <n v="0"/>
    <n v="0"/>
    <n v="0"/>
    <n v="0"/>
    <n v="0"/>
    <m/>
    <n v="0"/>
    <n v="0"/>
    <n v="0"/>
    <n v="0"/>
    <n v="0"/>
    <n v="0"/>
    <n v="0"/>
    <n v="0"/>
    <n v="0"/>
    <n v="0"/>
    <m/>
    <n v="0"/>
    <n v="0"/>
    <n v="0"/>
    <n v="0"/>
    <n v="0"/>
    <n v="1"/>
    <n v="321"/>
    <n v="0"/>
    <n v="0"/>
    <n v="1"/>
    <n v="321"/>
    <n v="1.284"/>
    <n v="0"/>
    <n v="0"/>
    <n v="0"/>
    <n v="1"/>
    <n v="0.56074766355140182"/>
    <n v="179.99999999999997"/>
    <n v="0"/>
    <n v="54"/>
    <n v="24"/>
    <n v="0.43925233644859818"/>
    <n v="0"/>
    <n v="0"/>
    <n v="0"/>
    <n v="0"/>
    <n v="1"/>
    <n v="0"/>
    <n v="0"/>
    <n v="0"/>
    <n v="0"/>
    <x v="0"/>
    <s v="Village"/>
    <x v="0"/>
    <n v="0"/>
    <n v="0"/>
    <n v="0"/>
    <n v="0"/>
    <x v="0"/>
    <m/>
  </r>
  <r>
    <x v="1"/>
    <x v="13"/>
    <x v="0"/>
    <s v="BMZ"/>
    <x v="3"/>
    <x v="21"/>
    <x v="0"/>
    <x v="264"/>
    <n v="50"/>
    <n v="284"/>
    <d v="2018-07-19T00:00:00"/>
    <d v="2021-06-30T00:00:00"/>
    <n v="0"/>
    <n v="0"/>
    <n v="6"/>
    <n v="0"/>
    <n v="0"/>
    <n v="0"/>
    <n v="0"/>
    <n v="0"/>
    <m/>
    <n v="35"/>
    <x v="3"/>
    <n v="0"/>
    <n v="0"/>
    <n v="0"/>
    <n v="0"/>
    <n v="0"/>
    <m/>
    <n v="0"/>
    <n v="0"/>
    <n v="0"/>
    <n v="0"/>
    <n v="0"/>
    <n v="0"/>
    <n v="0"/>
    <n v="0"/>
    <n v="0"/>
    <n v="0"/>
    <m/>
    <n v="0"/>
    <n v="0"/>
    <n v="0"/>
    <n v="0"/>
    <n v="0"/>
    <n v="1"/>
    <n v="284"/>
    <n v="0"/>
    <n v="0"/>
    <n v="1"/>
    <n v="284"/>
    <n v="1.1359999999999999"/>
    <n v="0"/>
    <n v="0"/>
    <n v="0"/>
    <n v="1"/>
    <n v="0.73943661971830987"/>
    <n v="210"/>
    <n v="0"/>
    <n v="47"/>
    <n v="12"/>
    <n v="0.26056338028169013"/>
    <n v="0"/>
    <n v="0"/>
    <n v="0"/>
    <n v="0"/>
    <n v="1"/>
    <n v="0"/>
    <n v="0"/>
    <n v="0"/>
    <n v="0"/>
    <x v="0"/>
    <s v="Village"/>
    <x v="0"/>
    <n v="0"/>
    <n v="0"/>
    <n v="0"/>
    <n v="0"/>
    <x v="0"/>
    <m/>
  </r>
  <r>
    <x v="1"/>
    <x v="13"/>
    <x v="0"/>
    <s v="BMZ"/>
    <x v="3"/>
    <x v="21"/>
    <x v="0"/>
    <x v="265"/>
    <n v="154"/>
    <n v="977"/>
    <d v="2018-07-19T00:00:00"/>
    <d v="2021-06-30T00:00:00"/>
    <n v="0"/>
    <n v="0"/>
    <n v="6"/>
    <n v="0"/>
    <n v="0"/>
    <n v="12000"/>
    <n v="0"/>
    <n v="1"/>
    <m/>
    <n v="85"/>
    <x v="3"/>
    <n v="2"/>
    <n v="0"/>
    <n v="0"/>
    <n v="0"/>
    <n v="0"/>
    <m/>
    <n v="0"/>
    <n v="0"/>
    <n v="0"/>
    <n v="0"/>
    <n v="0"/>
    <n v="0"/>
    <n v="0"/>
    <n v="0"/>
    <n v="0"/>
    <n v="0"/>
    <m/>
    <n v="0"/>
    <n v="0"/>
    <n v="0"/>
    <n v="0"/>
    <n v="0"/>
    <n v="1"/>
    <n v="977"/>
    <n v="0"/>
    <n v="0"/>
    <n v="1"/>
    <n v="977"/>
    <n v="3.9079999999999999"/>
    <n v="0"/>
    <n v="0"/>
    <n v="9.2000000000000082E-2"/>
    <n v="4"/>
    <n v="0.52200614124872058"/>
    <n v="510"/>
    <n v="100"/>
    <n v="163"/>
    <n v="78"/>
    <n v="0.47799385875127942"/>
    <n v="0"/>
    <n v="0"/>
    <n v="0"/>
    <n v="0"/>
    <n v="1"/>
    <n v="0"/>
    <n v="0"/>
    <n v="0"/>
    <n v="0"/>
    <x v="0"/>
    <s v="Village"/>
    <x v="0"/>
    <n v="0"/>
    <n v="0"/>
    <n v="0"/>
    <n v="0"/>
    <x v="0"/>
    <m/>
  </r>
  <r>
    <x v="1"/>
    <x v="13"/>
    <x v="0"/>
    <s v="BMZ"/>
    <x v="3"/>
    <x v="21"/>
    <x v="0"/>
    <x v="266"/>
    <n v="44"/>
    <n v="248"/>
    <d v="2018-07-19T00:00:00"/>
    <d v="2021-06-30T00:00:00"/>
    <n v="0"/>
    <n v="0"/>
    <n v="11"/>
    <n v="0"/>
    <n v="0"/>
    <n v="0"/>
    <n v="0"/>
    <n v="0"/>
    <m/>
    <n v="14"/>
    <x v="3"/>
    <n v="0"/>
    <n v="0"/>
    <n v="0"/>
    <n v="0"/>
    <n v="0"/>
    <m/>
    <n v="0"/>
    <n v="0"/>
    <n v="0"/>
    <n v="0"/>
    <n v="0"/>
    <n v="0"/>
    <n v="0"/>
    <n v="0"/>
    <n v="0"/>
    <n v="0"/>
    <m/>
    <n v="0"/>
    <n v="0"/>
    <n v="0"/>
    <n v="0"/>
    <n v="0"/>
    <n v="1"/>
    <n v="248"/>
    <n v="0"/>
    <n v="0"/>
    <n v="1"/>
    <n v="248"/>
    <n v="0.99199999999999999"/>
    <n v="0"/>
    <n v="0"/>
    <n v="8.0000000000000071E-3"/>
    <n v="1"/>
    <n v="0.33870967741935482"/>
    <n v="84"/>
    <n v="0"/>
    <n v="41"/>
    <n v="27"/>
    <n v="0.66129032258064524"/>
    <n v="0"/>
    <n v="0"/>
    <n v="0"/>
    <n v="0"/>
    <n v="1"/>
    <n v="0"/>
    <n v="0"/>
    <n v="0"/>
    <n v="0"/>
    <x v="0"/>
    <s v="Village"/>
    <x v="0"/>
    <n v="0"/>
    <n v="0"/>
    <n v="0"/>
    <n v="0"/>
    <x v="0"/>
    <m/>
  </r>
  <r>
    <x v="1"/>
    <x v="10"/>
    <x v="10"/>
    <s v="WV' Korea"/>
    <x v="2"/>
    <x v="14"/>
    <x v="0"/>
    <x v="174"/>
    <n v="43"/>
    <n v="185"/>
    <d v="2017-12-12T00:00:00"/>
    <d v="2020-09-30T00:00:00"/>
    <m/>
    <m/>
    <n v="1"/>
    <m/>
    <m/>
    <m/>
    <m/>
    <m/>
    <m/>
    <n v="33"/>
    <x v="0"/>
    <n v="2"/>
    <m/>
    <m/>
    <m/>
    <m/>
    <m/>
    <n v="11"/>
    <n v="18"/>
    <m/>
    <m/>
    <m/>
    <m/>
    <m/>
    <m/>
    <m/>
    <m/>
    <m/>
    <m/>
    <m/>
    <m/>
    <m/>
    <m/>
    <n v="1"/>
    <n v="185"/>
    <n v="0"/>
    <n v="0"/>
    <n v="1"/>
    <n v="185"/>
    <n v="0.74"/>
    <n v="0"/>
    <n v="0"/>
    <n v="0.26"/>
    <n v="1"/>
    <n v="1"/>
    <n v="185"/>
    <n v="100"/>
    <n v="31"/>
    <n v="0"/>
    <n v="0"/>
    <n v="29"/>
    <n v="0"/>
    <n v="29"/>
    <n v="0.15675675675675677"/>
    <n v="0.84324324324324329"/>
    <n v="0.15675675675675677"/>
    <n v="0"/>
    <n v="0"/>
    <n v="0"/>
    <x v="0"/>
    <s v="Village"/>
    <x v="0"/>
    <n v="0"/>
    <n v="0"/>
    <n v="0"/>
    <n v="0"/>
    <x v="0"/>
    <m/>
  </r>
  <r>
    <x v="1"/>
    <x v="10"/>
    <x v="10"/>
    <s v="WV' Korea"/>
    <x v="2"/>
    <x v="14"/>
    <x v="0"/>
    <x v="175"/>
    <n v="33"/>
    <n v="174"/>
    <d v="2017-12-12T00:00:00"/>
    <d v="2020-09-30T00:00:00"/>
    <m/>
    <m/>
    <n v="1"/>
    <m/>
    <m/>
    <m/>
    <m/>
    <m/>
    <m/>
    <n v="26"/>
    <x v="0"/>
    <m/>
    <m/>
    <m/>
    <m/>
    <m/>
    <m/>
    <n v="5"/>
    <n v="20"/>
    <m/>
    <m/>
    <m/>
    <m/>
    <m/>
    <m/>
    <m/>
    <m/>
    <m/>
    <m/>
    <m/>
    <m/>
    <m/>
    <m/>
    <n v="1"/>
    <n v="174"/>
    <n v="0"/>
    <n v="0"/>
    <n v="1"/>
    <n v="174"/>
    <n v="0.69599999999999995"/>
    <n v="0"/>
    <n v="0"/>
    <n v="0.30400000000000005"/>
    <n v="1"/>
    <n v="0.89655172413793105"/>
    <n v="156"/>
    <n v="0"/>
    <n v="29"/>
    <n v="3"/>
    <n v="0.10344827586206895"/>
    <n v="25"/>
    <n v="0"/>
    <n v="25"/>
    <n v="0.14367816091954022"/>
    <n v="0.85632183908045978"/>
    <n v="0.14367816091954022"/>
    <n v="0"/>
    <n v="0"/>
    <n v="0"/>
    <x v="0"/>
    <s v="Village"/>
    <x v="0"/>
    <n v="0"/>
    <n v="0"/>
    <n v="0"/>
    <n v="0"/>
    <x v="0"/>
    <m/>
  </r>
  <r>
    <x v="1"/>
    <x v="10"/>
    <x v="10"/>
    <s v="WV' Korea"/>
    <x v="2"/>
    <x v="14"/>
    <x v="0"/>
    <x v="176"/>
    <n v="15"/>
    <n v="49"/>
    <d v="2017-12-12T00:00:00"/>
    <d v="2020-09-30T00:00:00"/>
    <m/>
    <m/>
    <m/>
    <m/>
    <m/>
    <m/>
    <m/>
    <m/>
    <m/>
    <n v="15"/>
    <x v="0"/>
    <m/>
    <m/>
    <m/>
    <m/>
    <m/>
    <m/>
    <n v="4"/>
    <n v="6"/>
    <m/>
    <m/>
    <m/>
    <m/>
    <m/>
    <m/>
    <m/>
    <m/>
    <m/>
    <m/>
    <m/>
    <m/>
    <m/>
    <m/>
    <n v="0"/>
    <n v="0"/>
    <n v="0"/>
    <n v="0"/>
    <n v="0"/>
    <n v="0"/>
    <n v="0"/>
    <n v="1"/>
    <n v="49"/>
    <n v="1"/>
    <n v="1"/>
    <n v="1"/>
    <n v="49"/>
    <n v="0"/>
    <n v="8"/>
    <n v="0"/>
    <n v="0"/>
    <n v="10"/>
    <n v="0"/>
    <n v="10"/>
    <n v="0.20408163265306123"/>
    <n v="0.79591836734693877"/>
    <n v="0.20408163265306123"/>
    <n v="0"/>
    <n v="0"/>
    <n v="0"/>
    <x v="0"/>
    <s v="Village"/>
    <x v="0"/>
    <n v="0"/>
    <n v="0"/>
    <n v="0"/>
    <n v="0"/>
    <x v="0"/>
    <m/>
  </r>
  <r>
    <x v="1"/>
    <x v="10"/>
    <x v="10"/>
    <s v="WV' Korea"/>
    <x v="2"/>
    <x v="14"/>
    <x v="0"/>
    <x v="177"/>
    <n v="78"/>
    <n v="302"/>
    <d v="2017-12-12T00:00:00"/>
    <d v="2020-09-30T00:00:00"/>
    <m/>
    <m/>
    <n v="2"/>
    <m/>
    <m/>
    <m/>
    <m/>
    <m/>
    <m/>
    <n v="50"/>
    <x v="0"/>
    <n v="1"/>
    <m/>
    <m/>
    <m/>
    <m/>
    <m/>
    <n v="11"/>
    <n v="18"/>
    <m/>
    <m/>
    <m/>
    <m/>
    <m/>
    <m/>
    <m/>
    <m/>
    <m/>
    <m/>
    <m/>
    <m/>
    <m/>
    <m/>
    <n v="1"/>
    <n v="302"/>
    <n v="0"/>
    <n v="0"/>
    <n v="1"/>
    <n v="302"/>
    <n v="1.208"/>
    <n v="0"/>
    <n v="0"/>
    <n v="0"/>
    <n v="1"/>
    <n v="0.99337748344370858"/>
    <n v="300"/>
    <n v="50"/>
    <n v="50"/>
    <n v="0"/>
    <n v="6.6225165562914245E-3"/>
    <n v="29"/>
    <n v="0"/>
    <n v="29"/>
    <n v="9.602649006622517E-2"/>
    <n v="0.90397350993377479"/>
    <n v="9.602649006622517E-2"/>
    <n v="0"/>
    <n v="0"/>
    <n v="0"/>
    <x v="0"/>
    <s v="Village"/>
    <x v="0"/>
    <n v="0"/>
    <n v="0"/>
    <n v="0"/>
    <n v="0"/>
    <x v="0"/>
    <m/>
  </r>
  <r>
    <x v="1"/>
    <x v="10"/>
    <x v="10"/>
    <s v="WV' Korea"/>
    <x v="2"/>
    <x v="14"/>
    <x v="0"/>
    <x v="178"/>
    <n v="62"/>
    <n v="308"/>
    <d v="2017-12-12T00:00:00"/>
    <d v="2020-09-30T00:00:00"/>
    <m/>
    <m/>
    <n v="1"/>
    <m/>
    <m/>
    <m/>
    <m/>
    <m/>
    <m/>
    <n v="59"/>
    <x v="0"/>
    <n v="2"/>
    <m/>
    <m/>
    <m/>
    <m/>
    <m/>
    <n v="10"/>
    <n v="15"/>
    <m/>
    <m/>
    <m/>
    <m/>
    <m/>
    <m/>
    <m/>
    <m/>
    <m/>
    <m/>
    <m/>
    <m/>
    <m/>
    <m/>
    <n v="1"/>
    <n v="308"/>
    <n v="0"/>
    <n v="0"/>
    <n v="1"/>
    <n v="308"/>
    <n v="1.232"/>
    <n v="0"/>
    <n v="0"/>
    <n v="0"/>
    <n v="1"/>
    <n v="1"/>
    <n v="308"/>
    <n v="100"/>
    <n v="51"/>
    <n v="0"/>
    <n v="0"/>
    <n v="25"/>
    <n v="0"/>
    <n v="25"/>
    <n v="8.1168831168831168E-2"/>
    <n v="0.91883116883116878"/>
    <n v="8.1168831168831168E-2"/>
    <n v="0"/>
    <n v="0"/>
    <n v="0"/>
    <x v="0"/>
    <s v="Village"/>
    <x v="0"/>
    <n v="0"/>
    <n v="0"/>
    <n v="0"/>
    <n v="0"/>
    <x v="0"/>
    <m/>
  </r>
  <r>
    <x v="1"/>
    <x v="10"/>
    <x v="10"/>
    <s v="WV' Korea"/>
    <x v="2"/>
    <x v="14"/>
    <x v="0"/>
    <x v="179"/>
    <n v="17"/>
    <n v="126"/>
    <d v="2017-12-12T00:00:00"/>
    <d v="2020-09-30T00:00:00"/>
    <m/>
    <m/>
    <n v="1"/>
    <m/>
    <m/>
    <m/>
    <m/>
    <m/>
    <m/>
    <n v="13"/>
    <x v="0"/>
    <m/>
    <m/>
    <m/>
    <m/>
    <m/>
    <m/>
    <n v="6"/>
    <n v="10"/>
    <m/>
    <m/>
    <m/>
    <m/>
    <m/>
    <m/>
    <m/>
    <m/>
    <m/>
    <m/>
    <m/>
    <m/>
    <m/>
    <m/>
    <n v="1"/>
    <n v="126"/>
    <n v="0"/>
    <n v="0"/>
    <n v="1"/>
    <n v="126"/>
    <n v="0.504"/>
    <n v="0"/>
    <n v="0"/>
    <n v="0.496"/>
    <n v="1"/>
    <n v="0.61904761904761907"/>
    <n v="78"/>
    <n v="0"/>
    <n v="21"/>
    <n v="8"/>
    <n v="0.38095238095238093"/>
    <n v="16"/>
    <n v="0"/>
    <n v="16"/>
    <n v="0.12698412698412698"/>
    <n v="0.87301587301587302"/>
    <n v="0.12698412698412698"/>
    <n v="0"/>
    <n v="0"/>
    <n v="0"/>
    <x v="0"/>
    <s v="Village"/>
    <x v="0"/>
    <n v="0"/>
    <n v="0"/>
    <n v="0"/>
    <n v="0"/>
    <x v="0"/>
    <m/>
  </r>
  <r>
    <x v="1"/>
    <x v="10"/>
    <x v="10"/>
    <s v="WV' Korea"/>
    <x v="2"/>
    <x v="14"/>
    <x v="0"/>
    <x v="180"/>
    <n v="31"/>
    <n v="135"/>
    <d v="2017-12-12T00:00:00"/>
    <d v="2020-09-30T00:00:00"/>
    <m/>
    <m/>
    <n v="1"/>
    <m/>
    <m/>
    <m/>
    <m/>
    <m/>
    <m/>
    <m/>
    <x v="0"/>
    <m/>
    <m/>
    <m/>
    <m/>
    <m/>
    <m/>
    <n v="9"/>
    <n v="8"/>
    <m/>
    <m/>
    <m/>
    <m/>
    <m/>
    <m/>
    <m/>
    <m/>
    <m/>
    <m/>
    <m/>
    <m/>
    <m/>
    <m/>
    <n v="1"/>
    <n v="135"/>
    <n v="0"/>
    <n v="0"/>
    <n v="1"/>
    <n v="135"/>
    <n v="0.54"/>
    <n v="0"/>
    <n v="0"/>
    <n v="0.45999999999999996"/>
    <n v="1"/>
    <n v="0"/>
    <n v="0"/>
    <n v="0"/>
    <n v="23"/>
    <n v="23"/>
    <n v="1"/>
    <n v="17"/>
    <n v="0"/>
    <n v="17"/>
    <n v="0.12592592592592591"/>
    <n v="0.87407407407407411"/>
    <n v="0.12592592592592591"/>
    <n v="0"/>
    <n v="0"/>
    <n v="0"/>
    <x v="0"/>
    <s v="Village"/>
    <x v="0"/>
    <n v="0"/>
    <n v="0"/>
    <n v="0"/>
    <n v="0"/>
    <x v="0"/>
    <m/>
  </r>
  <r>
    <x v="1"/>
    <x v="10"/>
    <x v="10"/>
    <s v="WV' Korea"/>
    <x v="2"/>
    <x v="15"/>
    <x v="0"/>
    <x v="181"/>
    <n v="97"/>
    <n v="482"/>
    <d v="2017-12-12T00:00:00"/>
    <d v="2020-09-30T00:00:00"/>
    <m/>
    <m/>
    <n v="2"/>
    <m/>
    <m/>
    <m/>
    <m/>
    <m/>
    <m/>
    <n v="50"/>
    <x v="0"/>
    <n v="2"/>
    <m/>
    <m/>
    <m/>
    <m/>
    <m/>
    <n v="15"/>
    <n v="12"/>
    <m/>
    <m/>
    <m/>
    <m/>
    <m/>
    <m/>
    <m/>
    <m/>
    <m/>
    <m/>
    <m/>
    <m/>
    <m/>
    <m/>
    <n v="1"/>
    <n v="482"/>
    <n v="0"/>
    <n v="0"/>
    <n v="1"/>
    <n v="482"/>
    <n v="1.9279999999999999"/>
    <n v="0"/>
    <n v="0"/>
    <n v="7.2000000000000064E-2"/>
    <n v="2"/>
    <n v="0.62240663900414939"/>
    <n v="300"/>
    <n v="100"/>
    <n v="80"/>
    <n v="30"/>
    <n v="0.37759336099585061"/>
    <n v="27"/>
    <n v="0"/>
    <n v="27"/>
    <n v="5.6016597510373446E-2"/>
    <n v="0.94398340248962653"/>
    <n v="5.6016597510373446E-2"/>
    <n v="0"/>
    <n v="0"/>
    <n v="0"/>
    <x v="0"/>
    <s v="Village"/>
    <x v="0"/>
    <n v="0"/>
    <n v="0"/>
    <n v="0"/>
    <n v="0"/>
    <x v="0"/>
    <m/>
  </r>
  <r>
    <x v="1"/>
    <x v="10"/>
    <x v="10"/>
    <s v="WV' Korea"/>
    <x v="2"/>
    <x v="14"/>
    <x v="0"/>
    <x v="182"/>
    <n v="59"/>
    <n v="305"/>
    <d v="2017-12-12T00:00:00"/>
    <d v="2020-09-30T00:00:00"/>
    <m/>
    <m/>
    <n v="1"/>
    <m/>
    <m/>
    <m/>
    <m/>
    <m/>
    <m/>
    <m/>
    <x v="0"/>
    <m/>
    <m/>
    <m/>
    <m/>
    <m/>
    <m/>
    <n v="3"/>
    <n v="10"/>
    <m/>
    <m/>
    <m/>
    <m/>
    <m/>
    <m/>
    <m/>
    <m/>
    <m/>
    <m/>
    <m/>
    <m/>
    <m/>
    <m/>
    <n v="1"/>
    <n v="305"/>
    <n v="0"/>
    <n v="0"/>
    <n v="1"/>
    <n v="305"/>
    <n v="1.22"/>
    <n v="0"/>
    <n v="0"/>
    <n v="0"/>
    <n v="1"/>
    <n v="0"/>
    <n v="0"/>
    <n v="0"/>
    <n v="51"/>
    <n v="51"/>
    <n v="1"/>
    <n v="13"/>
    <n v="0"/>
    <n v="13"/>
    <n v="4.2622950819672129E-2"/>
    <n v="0.95737704918032784"/>
    <n v="4.2622950819672129E-2"/>
    <n v="0"/>
    <n v="0"/>
    <n v="0"/>
    <x v="0"/>
    <s v="Village"/>
    <x v="0"/>
    <n v="0"/>
    <n v="0"/>
    <n v="0"/>
    <n v="0"/>
    <x v="0"/>
    <m/>
  </r>
  <r>
    <x v="1"/>
    <x v="10"/>
    <x v="10"/>
    <s v="WV' Korea"/>
    <x v="2"/>
    <x v="14"/>
    <x v="0"/>
    <x v="183"/>
    <n v="72"/>
    <n v="346"/>
    <d v="2017-12-12T00:00:00"/>
    <d v="2020-09-30T00:00:00"/>
    <m/>
    <m/>
    <m/>
    <m/>
    <m/>
    <m/>
    <m/>
    <m/>
    <m/>
    <n v="25"/>
    <x v="0"/>
    <m/>
    <m/>
    <m/>
    <m/>
    <m/>
    <m/>
    <n v="5"/>
    <n v="20"/>
    <m/>
    <m/>
    <m/>
    <m/>
    <m/>
    <m/>
    <m/>
    <m/>
    <m/>
    <m/>
    <m/>
    <m/>
    <m/>
    <m/>
    <n v="0"/>
    <n v="0"/>
    <n v="0"/>
    <n v="0"/>
    <n v="0"/>
    <n v="0"/>
    <n v="0"/>
    <n v="1"/>
    <n v="346"/>
    <n v="1"/>
    <n v="1"/>
    <n v="0.43352601156069365"/>
    <n v="150"/>
    <n v="0"/>
    <n v="58"/>
    <n v="33"/>
    <n v="0.56647398843930641"/>
    <n v="25"/>
    <n v="0"/>
    <n v="25"/>
    <n v="7.2254335260115612E-2"/>
    <n v="0.9277456647398844"/>
    <n v="7.2254335260115612E-2"/>
    <n v="0"/>
    <n v="0"/>
    <n v="0"/>
    <x v="0"/>
    <s v="Village"/>
    <x v="0"/>
    <n v="0"/>
    <n v="0"/>
    <n v="0"/>
    <n v="0"/>
    <x v="0"/>
    <m/>
  </r>
  <r>
    <x v="1"/>
    <x v="10"/>
    <x v="10"/>
    <s v="WV' Korea"/>
    <x v="2"/>
    <x v="14"/>
    <x v="0"/>
    <x v="184"/>
    <n v="44"/>
    <n v="241"/>
    <d v="2017-12-12T00:00:00"/>
    <d v="2020-09-30T00:00:00"/>
    <m/>
    <m/>
    <n v="1"/>
    <m/>
    <m/>
    <m/>
    <m/>
    <m/>
    <m/>
    <m/>
    <x v="0"/>
    <m/>
    <m/>
    <m/>
    <m/>
    <m/>
    <m/>
    <n v="3"/>
    <n v="10"/>
    <m/>
    <m/>
    <m/>
    <m/>
    <m/>
    <m/>
    <m/>
    <m/>
    <m/>
    <m/>
    <m/>
    <m/>
    <m/>
    <m/>
    <n v="1"/>
    <n v="241"/>
    <n v="0"/>
    <n v="0"/>
    <n v="1"/>
    <n v="241"/>
    <n v="0.96399999999999997"/>
    <n v="0"/>
    <n v="0"/>
    <n v="3.6000000000000032E-2"/>
    <n v="1"/>
    <n v="0"/>
    <n v="0"/>
    <n v="0"/>
    <n v="40"/>
    <n v="40"/>
    <n v="1"/>
    <n v="13"/>
    <n v="0"/>
    <n v="13"/>
    <n v="5.3941908713692949E-2"/>
    <n v="0.94605809128630702"/>
    <n v="5.3941908713692949E-2"/>
    <n v="0"/>
    <n v="0"/>
    <n v="0"/>
    <x v="0"/>
    <s v="Village"/>
    <x v="0"/>
    <n v="0"/>
    <n v="0"/>
    <n v="0"/>
    <n v="0"/>
    <x v="0"/>
    <m/>
  </r>
  <r>
    <x v="1"/>
    <x v="10"/>
    <x v="10"/>
    <s v="WV' Korea"/>
    <x v="2"/>
    <x v="14"/>
    <x v="0"/>
    <x v="185"/>
    <n v="30"/>
    <n v="148"/>
    <d v="2017-12-12T00:00:00"/>
    <d v="2020-09-30T00:00:00"/>
    <m/>
    <m/>
    <m/>
    <m/>
    <m/>
    <m/>
    <m/>
    <m/>
    <m/>
    <n v="24"/>
    <x v="0"/>
    <m/>
    <m/>
    <m/>
    <m/>
    <m/>
    <m/>
    <m/>
    <n v="20"/>
    <m/>
    <m/>
    <m/>
    <m/>
    <m/>
    <m/>
    <m/>
    <m/>
    <m/>
    <m/>
    <m/>
    <m/>
    <m/>
    <m/>
    <n v="0"/>
    <n v="0"/>
    <n v="0"/>
    <n v="0"/>
    <n v="0"/>
    <n v="0"/>
    <n v="0"/>
    <n v="1"/>
    <n v="148"/>
    <n v="1"/>
    <n v="1"/>
    <n v="0.97297297297297303"/>
    <n v="144"/>
    <n v="0"/>
    <n v="25"/>
    <n v="1"/>
    <n v="2.7027027027026973E-2"/>
    <n v="20"/>
    <n v="0"/>
    <n v="20"/>
    <n v="0.13513513513513514"/>
    <n v="0.86486486486486491"/>
    <n v="0.13513513513513514"/>
    <n v="0"/>
    <n v="0"/>
    <n v="0"/>
    <x v="0"/>
    <s v="Village"/>
    <x v="0"/>
    <n v="0"/>
    <n v="0"/>
    <n v="0"/>
    <n v="0"/>
    <x v="0"/>
    <m/>
  </r>
  <r>
    <x v="1"/>
    <x v="10"/>
    <x v="10"/>
    <s v="WV' Korea"/>
    <x v="2"/>
    <x v="14"/>
    <x v="0"/>
    <x v="186"/>
    <n v="47"/>
    <n v="233"/>
    <d v="2017-12-12T00:00:00"/>
    <d v="2020-09-30T00:00:00"/>
    <m/>
    <m/>
    <m/>
    <m/>
    <m/>
    <m/>
    <m/>
    <m/>
    <m/>
    <m/>
    <x v="0"/>
    <m/>
    <m/>
    <m/>
    <m/>
    <m/>
    <m/>
    <n v="1"/>
    <n v="21"/>
    <m/>
    <m/>
    <m/>
    <m/>
    <m/>
    <m/>
    <m/>
    <m/>
    <m/>
    <m/>
    <m/>
    <m/>
    <m/>
    <m/>
    <n v="0"/>
    <n v="0"/>
    <n v="0"/>
    <n v="0"/>
    <n v="0"/>
    <n v="0"/>
    <n v="0"/>
    <n v="1"/>
    <n v="233"/>
    <n v="1"/>
    <n v="1"/>
    <n v="0"/>
    <n v="0"/>
    <n v="0"/>
    <n v="39"/>
    <n v="39"/>
    <n v="1"/>
    <n v="22"/>
    <n v="0"/>
    <n v="22"/>
    <n v="9.4420600858369105E-2"/>
    <n v="0.90557939914163088"/>
    <n v="9.4420600858369105E-2"/>
    <n v="0"/>
    <n v="0"/>
    <n v="0"/>
    <x v="0"/>
    <s v="Village"/>
    <x v="0"/>
    <n v="0"/>
    <n v="0"/>
    <n v="0"/>
    <n v="0"/>
    <x v="0"/>
    <m/>
  </r>
  <r>
    <x v="1"/>
    <x v="10"/>
    <x v="10"/>
    <s v="WV' Korea"/>
    <x v="2"/>
    <x v="14"/>
    <x v="0"/>
    <x v="187"/>
    <n v="123"/>
    <n v="732"/>
    <d v="2017-12-12T00:00:00"/>
    <d v="2020-09-30T00:00:00"/>
    <m/>
    <m/>
    <m/>
    <m/>
    <m/>
    <m/>
    <m/>
    <m/>
    <m/>
    <m/>
    <x v="0"/>
    <m/>
    <m/>
    <m/>
    <m/>
    <m/>
    <m/>
    <n v="20"/>
    <n v="40"/>
    <m/>
    <m/>
    <m/>
    <m/>
    <m/>
    <m/>
    <m/>
    <m/>
    <m/>
    <m/>
    <m/>
    <m/>
    <m/>
    <m/>
    <n v="0"/>
    <n v="0"/>
    <n v="0"/>
    <n v="0"/>
    <n v="0"/>
    <n v="0"/>
    <n v="0"/>
    <n v="1"/>
    <n v="732"/>
    <n v="3"/>
    <n v="3"/>
    <n v="0"/>
    <n v="0"/>
    <n v="0"/>
    <n v="122"/>
    <n v="122"/>
    <n v="1"/>
    <n v="60"/>
    <n v="0"/>
    <n v="60"/>
    <n v="8.1967213114754092E-2"/>
    <n v="0.91803278688524592"/>
    <n v="8.1967213114754092E-2"/>
    <n v="0"/>
    <n v="0"/>
    <n v="0"/>
    <x v="0"/>
    <s v="Village"/>
    <x v="0"/>
    <n v="0"/>
    <n v="0"/>
    <n v="0"/>
    <n v="0"/>
    <x v="0"/>
    <m/>
  </r>
  <r>
    <x v="1"/>
    <x v="10"/>
    <x v="10"/>
    <s v="WV' Korea"/>
    <x v="2"/>
    <x v="14"/>
    <x v="0"/>
    <x v="188"/>
    <n v="55"/>
    <n v="332"/>
    <d v="2017-12-12T00:00:00"/>
    <d v="2020-09-30T00:00:00"/>
    <m/>
    <m/>
    <m/>
    <m/>
    <m/>
    <m/>
    <m/>
    <m/>
    <m/>
    <m/>
    <x v="0"/>
    <n v="2"/>
    <m/>
    <m/>
    <m/>
    <m/>
    <m/>
    <m/>
    <m/>
    <m/>
    <m/>
    <m/>
    <m/>
    <m/>
    <m/>
    <m/>
    <m/>
    <m/>
    <m/>
    <m/>
    <m/>
    <m/>
    <m/>
    <n v="0"/>
    <n v="0"/>
    <n v="0"/>
    <n v="0"/>
    <n v="0"/>
    <n v="0"/>
    <n v="0"/>
    <n v="1"/>
    <n v="332"/>
    <n v="1"/>
    <n v="1"/>
    <n v="0"/>
    <n v="0"/>
    <n v="100"/>
    <n v="55"/>
    <n v="55"/>
    <n v="1"/>
    <n v="0"/>
    <n v="0"/>
    <n v="0"/>
    <n v="0"/>
    <n v="1"/>
    <n v="0"/>
    <n v="0"/>
    <n v="0"/>
    <n v="0"/>
    <x v="0"/>
    <s v="Village"/>
    <x v="0"/>
    <n v="0"/>
    <n v="0"/>
    <n v="0"/>
    <n v="0"/>
    <x v="0"/>
    <m/>
  </r>
  <r>
    <x v="1"/>
    <x v="10"/>
    <x v="10"/>
    <s v="WV' Korea"/>
    <x v="2"/>
    <x v="14"/>
    <x v="0"/>
    <x v="189"/>
    <n v="114"/>
    <n v="350"/>
    <d v="2019-01-11T00:00:00"/>
    <d v="2020-09-30T00:00:00"/>
    <m/>
    <m/>
    <m/>
    <m/>
    <m/>
    <m/>
    <m/>
    <m/>
    <m/>
    <m/>
    <x v="0"/>
    <m/>
    <m/>
    <m/>
    <m/>
    <m/>
    <m/>
    <m/>
    <m/>
    <m/>
    <m/>
    <m/>
    <m/>
    <m/>
    <m/>
    <m/>
    <m/>
    <m/>
    <m/>
    <m/>
    <m/>
    <m/>
    <m/>
    <n v="0"/>
    <n v="0"/>
    <n v="0"/>
    <n v="0"/>
    <n v="0"/>
    <n v="0"/>
    <n v="0"/>
    <n v="1"/>
    <n v="350"/>
    <n v="1"/>
    <n v="1"/>
    <n v="0"/>
    <n v="0"/>
    <n v="0"/>
    <n v="58"/>
    <n v="58"/>
    <n v="1"/>
    <n v="0"/>
    <n v="0"/>
    <n v="0"/>
    <n v="0"/>
    <n v="1"/>
    <n v="0"/>
    <n v="0"/>
    <n v="0"/>
    <n v="0"/>
    <x v="0"/>
    <s v="Village"/>
    <x v="0"/>
    <n v="0"/>
    <n v="0"/>
    <n v="0"/>
    <n v="0"/>
    <x v="0"/>
    <m/>
  </r>
  <r>
    <x v="1"/>
    <x v="10"/>
    <x v="10"/>
    <s v="WV' Korea"/>
    <x v="2"/>
    <x v="14"/>
    <x v="0"/>
    <x v="190"/>
    <n v="47"/>
    <n v="137"/>
    <d v="2019-01-11T00:00:00"/>
    <d v="2020-09-30T00:00:00"/>
    <m/>
    <m/>
    <m/>
    <m/>
    <m/>
    <m/>
    <m/>
    <m/>
    <m/>
    <m/>
    <x v="0"/>
    <m/>
    <m/>
    <m/>
    <m/>
    <m/>
    <m/>
    <m/>
    <m/>
    <m/>
    <m/>
    <m/>
    <m/>
    <m/>
    <m/>
    <m/>
    <m/>
    <m/>
    <m/>
    <m/>
    <m/>
    <m/>
    <m/>
    <n v="0"/>
    <n v="0"/>
    <n v="0"/>
    <n v="0"/>
    <n v="0"/>
    <n v="0"/>
    <n v="0"/>
    <n v="1"/>
    <n v="137"/>
    <n v="1"/>
    <n v="1"/>
    <n v="0"/>
    <n v="0"/>
    <n v="0"/>
    <n v="23"/>
    <n v="23"/>
    <n v="1"/>
    <n v="0"/>
    <n v="0"/>
    <n v="0"/>
    <n v="0"/>
    <n v="1"/>
    <n v="0"/>
    <n v="0"/>
    <n v="0"/>
    <n v="0"/>
    <x v="0"/>
    <s v="Village"/>
    <x v="0"/>
    <n v="0"/>
    <n v="0"/>
    <n v="0"/>
    <n v="0"/>
    <x v="0"/>
    <m/>
  </r>
  <r>
    <x v="1"/>
    <x v="10"/>
    <x v="10"/>
    <s v="WV' Korea"/>
    <x v="2"/>
    <x v="14"/>
    <x v="0"/>
    <x v="191"/>
    <n v="138"/>
    <n v="578"/>
    <d v="2019-01-11T00:00:00"/>
    <d v="2020-09-30T00:00:00"/>
    <m/>
    <m/>
    <n v="1"/>
    <m/>
    <m/>
    <m/>
    <m/>
    <m/>
    <m/>
    <m/>
    <x v="0"/>
    <m/>
    <m/>
    <m/>
    <m/>
    <m/>
    <m/>
    <m/>
    <m/>
    <m/>
    <m/>
    <m/>
    <m/>
    <m/>
    <m/>
    <m/>
    <m/>
    <m/>
    <m/>
    <m/>
    <m/>
    <m/>
    <m/>
    <n v="1"/>
    <n v="578"/>
    <n v="0"/>
    <n v="0"/>
    <n v="1"/>
    <n v="578"/>
    <n v="2.3119999999999998"/>
    <n v="0"/>
    <n v="0"/>
    <n v="0"/>
    <n v="2"/>
    <n v="0"/>
    <n v="0"/>
    <n v="0"/>
    <n v="96"/>
    <n v="96"/>
    <n v="1"/>
    <n v="0"/>
    <n v="0"/>
    <n v="0"/>
    <n v="0"/>
    <n v="1"/>
    <n v="0"/>
    <n v="0"/>
    <n v="0"/>
    <n v="0"/>
    <x v="0"/>
    <s v="Village"/>
    <x v="0"/>
    <n v="0"/>
    <n v="0"/>
    <n v="0"/>
    <n v="0"/>
    <x v="0"/>
    <m/>
  </r>
  <r>
    <x v="1"/>
    <x v="10"/>
    <x v="10"/>
    <s v="WV' Korea"/>
    <x v="2"/>
    <x v="14"/>
    <x v="0"/>
    <x v="192"/>
    <n v="37"/>
    <n v="68"/>
    <d v="2019-01-11T00:00:00"/>
    <d v="2020-09-30T00:00:00"/>
    <m/>
    <m/>
    <n v="1"/>
    <m/>
    <m/>
    <m/>
    <m/>
    <m/>
    <m/>
    <m/>
    <x v="0"/>
    <m/>
    <m/>
    <m/>
    <m/>
    <m/>
    <m/>
    <m/>
    <m/>
    <m/>
    <m/>
    <m/>
    <m/>
    <m/>
    <m/>
    <m/>
    <m/>
    <m/>
    <m/>
    <m/>
    <m/>
    <m/>
    <m/>
    <n v="1"/>
    <n v="68"/>
    <n v="0"/>
    <n v="0"/>
    <n v="1"/>
    <n v="68"/>
    <n v="0.27200000000000002"/>
    <n v="0"/>
    <n v="0"/>
    <n v="0.72799999999999998"/>
    <n v="1"/>
    <n v="0"/>
    <n v="0"/>
    <n v="0"/>
    <n v="11"/>
    <n v="11"/>
    <n v="1"/>
    <n v="0"/>
    <n v="0"/>
    <n v="0"/>
    <n v="0"/>
    <n v="1"/>
    <n v="0"/>
    <n v="0"/>
    <n v="0"/>
    <n v="0"/>
    <x v="0"/>
    <s v="Village"/>
    <x v="0"/>
    <n v="0"/>
    <n v="0"/>
    <n v="0"/>
    <n v="0"/>
    <x v="0"/>
    <m/>
  </r>
  <r>
    <x v="1"/>
    <x v="10"/>
    <x v="10"/>
    <s v="WV' Korea"/>
    <x v="2"/>
    <x v="14"/>
    <x v="0"/>
    <x v="193"/>
    <n v="55"/>
    <n v="167"/>
    <d v="2019-01-11T00:00:00"/>
    <d v="2020-09-30T00:00:00"/>
    <m/>
    <m/>
    <m/>
    <m/>
    <m/>
    <m/>
    <m/>
    <m/>
    <m/>
    <m/>
    <x v="0"/>
    <m/>
    <m/>
    <m/>
    <m/>
    <m/>
    <m/>
    <m/>
    <m/>
    <m/>
    <m/>
    <m/>
    <m/>
    <m/>
    <m/>
    <m/>
    <m/>
    <m/>
    <m/>
    <m/>
    <m/>
    <m/>
    <m/>
    <n v="0"/>
    <n v="0"/>
    <n v="0"/>
    <n v="0"/>
    <n v="0"/>
    <n v="0"/>
    <n v="0"/>
    <n v="1"/>
    <n v="167"/>
    <n v="1"/>
    <n v="1"/>
    <n v="0"/>
    <n v="0"/>
    <n v="0"/>
    <n v="28"/>
    <n v="28"/>
    <n v="1"/>
    <n v="0"/>
    <n v="0"/>
    <n v="0"/>
    <n v="0"/>
    <n v="1"/>
    <n v="0"/>
    <n v="0"/>
    <n v="0"/>
    <n v="0"/>
    <x v="0"/>
    <s v="Village"/>
    <x v="0"/>
    <n v="0"/>
    <n v="0"/>
    <n v="0"/>
    <n v="0"/>
    <x v="0"/>
    <m/>
  </r>
  <r>
    <x v="1"/>
    <x v="10"/>
    <x v="10"/>
    <s v="WV' Korea"/>
    <x v="2"/>
    <x v="14"/>
    <x v="0"/>
    <x v="194"/>
    <n v="46"/>
    <n v="126"/>
    <d v="2019-01-11T00:00:00"/>
    <d v="2020-09-30T00:00:00"/>
    <m/>
    <m/>
    <m/>
    <m/>
    <m/>
    <m/>
    <m/>
    <m/>
    <m/>
    <m/>
    <x v="0"/>
    <m/>
    <m/>
    <m/>
    <m/>
    <m/>
    <m/>
    <m/>
    <m/>
    <m/>
    <m/>
    <m/>
    <m/>
    <m/>
    <m/>
    <m/>
    <m/>
    <m/>
    <m/>
    <m/>
    <m/>
    <m/>
    <m/>
    <n v="0"/>
    <n v="0"/>
    <n v="0"/>
    <n v="0"/>
    <n v="0"/>
    <n v="0"/>
    <n v="0"/>
    <n v="1"/>
    <n v="126"/>
    <n v="1"/>
    <n v="1"/>
    <n v="0"/>
    <n v="0"/>
    <n v="0"/>
    <n v="21"/>
    <n v="21"/>
    <n v="1"/>
    <n v="0"/>
    <n v="0"/>
    <n v="0"/>
    <n v="0"/>
    <n v="1"/>
    <n v="0"/>
    <n v="0"/>
    <n v="0"/>
    <n v="0"/>
    <x v="0"/>
    <s v="Village"/>
    <x v="0"/>
    <n v="0"/>
    <n v="0"/>
    <n v="0"/>
    <n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HRP_2"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7:H12" firstHeaderRow="0" firstDataRow="1" firstDataCol="1" rowPageCount="3" colPageCount="1"/>
  <pivotFields count="88">
    <pivotField axis="axisPage" subtotalTop="0" showAll="0">
      <items count="17">
        <item m="1" x="14"/>
        <item m="1" x="7"/>
        <item m="1" x="2"/>
        <item m="1" x="4"/>
        <item m="1" x="15"/>
        <item m="1" x="3"/>
        <item m="1" x="13"/>
        <item m="1" x="9"/>
        <item m="1" x="11"/>
        <item m="1" x="12"/>
        <item m="1" x="5"/>
        <item m="1" x="6"/>
        <item m="1" x="8"/>
        <item m="1" x="10"/>
        <item x="0"/>
        <item x="1"/>
        <item t="default"/>
      </items>
    </pivotField>
    <pivotField showAll="0" defaultSubtotal="0"/>
    <pivotField showAll="0" defaultSubtotal="0"/>
    <pivotField subtotalTop="0" showAll="0"/>
    <pivotField axis="axisRow" subtotalTop="0" showAll="0">
      <items count="8">
        <item x="2"/>
        <item m="1" x="5"/>
        <item x="0"/>
        <item m="1" x="4"/>
        <item x="1"/>
        <item m="1" x="6"/>
        <item x="3"/>
        <item t="default"/>
      </items>
    </pivotField>
    <pivotField subtotalTop="0" showAll="0"/>
    <pivotField axis="axisPage" multipleItemSelectionAllowed="1" showAll="0" defaultSubtotal="0">
      <items count="11">
        <item h="1" m="1" x="4"/>
        <item h="1" m="1" x="9"/>
        <item h="1" m="1" x="8"/>
        <item x="0"/>
        <item h="1" m="1" x="10"/>
        <item h="1" m="1" x="3"/>
        <item m="1" x="7"/>
        <item m="1" x="2"/>
        <item h="1" m="1" x="5"/>
        <item m="1" x="6"/>
        <item h="1" m="1" x="1"/>
      </items>
    </pivotField>
    <pivotField showAll="0"/>
    <pivotField subtotalTop="0" showAll="0"/>
    <pivotField dataField="1" subtotalTop="0" showAll="0"/>
    <pivotField showAll="0" defaultSubtotal="0"/>
    <pivotField showAll="0" defaultSubtotal="0"/>
    <pivotField dataField="1"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dataField="1" showAll="0" defaultSubtotal="0"/>
    <pivotField subtotalTop="0" showAll="0"/>
    <pivotField subtotalTop="0" showAll="0"/>
    <pivotField showAll="0" defaultSubtotal="0"/>
    <pivotField subtotalTop="0" showAll="0"/>
    <pivotField numFmtId="1" subtotalTop="0" showAll="0"/>
    <pivotField numFmtId="9" showAll="0"/>
    <pivotField dataField="1" numFmtId="1" showAll="0" defaultSubtotal="0"/>
    <pivotField showAll="0" defaultSubtotal="0"/>
    <pivotField subtotalTop="0" showAll="0"/>
    <pivotField subtotalTop="0" showAll="0"/>
    <pivotField subtotalTop="0" showAll="0"/>
    <pivotField numFmtId="1" showAll="0"/>
    <pivotField numFmtId="1" showAll="0"/>
    <pivotField dataField="1" numFmtId="1" showAll="0" defaultSubtotal="0"/>
    <pivotField subtotalTop="0" showAll="0"/>
    <pivotField subtotalTop="0" showAll="0"/>
    <pivotField subtotalTop="0" showAll="0"/>
    <pivotField numFmtId="1" showAll="0"/>
    <pivotField numFmtId="1" showAll="0"/>
    <pivotField dataField="1" numFmtId="164"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1"/>
        <item m="1" x="2"/>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4"/>
  </rowFields>
  <rowItems count="5">
    <i>
      <x/>
    </i>
    <i>
      <x v="2"/>
    </i>
    <i>
      <x v="4"/>
    </i>
    <i>
      <x v="6"/>
    </i>
    <i t="grand">
      <x/>
    </i>
  </rowItems>
  <colFields count="1">
    <field x="-2"/>
  </colFields>
  <colItems count="6">
    <i>
      <x/>
    </i>
    <i i="1">
      <x v="1"/>
    </i>
    <i i="2">
      <x v="2"/>
    </i>
    <i i="3">
      <x v="3"/>
    </i>
    <i i="4">
      <x v="4"/>
    </i>
    <i i="5">
      <x v="5"/>
    </i>
  </colItems>
  <pageFields count="3">
    <pageField fld="0" item="15" hier="-1"/>
    <pageField fld="78" item="0" hier="-1"/>
    <pageField fld="6" hier="-1"/>
  </pageFields>
  <dataFields count="6">
    <dataField name="Total Population reached" fld="9" baseField="2" baseItem="0" numFmtId="164"/>
    <dataField name=" HRP1" fld="50" baseField="4" baseItem="0" numFmtId="164"/>
    <dataField name=" HRP2" fld="57" baseField="4" baseItem="0" numFmtId="164"/>
    <dataField name=" HRP3" fld="64" baseField="4" baseItem="0" numFmtId="164"/>
    <dataField name=" # People received regular supply of hygiene items" fld="70" baseField="0" baseItem="0" numFmtId="164"/>
    <dataField name="  #of students in school" fld="12" baseField="0" baseItem="0" numFmtId="164"/>
  </dataFields>
  <formats count="42">
    <format dxfId="456">
      <pivotArea field="4" type="button" dataOnly="0" labelOnly="1" outline="0" axis="axisRow" fieldPosition="0"/>
    </format>
    <format dxfId="455">
      <pivotArea type="all" dataOnly="0" outline="0" fieldPosition="0"/>
    </format>
    <format dxfId="454">
      <pivotArea outline="0" fieldPosition="0">
        <references count="1">
          <reference field="4294967294" count="1">
            <x v="0"/>
          </reference>
        </references>
      </pivotArea>
    </format>
    <format dxfId="453">
      <pivotArea dataOnly="0" labelOnly="1" outline="0" fieldPosition="0">
        <references count="1">
          <reference field="4294967294" count="1">
            <x v="0"/>
          </reference>
        </references>
      </pivotArea>
    </format>
    <format dxfId="452">
      <pivotArea type="all" dataOnly="0" outline="0" fieldPosition="0"/>
    </format>
    <format dxfId="451">
      <pivotArea outline="0" collapsedLevelsAreSubtotals="1" fieldPosition="0"/>
    </format>
    <format dxfId="450">
      <pivotArea field="4" type="button" dataOnly="0" labelOnly="1" outline="0" axis="axisRow" fieldPosition="0"/>
    </format>
    <format dxfId="449">
      <pivotArea dataOnly="0" labelOnly="1" fieldPosition="0">
        <references count="1">
          <reference field="4" count="1">
            <x v="1"/>
          </reference>
        </references>
      </pivotArea>
    </format>
    <format dxfId="448">
      <pivotArea dataOnly="0" labelOnly="1" grandRow="1" outline="0" fieldPosition="0"/>
    </format>
    <format dxfId="447">
      <pivotArea dataOnly="0" labelOnly="1" outline="0" fieldPosition="0">
        <references count="1">
          <reference field="4294967294" count="1">
            <x v="0"/>
          </reference>
        </references>
      </pivotArea>
    </format>
    <format dxfId="446">
      <pivotArea type="all" dataOnly="0" outline="0" fieldPosition="0"/>
    </format>
    <format dxfId="445">
      <pivotArea outline="0" collapsedLevelsAreSubtotals="1" fieldPosition="0"/>
    </format>
    <format dxfId="444">
      <pivotArea field="4" type="button" dataOnly="0" labelOnly="1" outline="0" axis="axisRow" fieldPosition="0"/>
    </format>
    <format dxfId="443">
      <pivotArea dataOnly="0" labelOnly="1" fieldPosition="0">
        <references count="1">
          <reference field="4" count="1">
            <x v="1"/>
          </reference>
        </references>
      </pivotArea>
    </format>
    <format dxfId="442">
      <pivotArea dataOnly="0" labelOnly="1" grandRow="1" outline="0" fieldPosition="0"/>
    </format>
    <format dxfId="441">
      <pivotArea dataOnly="0" labelOnly="1" outline="0" fieldPosition="0">
        <references count="1">
          <reference field="4294967294" count="1">
            <x v="0"/>
          </reference>
        </references>
      </pivotArea>
    </format>
    <format dxfId="440">
      <pivotArea field="0" type="button" dataOnly="0" labelOnly="1" outline="0" axis="axisPage" fieldPosition="0"/>
    </format>
    <format dxfId="439">
      <pivotArea field="0" type="button" dataOnly="0" labelOnly="1" outline="0" axis="axisPage" fieldPosition="0"/>
    </format>
    <format dxfId="438">
      <pivotArea outline="0" collapsedLevelsAreSubtotals="1" fieldPosition="0">
        <references count="1">
          <reference field="4294967294" count="3" selected="0">
            <x v="1"/>
            <x v="2"/>
            <x v="3"/>
          </reference>
        </references>
      </pivotArea>
    </format>
    <format dxfId="437">
      <pivotArea dataOnly="0" labelOnly="1" outline="0" fieldPosition="0">
        <references count="1">
          <reference field="4294967294" count="1">
            <x v="0"/>
          </reference>
        </references>
      </pivotArea>
    </format>
    <format dxfId="436">
      <pivotArea outline="0" collapsedLevelsAreSubtotals="1" fieldPosition="0">
        <references count="1">
          <reference field="4294967294" count="3" selected="0">
            <x v="1"/>
            <x v="2"/>
            <x v="3"/>
          </reference>
        </references>
      </pivotArea>
    </format>
    <format dxfId="435">
      <pivotArea dataOnly="0" labelOnly="1" outline="0" fieldPosition="0">
        <references count="1">
          <reference field="4294967294" count="3">
            <x v="1"/>
            <x v="2"/>
            <x v="3"/>
          </reference>
        </references>
      </pivotArea>
    </format>
    <format dxfId="434">
      <pivotArea outline="0" collapsedLevelsAreSubtotals="1" fieldPosition="0">
        <references count="1">
          <reference field="4294967294" count="1" selected="0">
            <x v="0"/>
          </reference>
        </references>
      </pivotArea>
    </format>
    <format dxfId="433">
      <pivotArea outline="0" collapsedLevelsAreSubtotals="1" fieldPosition="0">
        <references count="1">
          <reference field="4294967294" count="3" selected="0">
            <x v="1"/>
            <x v="2"/>
            <x v="3"/>
          </reference>
        </references>
      </pivotArea>
    </format>
    <format dxfId="432">
      <pivotArea dataOnly="0" labelOnly="1" outline="0" fieldPosition="0">
        <references count="1">
          <reference field="4294967294" count="4">
            <x v="0"/>
            <x v="1"/>
            <x v="2"/>
            <x v="3"/>
          </reference>
        </references>
      </pivotArea>
    </format>
    <format dxfId="431">
      <pivotArea dataOnly="0" labelOnly="1" outline="0" fieldPosition="0">
        <references count="1">
          <reference field="4294967294" count="1">
            <x v="3"/>
          </reference>
        </references>
      </pivotArea>
    </format>
    <format dxfId="430">
      <pivotArea dataOnly="0" labelOnly="1" outline="0" fieldPosition="0">
        <references count="1">
          <reference field="4294967294" count="1">
            <x v="2"/>
          </reference>
        </references>
      </pivotArea>
    </format>
    <format dxfId="429">
      <pivotArea outline="0" collapsedLevelsAreSubtotals="1" fieldPosition="0">
        <references count="1">
          <reference field="4294967294" count="1" selected="0">
            <x v="2"/>
          </reference>
        </references>
      </pivotArea>
    </format>
    <format dxfId="428">
      <pivotArea dataOnly="0" labelOnly="1" outline="0" fieldPosition="0">
        <references count="1">
          <reference field="4294967294" count="1">
            <x v="2"/>
          </reference>
        </references>
      </pivotArea>
    </format>
    <format dxfId="427">
      <pivotArea outline="0" collapsedLevelsAreSubtotals="1" fieldPosition="0">
        <references count="1">
          <reference field="4294967294" count="1" selected="0">
            <x v="3"/>
          </reference>
        </references>
      </pivotArea>
    </format>
    <format dxfId="426">
      <pivotArea dataOnly="0" labelOnly="1" outline="0" fieldPosition="0">
        <references count="1">
          <reference field="4294967294" count="1">
            <x v="3"/>
          </reference>
        </references>
      </pivotArea>
    </format>
    <format dxfId="425">
      <pivotArea outline="0" collapsedLevelsAreSubtotals="1" fieldPosition="0">
        <references count="1">
          <reference field="4294967294" count="1" selected="0">
            <x v="5"/>
          </reference>
        </references>
      </pivotArea>
    </format>
    <format dxfId="424">
      <pivotArea dataOnly="0" labelOnly="1" outline="0" fieldPosition="0">
        <references count="1">
          <reference field="4294967294" count="1">
            <x v="5"/>
          </reference>
        </references>
      </pivotArea>
    </format>
    <format dxfId="423">
      <pivotArea dataOnly="0" labelOnly="1" outline="0" fieldPosition="0">
        <references count="1">
          <reference field="4294967294" count="1">
            <x v="5"/>
          </reference>
        </references>
      </pivotArea>
    </format>
    <format dxfId="422">
      <pivotArea dataOnly="0" labelOnly="1" outline="0" fieldPosition="0">
        <references count="1">
          <reference field="4294967294" count="1">
            <x v="4"/>
          </reference>
        </references>
      </pivotArea>
    </format>
    <format dxfId="421">
      <pivotArea dataOnly="0" labelOnly="1" outline="0" fieldPosition="0">
        <references count="1">
          <reference field="4294967294" count="1">
            <x v="5"/>
          </reference>
        </references>
      </pivotArea>
    </format>
    <format dxfId="420">
      <pivotArea dataOnly="0" labelOnly="1" outline="0" fieldPosition="0">
        <references count="1">
          <reference field="4294967294" count="1">
            <x v="4"/>
          </reference>
        </references>
      </pivotArea>
    </format>
    <format dxfId="419">
      <pivotArea collapsedLevelsAreSubtotals="1" fieldPosition="0">
        <references count="2">
          <reference field="4294967294" count="1" selected="0">
            <x v="4"/>
          </reference>
          <reference field="4" count="1">
            <x v="4"/>
          </reference>
        </references>
      </pivotArea>
    </format>
    <format dxfId="418">
      <pivotArea outline="0" collapsedLevelsAreSubtotals="1" fieldPosition="0">
        <references count="1">
          <reference field="4294967294" count="1" selected="0">
            <x v="4"/>
          </reference>
        </references>
      </pivotArea>
    </format>
    <format dxfId="417">
      <pivotArea outline="0" collapsedLevelsAreSubtotals="1" fieldPosition="0">
        <references count="1">
          <reference field="4294967294" count="1" selected="0">
            <x v="5"/>
          </reference>
        </references>
      </pivotArea>
    </format>
    <format dxfId="416">
      <pivotArea collapsedLevelsAreSubtotals="1" fieldPosition="0">
        <references count="2">
          <reference field="4294967294" count="1" selected="0">
            <x v="4"/>
          </reference>
          <reference field="4" count="1">
            <x v="5"/>
          </reference>
        </references>
      </pivotArea>
    </format>
    <format dxfId="415">
      <pivotArea field="4" grandRow="1" outline="0" collapsedLevelsAreSubtotals="1" axis="axisRow" fieldPosition="0">
        <references count="1">
          <reference field="4294967294" count="1" selected="0">
            <x v="4"/>
          </reference>
        </references>
      </pivotArea>
    </format>
  </formats>
  <pivotTableStyleInfo name="PivotStyleLight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800-00000E000000}" name="PivotTable1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8" rowHeaderCaption="State">
  <location ref="C253:E254" firstHeaderRow="0" firstDataRow="1" firstDataCol="0" rowPageCount="2" colPageCount="1"/>
  <pivotFields count="88">
    <pivotField axis="axisPage" subtotalTop="0" showAll="0">
      <items count="17">
        <item m="1" x="14"/>
        <item m="1" x="4"/>
        <item m="1" x="15"/>
        <item m="1" x="7"/>
        <item m="1" x="3"/>
        <item m="1" x="2"/>
        <item m="1" x="13"/>
        <item m="1" x="9"/>
        <item m="1" x="11"/>
        <item m="1" x="12"/>
        <item m="1" x="5"/>
        <item m="1" x="6"/>
        <item m="1" x="8"/>
        <item m="1" x="10"/>
        <item x="0"/>
        <item x="1"/>
        <item t="default"/>
      </items>
    </pivotField>
    <pivotField showAll="0" defaultSubtotal="0"/>
    <pivotField showAll="0" defaultSubtotal="0"/>
    <pivotField subtotalTop="0" showAll="0"/>
    <pivotField subtotalTop="0" multipleItemSelectionAllowed="1" showAll="0">
      <items count="8">
        <item x="2"/>
        <item m="1" x="5"/>
        <item x="0"/>
        <item h="1" m="1" x="4"/>
        <item x="1"/>
        <item m="1" x="6"/>
        <item h="1" x="3"/>
        <item t="default"/>
      </items>
    </pivotField>
    <pivotField subtotalTop="0" showAll="0"/>
    <pivotField showAll="0" defaultSubtotal="0"/>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2">
    <pageField fld="0" item="15" hier="-1"/>
    <pageField fld="78" hier="-1"/>
  </pageFields>
  <dataFields count="3">
    <dataField name="Sum of #_of_functional_handwashing_facilities_at_school" fld="36" baseField="0" baseItem="0"/>
    <dataField name="Sum of #_of_Functioning_latrines_in_school" fld="23" baseField="0" baseItem="0"/>
    <dataField name="Sum of #_Functioning_water_points_at_school" fld="19" baseField="0" baseItem="0"/>
  </dataFields>
  <formats count="17">
    <format dxfId="186">
      <pivotArea type="all" dataOnly="0" outline="0" fieldPosition="0"/>
    </format>
    <format dxfId="185">
      <pivotArea outline="0" collapsedLevelsAreSubtotals="1" fieldPosition="0"/>
    </format>
    <format dxfId="184">
      <pivotArea field="4" type="button" dataOnly="0" labelOnly="1" outline="0"/>
    </format>
    <format dxfId="183">
      <pivotArea dataOnly="0" labelOnly="1" grandRow="1" outline="0" fieldPosition="0"/>
    </format>
    <format dxfId="182">
      <pivotArea type="all" dataOnly="0" outline="0" fieldPosition="0"/>
    </format>
    <format dxfId="181">
      <pivotArea outline="0" collapsedLevelsAreSubtotals="1" fieldPosition="0"/>
    </format>
    <format dxfId="180">
      <pivotArea type="origin" dataOnly="0" labelOnly="1" outline="0" fieldPosition="0"/>
    </format>
    <format dxfId="179">
      <pivotArea field="78" type="button" dataOnly="0" labelOnly="1" outline="0" axis="axisPage" fieldPosition="1"/>
    </format>
    <format dxfId="178">
      <pivotArea type="topRight" dataOnly="0" labelOnly="1" outline="0" fieldPosition="0"/>
    </format>
    <format dxfId="177">
      <pivotArea dataOnly="0" labelOnly="1" fieldPosition="0">
        <references count="1">
          <reference field="78" count="0"/>
        </references>
      </pivotArea>
    </format>
    <format dxfId="176">
      <pivotArea type="all" dataOnly="0" outline="0" fieldPosition="0"/>
    </format>
    <format dxfId="175">
      <pivotArea outline="0" collapsedLevelsAreSubtotals="1" fieldPosition="0"/>
    </format>
    <format dxfId="174">
      <pivotArea field="4" type="button" dataOnly="0" labelOnly="1" outline="0"/>
    </format>
    <format dxfId="173">
      <pivotArea outline="0" collapsedLevelsAreSubtotals="1" fieldPosition="0"/>
    </format>
    <format dxfId="172">
      <pivotArea field="4" type="button" dataOnly="0" labelOnly="1" outline="0"/>
    </format>
    <format dxfId="171">
      <pivotArea field="4" type="button" dataOnly="0" labelOnly="1" outline="0"/>
    </format>
    <format dxfId="170">
      <pivotArea field="4" type="button" dataOnly="0" labelOnly="1" outline="0"/>
    </format>
  </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800-000012000000}" name="R_Geo"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38">
  <location ref="H189:I191" firstHeaderRow="1" firstDataRow="2" firstDataCol="1" rowPageCount="2" colPageCount="1"/>
  <pivotFields count="88">
    <pivotField axis="axisPage" subtotalTop="0" showAll="0">
      <items count="17">
        <item m="1" x="14"/>
        <item m="1" x="4"/>
        <item m="1" x="15"/>
        <item m="1" x="7"/>
        <item m="1" x="3"/>
        <item m="1" x="2"/>
        <item m="1" x="13"/>
        <item m="1" x="9"/>
        <item m="1" x="11"/>
        <item m="1" x="12"/>
        <item m="1" x="5"/>
        <item m="1" x="6"/>
        <item m="1" x="8"/>
        <item m="1" x="10"/>
        <item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subtotalTop="0" showAll="0"/>
    <pivotField axis="axisRow" showAll="0" defaultSubtotal="0">
      <items count="11">
        <item m="1" x="4"/>
        <item m="1" x="9"/>
        <item m="1" x="8"/>
        <item m="1" x="3"/>
        <item m="1" x="2"/>
        <item x="0"/>
        <item m="1" x="7"/>
        <item m="1" x="10"/>
        <item m="1" x="5"/>
        <item m="1" x="6"/>
        <item m="1" x="1"/>
      </items>
    </pivotField>
    <pivotField dataField="1"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Col" subtotalTop="0" showAll="0">
      <items count="5">
        <item x="0"/>
        <item n="Gap"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
  </rowFields>
  <rowItems count="1">
    <i>
      <x v="5"/>
    </i>
  </rowItems>
  <colFields count="1">
    <field x="78"/>
  </colFields>
  <colItems count="1">
    <i>
      <x/>
    </i>
  </colItems>
  <pageFields count="2">
    <pageField fld="0" item="15" hier="-1"/>
    <pageField fld="4" hier="-1"/>
  </pageFields>
  <dataFields count="1">
    <dataField name="Count of Village  Name" fld="7" subtotal="count" baseField="6" baseItem="5"/>
  </dataFields>
  <formats count="18">
    <format dxfId="204">
      <pivotArea type="all" dataOnly="0" outline="0" fieldPosition="0"/>
    </format>
    <format dxfId="203">
      <pivotArea outline="0" collapsedLevelsAreSubtotals="1" fieldPosition="0"/>
    </format>
    <format dxfId="202">
      <pivotArea field="4" type="button" dataOnly="0" labelOnly="1" outline="0" axis="axisPage" fieldPosition="1"/>
    </format>
    <format dxfId="201">
      <pivotArea dataOnly="0" labelOnly="1" fieldPosition="0">
        <references count="1">
          <reference field="4" count="0"/>
        </references>
      </pivotArea>
    </format>
    <format dxfId="200">
      <pivotArea dataOnly="0" labelOnly="1" grandRow="1" outline="0" fieldPosition="0"/>
    </format>
    <format dxfId="199">
      <pivotArea type="all" dataOnly="0" outline="0" fieldPosition="0"/>
    </format>
    <format dxfId="198">
      <pivotArea outline="0" collapsedLevelsAreSubtotals="1" fieldPosition="0"/>
    </format>
    <format dxfId="197">
      <pivotArea type="origin" dataOnly="0" labelOnly="1" outline="0" fieldPosition="0"/>
    </format>
    <format dxfId="196">
      <pivotArea field="78" type="button" dataOnly="0" labelOnly="1" outline="0" axis="axisCol" fieldPosition="0"/>
    </format>
    <format dxfId="195">
      <pivotArea type="topRight" dataOnly="0" labelOnly="1" outline="0" fieldPosition="0"/>
    </format>
    <format dxfId="194">
      <pivotArea dataOnly="0" labelOnly="1" fieldPosition="0">
        <references count="1">
          <reference field="78" count="0"/>
        </references>
      </pivotArea>
    </format>
    <format dxfId="193">
      <pivotArea type="all" dataOnly="0" outline="0" fieldPosition="0"/>
    </format>
    <format dxfId="192">
      <pivotArea outline="0" collapsedLevelsAreSubtotals="1" fieldPosition="0"/>
    </format>
    <format dxfId="191">
      <pivotArea dataOnly="0" labelOnly="1" fieldPosition="0">
        <references count="1">
          <reference field="78" count="0"/>
        </references>
      </pivotArea>
    </format>
    <format dxfId="190">
      <pivotArea field="4" type="button" dataOnly="0" labelOnly="1" outline="0" axis="axisPage" fieldPosition="1"/>
    </format>
    <format dxfId="189">
      <pivotArea dataOnly="0" labelOnly="1" outline="0" fieldPosition="0">
        <references count="2">
          <reference field="0" count="1" selected="0">
            <x v="7"/>
          </reference>
          <reference field="4" count="0"/>
        </references>
      </pivotArea>
    </format>
    <format dxfId="188">
      <pivotArea dataOnly="0" labelOnly="1" outline="0" fieldPosition="0">
        <references count="2">
          <reference field="0" count="1" selected="0">
            <x v="8"/>
          </reference>
          <reference field="4" count="0"/>
        </references>
      </pivotArea>
    </format>
    <format dxfId="187">
      <pivotArea dataOnly="0" labelOnly="1" outline="0" fieldPosition="0">
        <references count="2">
          <reference field="0" count="1" selected="0">
            <x v="9"/>
          </reference>
          <reference field="4" count="0"/>
        </references>
      </pivotArea>
    </format>
  </formats>
  <chartFormats count="15">
    <chartFormat chart="9" format="11" series="1">
      <pivotArea type="data" outline="0" fieldPosition="0">
        <references count="1">
          <reference field="78" count="1" selected="0">
            <x v="0"/>
          </reference>
        </references>
      </pivotArea>
    </chartFormat>
    <chartFormat chart="9" format="12" series="1">
      <pivotArea type="data" outline="0" fieldPosition="0">
        <references count="1">
          <reference field="78" count="1" selected="0">
            <x v="1"/>
          </reference>
        </references>
      </pivotArea>
    </chartFormat>
    <chartFormat chart="16" format="11" series="1">
      <pivotArea type="data" outline="0" fieldPosition="0">
        <references count="1">
          <reference field="78" count="1" selected="0">
            <x v="0"/>
          </reference>
        </references>
      </pivotArea>
    </chartFormat>
    <chartFormat chart="16" format="12" series="1">
      <pivotArea type="data" outline="0" fieldPosition="0">
        <references count="1">
          <reference field="78" count="1" selected="0">
            <x v="1"/>
          </reference>
        </references>
      </pivotArea>
    </chartFormat>
    <chartFormat chart="16" format="13" series="1">
      <pivotArea type="data" outline="0" fieldPosition="0"/>
    </chartFormat>
    <chartFormat chart="9" format="13" series="1">
      <pivotArea type="data" outline="0" fieldPosition="0"/>
    </chartFormat>
    <chartFormat chart="16" format="14" series="1">
      <pivotArea type="data" outline="0" fieldPosition="0">
        <references count="1">
          <reference field="4294967294" count="1" selected="0">
            <x v="0"/>
          </reference>
        </references>
      </pivotArea>
    </chartFormat>
    <chartFormat chart="9" format="14" series="1">
      <pivotArea type="data" outline="0" fieldPosition="0">
        <references count="1">
          <reference field="4294967294" count="1" selected="0">
            <x v="0"/>
          </reference>
        </references>
      </pivotArea>
    </chartFormat>
    <chartFormat chart="16" format="15" series="1">
      <pivotArea type="data" outline="0" fieldPosition="0">
        <references count="2">
          <reference field="4294967294" count="1" selected="0">
            <x v="0"/>
          </reference>
          <reference field="78" count="1" selected="0">
            <x v="0"/>
          </reference>
        </references>
      </pivotArea>
    </chartFormat>
    <chartFormat chart="16" format="16" series="1">
      <pivotArea type="data" outline="0" fieldPosition="0">
        <references count="2">
          <reference field="4294967294" count="1" selected="0">
            <x v="0"/>
          </reference>
          <reference field="78" count="1" selected="0">
            <x v="1"/>
          </reference>
        </references>
      </pivotArea>
    </chartFormat>
    <chartFormat chart="9" format="15" series="1">
      <pivotArea type="data" outline="0" fieldPosition="0">
        <references count="2">
          <reference field="4294967294" count="1" selected="0">
            <x v="0"/>
          </reference>
          <reference field="78" count="1" selected="0">
            <x v="0"/>
          </reference>
        </references>
      </pivotArea>
    </chartFormat>
    <chartFormat chart="9" format="16" series="1">
      <pivotArea type="data" outline="0" fieldPosition="0">
        <references count="2">
          <reference field="4294967294" count="1" selected="0">
            <x v="0"/>
          </reference>
          <reference field="78" count="1" selected="0">
            <x v="1"/>
          </reference>
        </references>
      </pivotArea>
    </chartFormat>
    <chartFormat chart="33" format="19" series="1">
      <pivotArea type="data" outline="0" fieldPosition="0">
        <references count="2">
          <reference field="4294967294" count="1" selected="0">
            <x v="0"/>
          </reference>
          <reference field="78" count="1" selected="0">
            <x v="0"/>
          </reference>
        </references>
      </pivotArea>
    </chartFormat>
    <chartFormat chart="33" format="20" series="1">
      <pivotArea type="data" outline="0" fieldPosition="0">
        <references count="2">
          <reference field="4294967294" count="1" selected="0">
            <x v="0"/>
          </reference>
          <reference field="78" count="1" selected="0">
            <x v="1"/>
          </reference>
        </references>
      </pivotArea>
    </chartFormat>
    <chartFormat chart="33" format="21" series="1">
      <pivotArea type="data" outline="0" fieldPosition="0">
        <references count="1">
          <reference field="4294967294" count="1" selected="0">
            <x v="0"/>
          </reference>
        </references>
      </pivotArea>
    </chartFormat>
  </chartFormats>
  <pivotTableStyleInfo name="PivotStyleMedium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5CA713E-8BC9-4E1C-A536-E9072B8486A9}" name="W_items"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50">
  <location ref="J34:K37" firstHeaderRow="1" firstDataRow="1" firstDataCol="1" rowPageCount="3" colPageCount="1"/>
  <pivotFields count="88">
    <pivotField axis="axisPage" subtotalTop="0" multipleItemSelectionAllowed="1" showAll="0">
      <items count="17">
        <item m="1" x="14"/>
        <item m="1" x="4"/>
        <item h="1" m="1" x="7"/>
        <item h="1" m="1" x="2"/>
        <item m="1" x="15"/>
        <item m="1" x="3"/>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subtotalTop="0" showAll="0"/>
    <pivotField multipleItemSelectionAllowed="1" showAll="0" defaultSubtotal="0"/>
    <pivotField showAll="0"/>
    <pivotField subtotalTop="0" showAll="0"/>
    <pivotField dataField="1"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dataField="1" showAll="0" defaultSubtotal="0"/>
    <pivotField showAll="0"/>
    <pivotField dataField="1"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3">
    <i>
      <x/>
    </i>
    <i i="1">
      <x v="1"/>
    </i>
    <i i="2">
      <x v="2"/>
    </i>
  </rowItems>
  <colItems count="1">
    <i/>
  </colItems>
  <pageFields count="3">
    <pageField fld="0" hier="-1"/>
    <pageField fld="4" hier="-1"/>
    <pageField fld="78" hier="-1"/>
  </pageFields>
  <dataFields count="3">
    <dataField name="Sum of #People access to unimproved water sources" fld="48" baseField="0" baseItem="0"/>
    <dataField name="Sum of # people with equitable and continuous access to sufficient quantity of safe drinking water" fld="46" baseField="0" baseItem="0"/>
    <dataField name="Sum of Total PoP " fld="9" baseField="0" baseItem="0"/>
  </dataFields>
  <formats count="8">
    <format dxfId="212">
      <pivotArea type="all" dataOnly="0" outline="0" fieldPosition="0"/>
    </format>
    <format dxfId="211">
      <pivotArea outline="0" collapsedLevelsAreSubtotals="1" fieldPosition="0"/>
    </format>
    <format dxfId="210">
      <pivotArea type="all" dataOnly="0" outline="0" fieldPosition="0"/>
    </format>
    <format dxfId="209">
      <pivotArea type="all" dataOnly="0" outline="0" fieldPosition="0"/>
    </format>
    <format dxfId="208">
      <pivotArea outline="0" collapsedLevelsAreSubtotals="1" fieldPosition="0"/>
    </format>
    <format dxfId="207">
      <pivotArea field="4" type="button" dataOnly="0" labelOnly="1" outline="0" axis="axisPage" fieldPosition="1"/>
    </format>
    <format dxfId="206">
      <pivotArea dataOnly="0" labelOnly="1" outline="0" fieldPosition="0">
        <references count="1">
          <reference field="4" count="1">
            <x v="1"/>
          </reference>
        </references>
      </pivotArea>
    </format>
    <format dxfId="205">
      <pivotArea outline="0" collapsedLevelsAreSubtotals="1" fieldPosition="0"/>
    </format>
  </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800-00000A000000}" name="latrine_Rak"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B75:C78" firstHeaderRow="1" firstDataRow="2" firstDataCol="1" rowPageCount="3" colPageCount="1"/>
  <pivotFields count="88">
    <pivotField axis="axisPage" subtotalTop="0" multipleItemSelectionAllowed="1" showAll="0">
      <items count="17">
        <item m="1" x="14"/>
        <item m="1" x="4"/>
        <item m="1" x="15"/>
        <item h="1" m="1" x="7"/>
        <item m="1" x="3"/>
        <item h="1" m="1" x="2"/>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subtotalTop="0" showAll="0"/>
    <pivotField axis="axisCol" multipleItemSelectionAllowed="1" showAll="0" defaultSubtotal="0">
      <items count="11">
        <item n="# in active camps (20:1)" m="1" x="4"/>
        <item m="1" x="9"/>
        <item m="1" x="8"/>
        <item h="1" m="1" x="6"/>
        <item m="1" x="3"/>
        <item m="1" x="2"/>
        <item n="# in villages (6:1)" x="0"/>
        <item m="1" x="7"/>
        <item h="1" m="1" x="10"/>
        <item m="1" x="5"/>
        <item h="1" m="1" x="1"/>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dataField="1"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Fields count="1">
    <field x="6"/>
  </colFields>
  <colItems count="1">
    <i>
      <x v="6"/>
    </i>
  </colItems>
  <pageFields count="3">
    <pageField fld="0" hier="-1"/>
    <pageField fld="4" hier="-1"/>
    <pageField fld="78" hier="-1"/>
  </pageFields>
  <dataFields count="2">
    <dataField name="# latrines (target)" fld="59" baseField="0" baseItem="0"/>
    <dataField name="Sum of #_of_sanitary_fly-proof_HH_latrines" fld="21" baseField="0" baseItem="0"/>
  </dataFields>
  <formats count="12">
    <format dxfId="224">
      <pivotArea field="4" type="button" dataOnly="0" labelOnly="1" outline="0" axis="axisPage" fieldPosition="1"/>
    </format>
    <format dxfId="223">
      <pivotArea type="all" dataOnly="0" outline="0" fieldPosition="0"/>
    </format>
    <format dxfId="222">
      <pivotArea outline="0" collapsedLevelsAreSubtotals="1" fieldPosition="0"/>
    </format>
    <format dxfId="221">
      <pivotArea type="origin" dataOnly="0" labelOnly="1" outline="0" fieldPosition="0"/>
    </format>
    <format dxfId="220">
      <pivotArea type="topRight" dataOnly="0" labelOnly="1" outline="0" fieldPosition="0"/>
    </format>
    <format dxfId="219">
      <pivotArea field="-2" type="button" dataOnly="0" labelOnly="1" outline="0" axis="axisRow" fieldPosition="0"/>
    </format>
    <format dxfId="218">
      <pivotArea type="all" dataOnly="0" outline="0" fieldPosition="0"/>
    </format>
    <format dxfId="217">
      <pivotArea outline="0" collapsedLevelsAreSubtotals="1" fieldPosition="0"/>
    </format>
    <format dxfId="216">
      <pivotArea dataOnly="0" labelOnly="1" outline="0" fieldPosition="0">
        <references count="1">
          <reference field="4294967294" count="1">
            <x v="0"/>
          </reference>
        </references>
      </pivotArea>
    </format>
    <format dxfId="215">
      <pivotArea field="4" type="button" dataOnly="0" labelOnly="1" outline="0" axis="axisPage" fieldPosition="1"/>
    </format>
    <format dxfId="214">
      <pivotArea dataOnly="0" labelOnly="1" outline="0" fieldPosition="0">
        <references count="1">
          <reference field="4" count="1">
            <x v="1"/>
          </reference>
        </references>
      </pivotArea>
    </format>
    <format dxfId="213">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B1FC6499-5435-4825-9D31-2FE89506D820}" name="PivotTable5"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8">
  <location ref="B149:C151" firstHeaderRow="1" firstDataRow="1" firstDataCol="1" rowPageCount="4" colPageCount="1"/>
  <pivotFields count="88">
    <pivotField axis="axisPage" subtotalTop="0" multipleItemSelectionAllowed="1" showAll="0">
      <items count="17">
        <item h="1" m="1" x="14"/>
        <item m="1" x="4"/>
        <item m="1" x="15"/>
        <item h="1" m="1" x="7"/>
        <item m="1" x="3"/>
        <item h="1" m="1" x="2"/>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x="2"/>
        <item m="1" x="5"/>
        <item h="1" x="0"/>
        <item m="1" x="4"/>
        <item x="1"/>
        <item m="1" x="6"/>
        <item h="1" x="3"/>
        <item t="default"/>
      </items>
    </pivotField>
    <pivotField subtotalTop="0" showAll="0"/>
    <pivotField axis="axisPage" multipleItemSelectionAllowed="1" showAll="0" defaultSubtotal="0">
      <items count="11">
        <item m="1" x="4"/>
        <item m="1" x="9"/>
        <item m="1" x="8"/>
        <item m="1" x="6"/>
        <item m="1" x="3"/>
        <item m="1" x="2"/>
        <item x="0"/>
        <item m="1" x="7"/>
        <item h="1" m="1" x="10"/>
        <item m="1" x="5"/>
        <item h="1" m="1" x="1"/>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Items count="1">
    <i/>
  </colItems>
  <pageFields count="4">
    <pageField fld="0" hier="-1"/>
    <pageField fld="4" hier="-1"/>
    <pageField fld="78" item="0" hier="-1"/>
    <pageField fld="6" hier="-1"/>
  </pageFields>
  <dataFields count="2">
    <dataField name="Boys" fld="33" baseField="0" baseItem="0"/>
    <dataField name="Girls" fld="34" baseField="0" baseItem="0"/>
  </dataFields>
  <formats count="9">
    <format dxfId="233">
      <pivotArea type="all" dataOnly="0" outline="0" fieldPosition="0"/>
    </format>
    <format dxfId="232">
      <pivotArea type="all" dataOnly="0" outline="0" fieldPosition="0"/>
    </format>
    <format dxfId="231">
      <pivotArea outline="0" collapsedLevelsAreSubtotals="1" fieldPosition="0"/>
    </format>
    <format dxfId="230">
      <pivotArea field="4" type="button" dataOnly="0" labelOnly="1" outline="0" axis="axisPage" fieldPosition="1"/>
    </format>
    <format dxfId="229">
      <pivotArea dataOnly="0" labelOnly="1" grandRow="1" outline="0" fieldPosition="0"/>
    </format>
    <format dxfId="228">
      <pivotArea type="all" dataOnly="0" outline="0" fieldPosition="0"/>
    </format>
    <format dxfId="227">
      <pivotArea outline="0" collapsedLevelsAreSubtotals="1" fieldPosition="0"/>
    </format>
    <format dxfId="226">
      <pivotArea field="4" type="button" dataOnly="0" labelOnly="1" outline="0" axis="axisPage" fieldPosition="1"/>
    </format>
    <format dxfId="225">
      <pivotArea dataOnly="0" labelOnly="1" grandRow="1" outline="0" fieldPosition="0"/>
    </format>
  </formats>
  <chartFormats count="9">
    <chartFormat chart="5" format="0" series="1">
      <pivotArea type="data" outline="0" fieldPosition="0">
        <references count="1">
          <reference field="4294967294" count="1" selected="0">
            <x v="0"/>
          </reference>
        </references>
      </pivotArea>
    </chartFormat>
    <chartFormat chart="5" format="1">
      <pivotArea type="data" outline="0" fieldPosition="0">
        <references count="1">
          <reference field="4294967294" count="1" selected="0">
            <x v="1"/>
          </reference>
        </references>
      </pivotArea>
    </chartFormat>
    <chartFormat chart="5" format="2">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6" format="4">
      <pivotArea type="data" outline="0" fieldPosition="0">
        <references count="1">
          <reference field="4294967294" count="1" selected="0">
            <x v="0"/>
          </reference>
        </references>
      </pivotArea>
    </chartFormat>
    <chartFormat chart="6" format="5">
      <pivotArea type="data" outline="0" fieldPosition="0">
        <references count="1">
          <reference field="4294967294" count="1" selected="0">
            <x v="1"/>
          </reference>
        </references>
      </pivotArea>
    </chartFormat>
    <chartFormat chart="17" format="12" series="1">
      <pivotArea type="data" outline="0" fieldPosition="0">
        <references count="1">
          <reference field="4294967294" count="1" selected="0">
            <x v="0"/>
          </reference>
        </references>
      </pivotArea>
    </chartFormat>
    <chartFormat chart="17" format="13">
      <pivotArea type="data" outline="0" fieldPosition="0">
        <references count="1">
          <reference field="4294967294" count="1" selected="0">
            <x v="0"/>
          </reference>
        </references>
      </pivotArea>
    </chartFormat>
    <chartFormat chart="17" format="14">
      <pivotArea type="data" outline="0" fieldPosition="0">
        <references count="1">
          <reference field="4294967294" count="1" selected="0">
            <x v="1"/>
          </reference>
        </references>
      </pivotArea>
    </chartFormat>
  </chart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800-000006000000}" name="K_L_CG_N"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50" rowHeaderCaption="State" colHeaderCaption=" ">
  <location ref="B102:D111" firstHeaderRow="0" firstDataRow="1" firstDataCol="1" rowPageCount="4" colPageCount="1"/>
  <pivotFields count="88">
    <pivotField axis="axisPage" subtotalTop="0" multipleItemSelectionAllowed="1" showAll="0">
      <items count="17">
        <item m="1" x="14"/>
        <item m="1" x="4"/>
        <item h="1" m="1" x="7"/>
        <item h="1" m="1" x="2"/>
        <item m="1" x="15"/>
        <item m="1" x="3"/>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x="2"/>
        <item m="1" x="5"/>
        <item h="1" x="0"/>
        <item m="1" x="4"/>
        <item x="1"/>
        <item m="1" x="6"/>
        <item h="1" x="3"/>
        <item t="default"/>
      </items>
    </pivotField>
    <pivotField axis="axisRow" subtotalTop="0" showAll="0">
      <items count="53">
        <item m="1" x="28"/>
        <item m="1" x="31"/>
        <item m="1" x="48"/>
        <item m="1" x="43"/>
        <item m="1" x="39"/>
        <item x="18"/>
        <item m="1" x="37"/>
        <item m="1" x="24"/>
        <item x="9"/>
        <item x="13"/>
        <item x="19"/>
        <item m="1" x="46"/>
        <item m="1" x="26"/>
        <item m="1" x="30"/>
        <item m="1" x="40"/>
        <item x="11"/>
        <item m="1" x="35"/>
        <item m="1" x="44"/>
        <item m="1" x="38"/>
        <item m="1" x="47"/>
        <item m="1" x="29"/>
        <item x="12"/>
        <item x="15"/>
        <item m="1" x="32"/>
        <item m="1" x="36"/>
        <item m="1" x="41"/>
        <item m="1" x="27"/>
        <item x="8"/>
        <item m="1" x="42"/>
        <item m="1" x="33"/>
        <item m="1" x="50"/>
        <item m="1" x="45"/>
        <item m="1" x="51"/>
        <item x="10"/>
        <item x="17"/>
        <item m="1" x="49"/>
        <item x="14"/>
        <item m="1" x="23"/>
        <item m="1" x="25"/>
        <item m="1" x="22"/>
        <item m="1" x="34"/>
        <item x="0"/>
        <item x="1"/>
        <item x="2"/>
        <item x="3"/>
        <item x="4"/>
        <item x="5"/>
        <item x="6"/>
        <item x="7"/>
        <item x="20"/>
        <item x="16"/>
        <item x="21"/>
        <item t="default"/>
      </items>
    </pivotField>
    <pivotField axis="axisPage" multipleItemSelectionAllowed="1" showAll="0" defaultSubtotal="0">
      <items count="11">
        <item m="1" x="4"/>
        <item m="1" x="9"/>
        <item m="1" x="8"/>
        <item m="1" x="6"/>
        <item m="1" x="3"/>
        <item m="1" x="2"/>
        <item x="0"/>
        <item m="1" x="7"/>
        <item h="1" m="1" x="10"/>
        <item m="1" x="5"/>
        <item h="1" m="1" x="1"/>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s>
  <rowFields count="1">
    <field x="5"/>
  </rowFields>
  <rowItems count="9">
    <i>
      <x v="9"/>
    </i>
    <i>
      <x v="15"/>
    </i>
    <i>
      <x v="21"/>
    </i>
    <i>
      <x v="22"/>
    </i>
    <i>
      <x v="27"/>
    </i>
    <i>
      <x v="33"/>
    </i>
    <i>
      <x v="34"/>
    </i>
    <i>
      <x v="36"/>
    </i>
    <i>
      <x v="50"/>
    </i>
  </rowItems>
  <colFields count="1">
    <field x="-2"/>
  </colFields>
  <colItems count="2">
    <i>
      <x/>
    </i>
    <i i="1">
      <x v="1"/>
    </i>
  </colItems>
  <pageFields count="4">
    <pageField fld="0" hier="-1"/>
    <pageField fld="78" item="0" hier="-1"/>
    <pageField fld="4" hier="-1"/>
    <pageField fld="6" hier="-1"/>
  </pageFields>
  <dataFields count="2">
    <dataField name="  % Latrine Coverage" fld="86" baseField="0" baseItem="0" numFmtId="1"/>
    <dataField name="  % Latrine GAP" fld="87" baseField="0" baseItem="0" numFmtId="1"/>
  </dataFields>
  <formats count="12">
    <format dxfId="245">
      <pivotArea type="all" dataOnly="0" outline="0" fieldPosition="0"/>
    </format>
    <format dxfId="244">
      <pivotArea outline="0" collapsedLevelsAreSubtotals="1" fieldPosition="0"/>
    </format>
    <format dxfId="243">
      <pivotArea field="4" type="button" dataOnly="0" labelOnly="1" outline="0" axis="axisPage" fieldPosition="2"/>
    </format>
    <format dxfId="242">
      <pivotArea type="all" dataOnly="0" outline="0" fieldPosition="0"/>
    </format>
    <format dxfId="241">
      <pivotArea outline="0" collapsedLevelsAreSubtotals="1" fieldPosition="0"/>
    </format>
    <format dxfId="240">
      <pivotArea outline="0" collapsedLevelsAreSubtotals="1" fieldPosition="0"/>
    </format>
    <format dxfId="239">
      <pivotArea field="5" type="button" dataOnly="0" labelOnly="1" outline="0" axis="axisRow" fieldPosition="0"/>
    </format>
    <format dxfId="238">
      <pivotArea field="5" type="button" dataOnly="0" labelOnly="1" outline="0" axis="axisRow" fieldPosition="0"/>
    </format>
    <format dxfId="237">
      <pivotArea field="5" type="button" dataOnly="0" labelOnly="1" outline="0" axis="axisRow" fieldPosition="0"/>
    </format>
    <format dxfId="236">
      <pivotArea field="4" type="button" dataOnly="0" labelOnly="1" outline="0" axis="axisPage" fieldPosition="2"/>
    </format>
    <format dxfId="235">
      <pivotArea dataOnly="0" labelOnly="1" outline="0" fieldPosition="0">
        <references count="2">
          <reference field="4" count="1">
            <x v="0"/>
          </reference>
          <reference field="78" count="1" selected="0">
            <x v="0"/>
          </reference>
        </references>
      </pivotArea>
    </format>
    <format dxfId="234">
      <pivotArea dataOnly="0" labelOnly="1" outline="0" fieldPosition="0">
        <references count="2">
          <reference field="4" count="1">
            <x v="2"/>
          </reference>
          <reference field="78" count="1" selected="0">
            <x v="0"/>
          </reference>
        </references>
      </pivotArea>
    </format>
  </formats>
  <chartFormats count="6">
    <chartFormat chart="43" format="8" series="1">
      <pivotArea type="data" outline="0" fieldPosition="0">
        <references count="1">
          <reference field="4294967294" count="1" selected="0">
            <x v="0"/>
          </reference>
        </references>
      </pivotArea>
    </chartFormat>
    <chartFormat chart="43" format="9" series="1">
      <pivotArea type="data" outline="0" fieldPosition="0">
        <references count="1">
          <reference field="4294967294" count="1" selected="0">
            <x v="1"/>
          </reference>
        </references>
      </pivotArea>
    </chartFormat>
    <chartFormat chart="44" format="6" series="1">
      <pivotArea type="data" outline="0" fieldPosition="0">
        <references count="1">
          <reference field="4294967294" count="1" selected="0">
            <x v="0"/>
          </reference>
        </references>
      </pivotArea>
    </chartFormat>
    <chartFormat chart="44" format="7" series="1">
      <pivotArea type="data" outline="0" fieldPosition="0">
        <references count="1">
          <reference field="4294967294" count="1" selected="0">
            <x v="1"/>
          </reference>
        </references>
      </pivotArea>
    </chartFormat>
    <chartFormat chart="49" format="12" series="1">
      <pivotArea type="data" outline="0" fieldPosition="0">
        <references count="1">
          <reference field="4294967294" count="1" selected="0">
            <x v="0"/>
          </reference>
        </references>
      </pivotArea>
    </chartFormat>
    <chartFormat chart="49" format="13" series="1">
      <pivotArea type="data" outline="0" fieldPosition="0">
        <references count="1">
          <reference field="4294967294" count="1" selected="0">
            <x v="1"/>
          </reference>
        </references>
      </pivotArea>
    </chartFormat>
  </chartFormats>
  <pivotTableStyleInfo name="PivotStyleMedium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A4D6E0BE-6C20-4AC9-8992-EC6648BDC7D8}" name="PivotTable3"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H90:J92" firstHeaderRow="1" firstDataRow="2" firstDataCol="1" rowPageCount="4" colPageCount="1"/>
  <pivotFields count="88">
    <pivotField axis="axisPage" subtotalTop="0" multipleItemSelectionAllowed="1" showAll="0">
      <items count="17">
        <item m="1" x="14"/>
        <item m="1" x="4"/>
        <item m="1" x="15"/>
        <item h="1" m="1" x="7"/>
        <item m="1" x="3"/>
        <item h="1" m="1" x="2"/>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subtotalTop="0" showAll="0"/>
    <pivotField axis="axisPage" multipleItemSelectionAllowed="1" showAll="0" defaultSubtotal="0">
      <items count="11">
        <item m="1" x="4"/>
        <item m="1" x="9"/>
        <item m="1" x="8"/>
        <item m="1" x="6"/>
        <item m="1" x="3"/>
        <item m="1" x="2"/>
        <item x="0"/>
        <item m="1" x="7"/>
        <item h="1" m="1" x="10"/>
        <item m="1" x="5"/>
        <item h="1" m="1" x="1"/>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axis="axisCol" dataField="1" showAll="0">
      <items count="3">
        <item x="0"/>
        <item x="1"/>
        <item t="default"/>
      </items>
    </pivotField>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71"/>
  </colFields>
  <colItems count="2">
    <i>
      <x/>
    </i>
    <i>
      <x v="1"/>
    </i>
  </colItems>
  <pageFields count="4">
    <pageField fld="0" hier="-1"/>
    <pageField fld="4" hier="-1"/>
    <pageField fld="78" hier="-1"/>
    <pageField fld="6" hier="-1"/>
  </pageFields>
  <dataFields count="1">
    <dataField name="Count of Village with School" fld="71" subtotal="count" baseField="0" baseItem="0"/>
  </dataFields>
  <formats count="11">
    <format dxfId="256">
      <pivotArea field="4" type="button" dataOnly="0" labelOnly="1" outline="0" axis="axisPage" fieldPosition="1"/>
    </format>
    <format dxfId="255">
      <pivotArea type="all" dataOnly="0" outline="0" fieldPosition="0"/>
    </format>
    <format dxfId="254">
      <pivotArea outline="0" collapsedLevelsAreSubtotals="1" fieldPosition="0"/>
    </format>
    <format dxfId="253">
      <pivotArea type="origin" dataOnly="0" labelOnly="1" outline="0" fieldPosition="0"/>
    </format>
    <format dxfId="252">
      <pivotArea type="topRight" dataOnly="0" labelOnly="1" outline="0" fieldPosition="0"/>
    </format>
    <format dxfId="251">
      <pivotArea field="-2" type="button" dataOnly="0" labelOnly="1" outline="0" axis="axisValues" fieldPosition="0"/>
    </format>
    <format dxfId="250">
      <pivotArea type="all" dataOnly="0" outline="0" fieldPosition="0"/>
    </format>
    <format dxfId="249">
      <pivotArea outline="0" collapsedLevelsAreSubtotals="1" fieldPosition="0"/>
    </format>
    <format dxfId="248">
      <pivotArea field="4" type="button" dataOnly="0" labelOnly="1" outline="0" axis="axisPage" fieldPosition="1"/>
    </format>
    <format dxfId="247">
      <pivotArea dataOnly="0" labelOnly="1" outline="0" fieldPosition="0">
        <references count="1">
          <reference field="4" count="1">
            <x v="1"/>
          </reference>
        </references>
      </pivotArea>
    </format>
    <format dxfId="246">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C46D4926-CEBC-46A9-93E1-A428FB77EACF}" name="PivotTable11"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Q76:R78" firstHeaderRow="1" firstDataRow="1" firstDataCol="1" rowPageCount="3" colPageCount="1"/>
  <pivotFields count="88">
    <pivotField axis="axisPage" subtotalTop="0" multipleItemSelectionAllowed="1" showAll="0">
      <items count="17">
        <item m="1" x="14"/>
        <item m="1" x="4"/>
        <item m="1" x="15"/>
        <item h="1" m="1" x="7"/>
        <item m="1" x="3"/>
        <item h="1" m="1" x="2"/>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subtotalTop="0" showAll="0"/>
    <pivotField multipleItemSelectionAllowed="1" showAll="0" defaultSubtotal="0"/>
    <pivotField showAll="0"/>
    <pivotField subtotalTop="0" showAll="0"/>
    <pivotField dataField="1"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dataField="1"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Items count="1">
    <i/>
  </colItems>
  <pageFields count="3">
    <pageField fld="0" hier="-1"/>
    <pageField fld="4" hier="-1"/>
    <pageField fld="78" hier="-1"/>
  </pageFields>
  <dataFields count="2">
    <dataField name="Sum of Total PoP " fld="9" baseField="0" baseItem="0"/>
    <dataField name="Sum of HRP2" fld="57" baseField="0" baseItem="0"/>
  </dataFields>
  <formats count="11">
    <format dxfId="267">
      <pivotArea field="4" type="button" dataOnly="0" labelOnly="1" outline="0" axis="axisPage" fieldPosition="1"/>
    </format>
    <format dxfId="266">
      <pivotArea type="all" dataOnly="0" outline="0" fieldPosition="0"/>
    </format>
    <format dxfId="265">
      <pivotArea outline="0" collapsedLevelsAreSubtotals="1" fieldPosition="0"/>
    </format>
    <format dxfId="264">
      <pivotArea type="origin" dataOnly="0" labelOnly="1" outline="0" fieldPosition="0"/>
    </format>
    <format dxfId="263">
      <pivotArea type="topRight" dataOnly="0" labelOnly="1" outline="0" fieldPosition="0"/>
    </format>
    <format dxfId="262">
      <pivotArea field="-2" type="button" dataOnly="0" labelOnly="1" outline="0" axis="axisRow" fieldPosition="0"/>
    </format>
    <format dxfId="261">
      <pivotArea type="all" dataOnly="0" outline="0" fieldPosition="0"/>
    </format>
    <format dxfId="260">
      <pivotArea outline="0" collapsedLevelsAreSubtotals="1" fieldPosition="0"/>
    </format>
    <format dxfId="259">
      <pivotArea field="4" type="button" dataOnly="0" labelOnly="1" outline="0" axis="axisPage" fieldPosition="1"/>
    </format>
    <format dxfId="258">
      <pivotArea dataOnly="0" labelOnly="1" outline="0" fieldPosition="0">
        <references count="1">
          <reference field="4" count="1">
            <x v="1"/>
          </reference>
        </references>
      </pivotArea>
    </format>
    <format dxfId="257">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BBB69935-A2AC-49B8-9F2C-F7765F4C3CC2}" name="PivotTable1"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H77:K79" firstHeaderRow="1" firstDataRow="2" firstDataCol="1" rowPageCount="5" colPageCount="1"/>
  <pivotFields count="88">
    <pivotField axis="axisPage" subtotalTop="0" multipleItemSelectionAllowed="1" showAll="0">
      <items count="17">
        <item m="1" x="14"/>
        <item m="1" x="4"/>
        <item m="1" x="15"/>
        <item h="1" m="1" x="7"/>
        <item m="1" x="3"/>
        <item h="1" m="1" x="2"/>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subtotalTop="0" showAll="0"/>
    <pivotField axis="axisPage" multipleItemSelectionAllowed="1" showAll="0" defaultSubtotal="0">
      <items count="11">
        <item m="1" x="4"/>
        <item m="1" x="9"/>
        <item m="1" x="8"/>
        <item m="1" x="6"/>
        <item m="1" x="3"/>
        <item m="1" x="2"/>
        <item x="0"/>
        <item m="1" x="7"/>
        <item h="1" m="1" x="10"/>
        <item m="1" x="5"/>
        <item h="1" m="1" x="1"/>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axis="axisCol" dataField="1" showAll="0">
      <items count="7">
        <item x="2"/>
        <item x="1"/>
        <item x="0"/>
        <item x="3"/>
        <item m="1" x="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axis="axisPage" showAll="0">
      <items count="3">
        <item x="0"/>
        <item x="1"/>
        <item t="default"/>
      </items>
    </pivotField>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2"/>
  </colFields>
  <colItems count="3">
    <i>
      <x/>
    </i>
    <i>
      <x v="1"/>
    </i>
    <i>
      <x v="3"/>
    </i>
  </colItems>
  <pageFields count="5">
    <pageField fld="0" hier="-1"/>
    <pageField fld="4" hier="-1"/>
    <pageField fld="78" hier="-1"/>
    <pageField fld="6" hier="-1"/>
    <pageField fld="71" item="1" hier="-1"/>
  </pageFields>
  <dataFields count="1">
    <dataField name="Count of Availability_of_drainage_in_school_compound_(Yes_or_No)" fld="22" subtotal="count" baseField="0" baseItem="0"/>
  </dataFields>
  <formats count="11">
    <format dxfId="278">
      <pivotArea field="4" type="button" dataOnly="0" labelOnly="1" outline="0" axis="axisPage" fieldPosition="1"/>
    </format>
    <format dxfId="277">
      <pivotArea type="all" dataOnly="0" outline="0" fieldPosition="0"/>
    </format>
    <format dxfId="276">
      <pivotArea outline="0" collapsedLevelsAreSubtotals="1" fieldPosition="0"/>
    </format>
    <format dxfId="275">
      <pivotArea type="origin" dataOnly="0" labelOnly="1" outline="0" fieldPosition="0"/>
    </format>
    <format dxfId="274">
      <pivotArea type="topRight" dataOnly="0" labelOnly="1" outline="0" fieldPosition="0"/>
    </format>
    <format dxfId="273">
      <pivotArea field="-2" type="button" dataOnly="0" labelOnly="1" outline="0" axis="axisValues" fieldPosition="0"/>
    </format>
    <format dxfId="272">
      <pivotArea type="all" dataOnly="0" outline="0" fieldPosition="0"/>
    </format>
    <format dxfId="271">
      <pivotArea outline="0" collapsedLevelsAreSubtotals="1" fieldPosition="0"/>
    </format>
    <format dxfId="270">
      <pivotArea field="4" type="button" dataOnly="0" labelOnly="1" outline="0" axis="axisPage" fieldPosition="1"/>
    </format>
    <format dxfId="269">
      <pivotArea dataOnly="0" labelOnly="1" outline="0" fieldPosition="0">
        <references count="1">
          <reference field="4" count="1">
            <x v="1"/>
          </reference>
        </references>
      </pivotArea>
    </format>
    <format dxfId="268">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2F08ED1D-5C00-46B6-A7D9-D8B1EB6AAA35}" name="PivotTable12"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0">
  <location ref="K147:L150" firstHeaderRow="1" firstDataRow="1" firstDataCol="1" rowPageCount="4" colPageCount="1"/>
  <pivotFields count="88">
    <pivotField axis="axisPage" subtotalTop="0" multipleItemSelectionAllowed="1" showAll="0">
      <items count="17">
        <item h="1" m="1" x="14"/>
        <item m="1" x="4"/>
        <item m="1" x="15"/>
        <item h="1" m="1" x="7"/>
        <item m="1" x="3"/>
        <item h="1" m="1" x="2"/>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x="2"/>
        <item m="1" x="5"/>
        <item h="1" x="0"/>
        <item m="1" x="4"/>
        <item x="1"/>
        <item m="1" x="6"/>
        <item h="1" x="3"/>
        <item t="default"/>
      </items>
    </pivotField>
    <pivotField subtotalTop="0" showAll="0"/>
    <pivotField axis="axisPage" multipleItemSelectionAllowed="1" showAll="0" defaultSubtotal="0">
      <items count="11">
        <item m="1" x="4"/>
        <item m="1" x="9"/>
        <item m="1" x="8"/>
        <item m="1" x="6"/>
        <item m="1" x="3"/>
        <item m="1" x="2"/>
        <item x="0"/>
        <item m="1" x="7"/>
        <item h="1" m="1" x="10"/>
        <item m="1" x="5"/>
        <item h="1" m="1" x="1"/>
      </items>
    </pivotField>
    <pivotField showAll="0"/>
    <pivotField subtotalTop="0" showAll="0"/>
    <pivotField dataField="1"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dataField="1" numFmtId="1" showAll="0"/>
    <pivotField dataField="1"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3">
    <i>
      <x/>
    </i>
    <i i="1">
      <x v="1"/>
    </i>
    <i i="2">
      <x v="2"/>
    </i>
  </rowItems>
  <colItems count="1">
    <i/>
  </colItems>
  <pageFields count="4">
    <pageField fld="0" hier="-1"/>
    <pageField fld="4" hier="-1"/>
    <pageField fld="78" item="0" hier="-1"/>
    <pageField fld="6" hier="-1"/>
  </pageFields>
  <dataFields count="3">
    <dataField name="Sum of Total PoP " fld="9" baseField="0" baseItem="0"/>
    <dataField name="Sum of # People with access to soap" fld="68" baseField="0" baseItem="0"/>
    <dataField name="Sum of # People with access to Sanity Pads" fld="69" baseField="0" baseItem="0"/>
  </dataFields>
  <formats count="9">
    <format dxfId="287">
      <pivotArea type="all" dataOnly="0" outline="0" fieldPosition="0"/>
    </format>
    <format dxfId="286">
      <pivotArea type="all" dataOnly="0" outline="0" fieldPosition="0"/>
    </format>
    <format dxfId="285">
      <pivotArea outline="0" collapsedLevelsAreSubtotals="1" fieldPosition="0"/>
    </format>
    <format dxfId="284">
      <pivotArea field="4" type="button" dataOnly="0" labelOnly="1" outline="0" axis="axisPage" fieldPosition="1"/>
    </format>
    <format dxfId="283">
      <pivotArea dataOnly="0" labelOnly="1" grandRow="1" outline="0" fieldPosition="0"/>
    </format>
    <format dxfId="282">
      <pivotArea type="all" dataOnly="0" outline="0" fieldPosition="0"/>
    </format>
    <format dxfId="281">
      <pivotArea outline="0" collapsedLevelsAreSubtotals="1" fieldPosition="0"/>
    </format>
    <format dxfId="280">
      <pivotArea field="4" type="button" dataOnly="0" labelOnly="1" outline="0" axis="axisPage" fieldPosition="1"/>
    </format>
    <format dxfId="279">
      <pivotArea dataOnly="0" labelOnly="1" grandRow="1" outline="0"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D000000}" name="PivotTable9" cacheId="0" applyNumberFormats="0" applyBorderFormats="0" applyFontFormats="0" applyPatternFormats="0" applyAlignmentFormats="0" applyWidthHeightFormats="1" dataCaption="Values" updatedVersion="6" minRefreshableVersion="3" showDrill="0" itemPrintTitles="1" createdVersion="6" indent="0" showHeaders="0" compact="0" compactData="0" multipleFieldFilters="0">
  <location ref="M7:R10" firstHeaderRow="0" firstDataRow="1" firstDataCol="1" rowPageCount="3" colPageCount="1"/>
  <pivotFields count="88">
    <pivotField axis="axisRow" compact="0" outline="0" subtotalTop="0" showAll="0">
      <items count="17">
        <item m="1" x="14"/>
        <item m="1" x="7"/>
        <item m="1" x="2"/>
        <item m="1" x="4"/>
        <item m="1" x="15"/>
        <item m="1" x="3"/>
        <item m="1" x="13"/>
        <item m="1" x="9"/>
        <item m="1" x="11"/>
        <item m="1" x="12"/>
        <item m="1" x="5"/>
        <item m="1" x="6"/>
        <item m="1" x="8"/>
        <item m="1" x="10"/>
        <item x="0"/>
        <item x="1"/>
        <item t="default"/>
      </items>
    </pivotField>
    <pivotField compact="0" outline="0" showAll="0" defaultSubtotal="0"/>
    <pivotField compact="0" outline="0" showAll="0" defaultSubtotal="0"/>
    <pivotField compact="0" outline="0" subtotalTop="0" showAll="0"/>
    <pivotField axis="axisPage" compact="0" outline="0" subtotalTop="0" multipleItemSelectionAllowed="1" showAll="0">
      <items count="8">
        <item h="1" x="2"/>
        <item m="1" x="5"/>
        <item h="1" x="0"/>
        <item h="1" m="1" x="4"/>
        <item x="1"/>
        <item m="1" x="6"/>
        <item h="1" x="3"/>
        <item t="default"/>
      </items>
    </pivotField>
    <pivotField compact="0" outline="0" subtotalTop="0" showAll="0"/>
    <pivotField axis="axisPage" compact="0" outline="0" multipleItemSelectionAllowed="1" showAll="0" defaultSubtotal="0">
      <items count="11">
        <item m="1" x="4"/>
        <item m="1" x="9"/>
        <item m="1" x="8"/>
        <item x="0"/>
        <item h="1" m="1" x="10"/>
        <item h="1" m="1" x="3"/>
        <item m="1" x="7"/>
        <item m="1" x="2"/>
        <item h="1" m="1" x="5"/>
        <item h="1" m="1" x="6"/>
        <item h="1" m="1" x="1"/>
      </items>
    </pivotField>
    <pivotField compact="0" outline="0" showAll="0"/>
    <pivotField compact="0" outline="0" subtotalTop="0" showAll="0"/>
    <pivotField dataField="1" compact="0" outline="0" subtotalTop="0" showAll="0"/>
    <pivotField compact="0" outline="0" showAll="0" defaultSubtotal="0"/>
    <pivotField compact="0" outline="0" showAll="0" defaultSubtotal="0"/>
    <pivotField compact="0" outline="0" showAll="0"/>
    <pivotField compact="0" outline="0" subtotalTop="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pivotField compact="0" outline="0" showAll="0" defaultSubtotal="0"/>
    <pivotField compact="0" outline="0" showAll="0"/>
    <pivotField compact="0" outline="0" subtotalTop="0" showAll="0"/>
    <pivotField compact="0" outline="0" showAll="0" defaultSubtotal="0"/>
    <pivotField dataField="1" compact="0" outline="0" showAll="0" defaultSubtotal="0"/>
    <pivotField compact="0" outline="0" subtotalTop="0" showAll="0"/>
    <pivotField compact="0" outline="0" subtotalTop="0" showAll="0"/>
    <pivotField compact="0" outline="0" showAll="0" defaultSubtotal="0"/>
    <pivotField compact="0" outline="0" subtotalTop="0" showAll="0"/>
    <pivotField compact="0" numFmtId="1" outline="0" subtotalTop="0" showAll="0"/>
    <pivotField compact="0" numFmtId="9" outline="0" showAll="0"/>
    <pivotField dataField="1" compact="0" numFmtId="1" outline="0" showAll="0" defaultSubtotal="0"/>
    <pivotField compact="0" outline="0" showAll="0" defaultSubtotal="0"/>
    <pivotField compact="0" outline="0" subtotalTop="0" showAll="0"/>
    <pivotField compact="0" outline="0" subtotalTop="0" showAll="0"/>
    <pivotField compact="0" outline="0" subtotalTop="0" showAll="0"/>
    <pivotField compact="0" numFmtId="1" outline="0" showAll="0"/>
    <pivotField compact="0" numFmtId="1" outline="0" showAll="0"/>
    <pivotField dataField="1" compact="0" numFmtId="1" outline="0" showAll="0" defaultSubtotal="0"/>
    <pivotField compact="0" outline="0" subtotalTop="0" showAll="0"/>
    <pivotField compact="0" outline="0" subtotalTop="0" showAll="0"/>
    <pivotField compact="0" outline="0" subtotalTop="0" showAll="0"/>
    <pivotField compact="0" numFmtId="1" outline="0" showAll="0"/>
    <pivotField compact="0" numFmtId="1" outline="0" showAll="0"/>
    <pivotField dataField="1" compact="0" numFmtId="164" outline="0" showAll="0"/>
    <pivotField compact="0" outline="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5">
        <item x="0"/>
        <item m="1" x="3"/>
        <item m="1" x="1"/>
        <item m="1" x="2"/>
        <item t="default"/>
      </items>
    </pivotField>
    <pivotField compact="0" outline="0" subtotalTop="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0"/>
  </rowFields>
  <rowItems count="3">
    <i>
      <x v="14"/>
    </i>
    <i>
      <x v="15"/>
    </i>
    <i t="grand">
      <x/>
    </i>
  </rowItems>
  <colFields count="1">
    <field x="-2"/>
  </colFields>
  <colItems count="5">
    <i>
      <x/>
    </i>
    <i i="1">
      <x v="1"/>
    </i>
    <i i="2">
      <x v="2"/>
    </i>
    <i i="3">
      <x v="3"/>
    </i>
    <i i="4">
      <x v="4"/>
    </i>
  </colItems>
  <pageFields count="3">
    <pageField fld="78" item="0" hier="-1"/>
    <pageField fld="4" hier="-1"/>
    <pageField fld="6" hier="-1"/>
  </pageFields>
  <dataFields count="5">
    <dataField name="Total Population reached" fld="9" baseField="2" baseItem="0" numFmtId="3"/>
    <dataField name=" HRP1" fld="50" baseField="0" baseItem="9"/>
    <dataField name=" HRP2" fld="57" baseField="0" baseItem="9"/>
    <dataField name=" HRP3" fld="64" baseField="0" baseItem="9"/>
    <dataField name="  # People received regular supply of hygiene items" fld="70" baseField="0" baseItem="0"/>
  </dataFields>
  <formats count="17">
    <format dxfId="473">
      <pivotArea field="4" type="button" dataOnly="0" labelOnly="1" outline="0" axis="axisPage" fieldPosition="1"/>
    </format>
    <format dxfId="472">
      <pivotArea type="all" dataOnly="0" outline="0" fieldPosition="0"/>
    </format>
    <format dxfId="471">
      <pivotArea field="4" type="button" dataOnly="0" labelOnly="1" outline="0" axis="axisPage" fieldPosition="1"/>
    </format>
    <format dxfId="470">
      <pivotArea outline="0" fieldPosition="0">
        <references count="1">
          <reference field="4294967294" count="1">
            <x v="0"/>
          </reference>
        </references>
      </pivotArea>
    </format>
    <format dxfId="469">
      <pivotArea dataOnly="0" labelOnly="1" outline="0" fieldPosition="0">
        <references count="1">
          <reference field="4294967294" count="1">
            <x v="0"/>
          </reference>
        </references>
      </pivotArea>
    </format>
    <format dxfId="468">
      <pivotArea type="all" dataOnly="0" outline="0" fieldPosition="0"/>
    </format>
    <format dxfId="467">
      <pivotArea outline="0" collapsedLevelsAreSubtotals="1" fieldPosition="0"/>
    </format>
    <format dxfId="466">
      <pivotArea dataOnly="0" labelOnly="1" fieldPosition="0">
        <references count="1">
          <reference field="4" count="0"/>
        </references>
      </pivotArea>
    </format>
    <format dxfId="465">
      <pivotArea dataOnly="0" labelOnly="1" grandRow="1" outline="0" fieldPosition="0"/>
    </format>
    <format dxfId="464">
      <pivotArea dataOnly="0" labelOnly="1" outline="0" fieldPosition="0">
        <references count="1">
          <reference field="4294967294" count="1">
            <x v="0"/>
          </reference>
        </references>
      </pivotArea>
    </format>
    <format dxfId="463">
      <pivotArea type="all" dataOnly="0" outline="0" fieldPosition="0"/>
    </format>
    <format dxfId="462">
      <pivotArea outline="0" collapsedLevelsAreSubtotals="1" fieldPosition="0"/>
    </format>
    <format dxfId="461">
      <pivotArea dataOnly="0" labelOnly="1" fieldPosition="0">
        <references count="1">
          <reference field="4" count="0"/>
        </references>
      </pivotArea>
    </format>
    <format dxfId="460">
      <pivotArea dataOnly="0" labelOnly="1" grandRow="1" outline="0" fieldPosition="0"/>
    </format>
    <format dxfId="459">
      <pivotArea dataOnly="0" labelOnly="1" outline="0" fieldPosition="0">
        <references count="1">
          <reference field="4294967294" count="1">
            <x v="0"/>
          </reference>
        </references>
      </pivotArea>
    </format>
    <format dxfId="458">
      <pivotArea dataOnly="0" labelOnly="1" outline="0" fieldPosition="0">
        <references count="1">
          <reference field="4294967294" count="1">
            <x v="1"/>
          </reference>
        </references>
      </pivotArea>
    </format>
    <format dxfId="457">
      <pivotArea field="0" grandRow="1" outline="0" axis="axisRow" fieldPosition="0">
        <references count="1">
          <reference field="4294967294" count="1" selected="0">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22B1C949-AC94-42C8-8B07-7E0DD59D9B4A}" name="PivotTable6" cacheId="0" applyNumberFormats="0" applyBorderFormats="0" applyFontFormats="0" applyPatternFormats="0" applyAlignmentFormats="0" applyWidthHeightFormats="1" dataCaption="Values" updatedVersion="6" minRefreshableVersion="3" itemPrintTitles="1" createdVersion="6" indent="0" compact="0" compactData="0" multipleFieldFilters="0" rowHeaderCaption="Township">
  <location ref="I9:N13" firstHeaderRow="0" firstDataRow="1" firstDataCol="2" rowPageCount="4" colPageCount="1"/>
  <pivotFields count="88">
    <pivotField axis="axisPage" compact="0" outline="0" subtotalTop="0" showAll="0" defaultSubtotal="0">
      <items count="16">
        <item m="1" x="14"/>
        <item m="1" x="4"/>
        <item m="1" x="7"/>
        <item m="1" x="2"/>
        <item m="1" x="15"/>
        <item m="1" x="3"/>
        <item m="1" x="13"/>
        <item m="1" x="9"/>
        <item m="1" x="11"/>
        <item m="1" x="12"/>
        <item m="1" x="5"/>
        <item m="1" x="6"/>
        <item m="1" x="8"/>
        <item m="1" x="10"/>
        <item x="0"/>
        <item x="1"/>
      </items>
    </pivotField>
    <pivotField axis="axisRow" compact="0" outline="0" showAll="0" defaultSubtotal="0">
      <items count="51">
        <item x="3"/>
        <item m="1" x="27"/>
        <item m="1" x="46"/>
        <item m="1" x="47"/>
        <item x="2"/>
        <item x="9"/>
        <item m="1" x="36"/>
        <item m="1" x="43"/>
        <item x="0"/>
        <item m="1" x="15"/>
        <item m="1" x="31"/>
        <item m="1" x="17"/>
        <item x="8"/>
        <item x="13"/>
        <item m="1" x="41"/>
        <item m="1" x="20"/>
        <item m="1" x="18"/>
        <item m="1" x="42"/>
        <item m="1" x="38"/>
        <item m="1" x="34"/>
        <item m="1" x="26"/>
        <item m="1" x="45"/>
        <item m="1" x="24"/>
        <item m="1" x="21"/>
        <item m="1" x="48"/>
        <item m="1" x="40"/>
        <item m="1" x="33"/>
        <item m="1" x="32"/>
        <item m="1" x="30"/>
        <item x="4"/>
        <item m="1" x="28"/>
        <item x="6"/>
        <item m="1" x="49"/>
        <item m="1" x="16"/>
        <item m="1" x="25"/>
        <item m="1" x="23"/>
        <item x="5"/>
        <item x="1"/>
        <item m="1" x="50"/>
        <item m="1" x="19"/>
        <item x="7"/>
        <item m="1" x="35"/>
        <item m="1" x="39"/>
        <item m="1" x="29"/>
        <item m="1" x="37"/>
        <item m="1" x="44"/>
        <item x="10"/>
        <item m="1" x="14"/>
        <item x="12"/>
        <item x="11"/>
        <item m="1" x="22"/>
      </items>
    </pivotField>
    <pivotField compact="0" outline="0" showAll="0" defaultSubtotal="0"/>
    <pivotField compact="0" outline="0" subtotalTop="0" showAll="0" defaultSubtotal="0"/>
    <pivotField axis="axisPage" compact="0" outline="0" subtotalTop="0" multipleItemSelectionAllowed="1" showAll="0" defaultSubtotal="0">
      <items count="7">
        <item h="1" x="2"/>
        <item m="1" x="5"/>
        <item x="0"/>
        <item m="1" x="4"/>
        <item h="1" x="1"/>
        <item h="1" m="1" x="6"/>
        <item h="1" x="3"/>
      </items>
    </pivotField>
    <pivotField axis="axisRow" compact="0" outline="0" subtotalTop="0" showAll="0" sortType="ascending" defaultSubtotal="0">
      <items count="52">
        <item x="0"/>
        <item m="1" x="28"/>
        <item m="1" x="31"/>
        <item m="1" x="48"/>
        <item m="1" x="34"/>
        <item m="1" x="43"/>
        <item x="21"/>
        <item m="1" x="39"/>
        <item x="18"/>
        <item m="1" x="37"/>
        <item x="16"/>
        <item x="4"/>
        <item x="7"/>
        <item m="1" x="24"/>
        <item x="9"/>
        <item x="13"/>
        <item x="19"/>
        <item x="20"/>
        <item m="1" x="46"/>
        <item m="1" x="26"/>
        <item m="1" x="30"/>
        <item m="1" x="40"/>
        <item x="11"/>
        <item m="1" x="35"/>
        <item m="1" x="44"/>
        <item m="1" x="23"/>
        <item m="1" x="38"/>
        <item m="1" x="47"/>
        <item m="1" x="29"/>
        <item x="12"/>
        <item x="15"/>
        <item x="2"/>
        <item m="1" x="32"/>
        <item m="1" x="36"/>
        <item m="1" x="41"/>
        <item m="1" x="25"/>
        <item x="3"/>
        <item m="1" x="27"/>
        <item x="8"/>
        <item m="1" x="42"/>
        <item m="1" x="33"/>
        <item m="1" x="50"/>
        <item m="1" x="45"/>
        <item m="1" x="51"/>
        <item x="10"/>
        <item x="6"/>
        <item x="17"/>
        <item m="1" x="49"/>
        <item x="5"/>
        <item x="14"/>
        <item x="1"/>
        <item m="1" x="22"/>
      </items>
    </pivotField>
    <pivotField axis="axisPage" compact="0" outline="0" multipleItemSelectionAllowed="1" showAll="0" defaultSubtotal="0">
      <items count="11">
        <item h="1" m="1" x="4"/>
        <item h="1" m="1" x="9"/>
        <item m="1" x="8"/>
        <item m="1" x="3"/>
        <item h="1" m="1" x="2"/>
        <item x="0"/>
        <item h="1" m="1" x="7"/>
        <item h="1" m="1" x="10"/>
        <item m="1" x="5"/>
        <item m="1" x="6"/>
        <item h="1" m="1" x="1"/>
      </items>
    </pivotField>
    <pivotField compact="0" outline="0" showAll="0" defaultSubtotal="0"/>
    <pivotField compact="0" outline="0" subtotalTop="0" showAll="0" defaultSubtotal="0"/>
    <pivotField dataField="1" compact="0" outline="0" subtotalTop="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howAll="0" defaultSubtotal="0"/>
    <pivotField compact="0" outline="0" subtotalTop="0" showAll="0" defaultSubtotal="0"/>
    <pivotField compact="0" outline="0" subtotalTop="0" showAll="0" defaultSubtotal="0"/>
    <pivotField compact="0" numFmtId="9" outline="0" showAll="0" defaultSubtotal="0"/>
    <pivotField compact="0" numFmtId="1"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numFmtId="1" outline="0" showAll="0" defaultSubtotal="0"/>
    <pivotField compact="0" numFmtId="1" outline="0" showAll="0" defaultSubtotal="0"/>
    <pivotField compact="0" numFmtId="1" outline="0" showAll="0" defaultSubtotal="0"/>
    <pivotField compact="0" outline="0" subtotalTop="0" showAll="0" defaultSubtotal="0"/>
    <pivotField compact="0" outline="0" subtotalTop="0" showAll="0" defaultSubtotal="0"/>
    <pivotField compact="0" outline="0" subtotalTop="0" showAll="0" defaultSubtotal="0"/>
    <pivotField compact="0" numFmtId="1" outline="0" showAll="0" defaultSubtotal="0"/>
    <pivotField compact="0" numFmtId="1" outline="0" showAll="0" defaultSubtotal="0"/>
    <pivotField compact="0" numFmtId="164"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Page" compact="0" outline="0" subtotalTop="0" multipleItemSelectionAllowed="1" showAll="0" defaultSubtotal="0">
      <items count="4">
        <item x="0"/>
        <item h="1" m="1" x="3"/>
        <item m="1" x="2"/>
        <item m="1" x="1"/>
      </items>
    </pivotField>
    <pivotField compact="0" outline="0" subtotalTop="0" showAll="0" defaultSubtotal="0"/>
    <pivotField compact="0" outline="0" dragToRow="0" dragToCol="0" dragToPage="0" showAll="0" defaultSubtotal="0"/>
    <pivotField compact="0" outline="0" dragToRow="0" dragToCol="0" dragToPage="0" showAll="0" defaultSubtotal="0"/>
    <pivotField dataField="1" compact="0" outline="0" dragToRow="0" dragToCol="0" dragToPage="0" showAll="0" defaultSubtotal="0"/>
    <pivotField compact="0" outline="0" dragToRow="0" dragToCol="0" dragToPage="0" showAll="0" defaultSubtotal="0"/>
    <pivotField compact="0" outline="0" dragToRow="0" dragToCol="0" dragToPage="0" showAll="0" defaultSubtotal="0"/>
    <pivotField dataField="1" compact="0" outline="0" dragToRow="0" dragToCol="0" dragToPage="0" showAll="0" defaultSubtotal="0"/>
    <pivotField compact="0" outline="0" dragToRow="0" dragToCol="0" dragToPage="0" showAll="0" defaultSubtotal="0"/>
    <pivotField dataField="1" compact="0" outline="0" dragToRow="0" dragToCol="0" dragToPage="0" showAll="0" defaultSubtotal="0"/>
  </pivotFields>
  <rowFields count="2">
    <field x="5"/>
    <field x="1"/>
  </rowFields>
  <rowItems count="4">
    <i>
      <x v="8"/>
      <x v="49"/>
    </i>
    <i>
      <x v="16"/>
      <x v="49"/>
    </i>
    <i>
      <x v="17"/>
      <x v="8"/>
    </i>
    <i t="grand">
      <x/>
    </i>
  </rowItems>
  <colFields count="1">
    <field x="-2"/>
  </colFields>
  <colItems count="4">
    <i>
      <x/>
    </i>
    <i i="1">
      <x v="1"/>
    </i>
    <i i="2">
      <x v="2"/>
    </i>
    <i i="3">
      <x v="3"/>
    </i>
  </colItems>
  <pageFields count="4">
    <pageField fld="0" item="15" hier="-1"/>
    <pageField fld="78" hier="-1"/>
    <pageField fld="4" hier="-1"/>
    <pageField fld="6" hier="-1"/>
  </pageFields>
  <dataFields count="4">
    <dataField name="PoP " fld="9" baseField="0" baseItem="0" numFmtId="164"/>
    <dataField name=" % Water GAP" fld="85" baseField="0" baseItem="0" numFmtId="9"/>
    <dataField name=" % Sanitation GAP" fld="87" baseField="0" baseItem="0" numFmtId="9"/>
    <dataField name=" % Hygiene Gap" fld="82" baseField="0" baseItem="0" numFmtId="9"/>
  </dataFields>
  <formats count="35">
    <format dxfId="322">
      <pivotArea type="all" dataOnly="0" outline="0" fieldPosition="0"/>
    </format>
    <format dxfId="321">
      <pivotArea outline="0" collapsedLevelsAreSubtotals="1" fieldPosition="0"/>
    </format>
    <format dxfId="320">
      <pivotArea field="5" type="button" dataOnly="0" labelOnly="1" outline="0" axis="axisRow" fieldPosition="0"/>
    </format>
    <format dxfId="319">
      <pivotArea dataOnly="0" labelOnly="1" outline="0" axis="axisValues" fieldPosition="0"/>
    </format>
    <format dxfId="318">
      <pivotArea dataOnly="0" labelOnly="1" fieldPosition="0">
        <references count="1">
          <reference field="5" count="0"/>
        </references>
      </pivotArea>
    </format>
    <format dxfId="317">
      <pivotArea dataOnly="0" labelOnly="1" grandRow="1" outline="0" fieldPosition="0"/>
    </format>
    <format dxfId="316">
      <pivotArea dataOnly="0" labelOnly="1" outline="0" axis="axisValues" fieldPosition="0"/>
    </format>
    <format dxfId="315">
      <pivotArea type="all" dataOnly="0" outline="0" fieldPosition="0"/>
    </format>
    <format dxfId="314">
      <pivotArea field="5" type="button" dataOnly="0" labelOnly="1" outline="0" axis="axisRow" fieldPosition="0"/>
    </format>
    <format dxfId="313">
      <pivotArea dataOnly="0" labelOnly="1" outline="0" axis="axisValues" fieldPosition="0"/>
    </format>
    <format dxfId="312">
      <pivotArea dataOnly="0" labelOnly="1" fieldPosition="0">
        <references count="1">
          <reference field="5" count="0"/>
        </references>
      </pivotArea>
    </format>
    <format dxfId="311">
      <pivotArea dataOnly="0" labelOnly="1" outline="0" axis="axisValues" fieldPosition="0"/>
    </format>
    <format dxfId="310">
      <pivotArea field="5" type="button" dataOnly="0" labelOnly="1" outline="0" axis="axisRow" fieldPosition="0"/>
    </format>
    <format dxfId="309">
      <pivotArea type="all" dataOnly="0" outline="0" fieldPosition="0"/>
    </format>
    <format dxfId="308">
      <pivotArea field="5" type="button" dataOnly="0" labelOnly="1" outline="0" axis="axisRow" fieldPosition="0"/>
    </format>
    <format dxfId="307">
      <pivotArea dataOnly="0" labelOnly="1" outline="0" fieldPosition="0">
        <references count="1">
          <reference field="4294967294" count="1">
            <x v="0"/>
          </reference>
        </references>
      </pivotArea>
    </format>
    <format dxfId="306">
      <pivotArea type="all" dataOnly="0" outline="0" fieldPosition="0"/>
    </format>
    <format dxfId="305">
      <pivotArea outline="0" collapsedLevelsAreSubtotals="1" fieldPosition="0"/>
    </format>
    <format dxfId="304">
      <pivotArea field="5" type="button" dataOnly="0" labelOnly="1" outline="0" axis="axisRow" fieldPosition="0"/>
    </format>
    <format dxfId="303">
      <pivotArea dataOnly="0" labelOnly="1" fieldPosition="0">
        <references count="1">
          <reference field="5" count="2">
            <x v="38"/>
            <x v="44"/>
          </reference>
        </references>
      </pivotArea>
    </format>
    <format dxfId="302">
      <pivotArea dataOnly="0" labelOnly="1" outline="0" fieldPosition="0">
        <references count="1">
          <reference field="4294967294" count="1">
            <x v="0"/>
          </reference>
        </references>
      </pivotArea>
    </format>
    <format dxfId="301">
      <pivotArea field="5" type="button" dataOnly="0" labelOnly="1" outline="0" axis="axisRow" fieldPosition="0"/>
    </format>
    <format dxfId="300">
      <pivotArea dataOnly="0" labelOnly="1" outline="0" fieldPosition="0">
        <references count="1">
          <reference field="4294967294" count="1">
            <x v="0"/>
          </reference>
        </references>
      </pivotArea>
    </format>
    <format dxfId="299">
      <pivotArea type="all" dataOnly="0" outline="0" fieldPosition="0"/>
    </format>
    <format dxfId="298">
      <pivotArea outline="0" collapsedLevelsAreSubtotals="1" fieldPosition="0"/>
    </format>
    <format dxfId="297">
      <pivotArea field="5" type="button" dataOnly="0" labelOnly="1" outline="0" axis="axisRow" fieldPosition="0"/>
    </format>
    <format dxfId="296">
      <pivotArea dataOnly="0" labelOnly="1" fieldPosition="0">
        <references count="1">
          <reference field="5" count="5">
            <x v="14"/>
            <x v="15"/>
            <x v="29"/>
            <x v="38"/>
            <x v="44"/>
          </reference>
        </references>
      </pivotArea>
    </format>
    <format dxfId="295">
      <pivotArea dataOnly="0" labelOnly="1" grandRow="1" outline="0" fieldPosition="0"/>
    </format>
    <format dxfId="294">
      <pivotArea dataOnly="0" labelOnly="1" outline="0" fieldPosition="0">
        <references count="1">
          <reference field="4294967294" count="1">
            <x v="0"/>
          </reference>
        </references>
      </pivotArea>
    </format>
    <format dxfId="293">
      <pivotArea field="4" type="button" dataOnly="0" labelOnly="1" outline="0" axis="axisPage" fieldPosition="2"/>
    </format>
    <format dxfId="292">
      <pivotArea dataOnly="0" labelOnly="1" outline="0" fieldPosition="0">
        <references count="2">
          <reference field="0" count="1" selected="0">
            <x v="7"/>
          </reference>
          <reference field="4" count="1">
            <x v="1"/>
          </reference>
        </references>
      </pivotArea>
    </format>
    <format dxfId="291">
      <pivotArea outline="0" collapsedLevelsAreSubtotals="1" fieldPosition="0">
        <references count="1">
          <reference field="4294967294" count="1" selected="0">
            <x v="0"/>
          </reference>
        </references>
      </pivotArea>
    </format>
    <format dxfId="290">
      <pivotArea dataOnly="0" labelOnly="1" outline="0" fieldPosition="0">
        <references count="2">
          <reference field="0" count="1" selected="0">
            <x v="8"/>
          </reference>
          <reference field="4" count="1">
            <x v="1"/>
          </reference>
        </references>
      </pivotArea>
    </format>
    <format dxfId="289">
      <pivotArea dataOnly="0" labelOnly="1" outline="0" fieldPosition="0">
        <references count="2">
          <reference field="0" count="1" selected="0">
            <x v="10"/>
          </reference>
          <reference field="4" count="0"/>
        </references>
      </pivotArea>
    </format>
    <format dxfId="288">
      <pivotArea outline="0" collapsedLevelsAreSubtotals="1" fieldPosition="0">
        <references count="1">
          <reference field="4294967294" count="3" selected="0">
            <x v="1"/>
            <x v="2"/>
            <x v="3"/>
          </reference>
        </references>
      </pivotArea>
    </format>
  </formats>
  <conditionalFormats count="1">
    <conditionalFormat priority="3">
      <pivotAreas count="1">
        <pivotArea type="data" outline="0" collapsedLevelsAreSubtotals="1" fieldPosition="0">
          <references count="1">
            <reference field="4294967294" count="3" selected="0">
              <x v="1"/>
              <x v="2"/>
              <x v="3"/>
            </reference>
          </references>
        </pivotArea>
      </pivotAreas>
    </conditionalFormat>
  </conditional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Hygiene_1"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4">
  <location ref="B137:C142" firstHeaderRow="1" firstDataRow="1" firstDataCol="1" rowPageCount="4" colPageCount="1"/>
  <pivotFields count="88">
    <pivotField axis="axisPage" subtotalTop="0" multipleItemSelectionAllowed="1" showAll="0">
      <items count="17">
        <item h="1" m="1" x="14"/>
        <item m="1" x="4"/>
        <item m="1" x="15"/>
        <item h="1" m="1" x="7"/>
        <item m="1" x="3"/>
        <item h="1" m="1" x="2"/>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x="2"/>
        <item m="1" x="5"/>
        <item h="1" x="0"/>
        <item m="1" x="4"/>
        <item x="1"/>
        <item m="1" x="6"/>
        <item h="1" x="3"/>
        <item t="default"/>
      </items>
    </pivotField>
    <pivotField subtotalTop="0" showAll="0"/>
    <pivotField axis="axisPage" multipleItemSelectionAllowed="1" showAll="0" defaultSubtotal="0">
      <items count="11">
        <item m="1" x="4"/>
        <item m="1" x="9"/>
        <item m="1" x="8"/>
        <item m="1" x="6"/>
        <item m="1" x="3"/>
        <item m="1" x="2"/>
        <item x="0"/>
        <item m="1" x="7"/>
        <item h="1" m="1" x="10"/>
        <item m="1" x="5"/>
        <item h="1" m="1" x="1"/>
      </items>
    </pivotField>
    <pivotField showAll="0"/>
    <pivotField subtotalTop="0" showAll="0"/>
    <pivotField dataField="1"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5">
    <i>
      <x/>
    </i>
    <i i="1">
      <x v="1"/>
    </i>
    <i i="2">
      <x v="2"/>
    </i>
    <i i="3">
      <x v="3"/>
    </i>
    <i i="4">
      <x v="4"/>
    </i>
  </rowItems>
  <colItems count="1">
    <i/>
  </colItems>
  <pageFields count="4">
    <pageField fld="0" hier="-1"/>
    <pageField fld="4" hier="-1"/>
    <pageField fld="78" item="0" hier="-1"/>
    <pageField fld="6" hier="-1"/>
  </pageFields>
  <dataFields count="5">
    <dataField name="Sum of Total PoP " fld="9" baseField="0" baseItem="0"/>
    <dataField name="Men" fld="29" baseField="0" baseItem="0"/>
    <dataField name="Women" fld="30" baseField="0" baseItem="0"/>
    <dataField name="Boys" fld="31" baseField="0" baseItem="0"/>
    <dataField name="Girls" fld="32" baseField="0" baseItem="0"/>
  </dataFields>
  <formats count="9">
    <format dxfId="331">
      <pivotArea type="all" dataOnly="0" outline="0" fieldPosition="0"/>
    </format>
    <format dxfId="330">
      <pivotArea type="all" dataOnly="0" outline="0" fieldPosition="0"/>
    </format>
    <format dxfId="329">
      <pivotArea outline="0" collapsedLevelsAreSubtotals="1" fieldPosition="0"/>
    </format>
    <format dxfId="328">
      <pivotArea field="4" type="button" dataOnly="0" labelOnly="1" outline="0" axis="axisPage" fieldPosition="1"/>
    </format>
    <format dxfId="327">
      <pivotArea dataOnly="0" labelOnly="1" grandRow="1" outline="0" fieldPosition="0"/>
    </format>
    <format dxfId="326">
      <pivotArea type="all" dataOnly="0" outline="0" fieldPosition="0"/>
    </format>
    <format dxfId="325">
      <pivotArea outline="0" collapsedLevelsAreSubtotals="1" fieldPosition="0"/>
    </format>
    <format dxfId="324">
      <pivotArea field="4" type="button" dataOnly="0" labelOnly="1" outline="0" axis="axisPage" fieldPosition="1"/>
    </format>
    <format dxfId="323">
      <pivotArea dataOnly="0" labelOnly="1" grandRow="1" outline="0"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B85B7807-1E1E-4E05-B412-22F3CC74F405}" name="PivotTable26"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0">
  <location ref="K137:L139" firstHeaderRow="1" firstDataRow="1" firstDataCol="1" rowPageCount="4" colPageCount="1"/>
  <pivotFields count="88">
    <pivotField axis="axisPage" subtotalTop="0" multipleItemSelectionAllowed="1" showAll="0">
      <items count="17">
        <item h="1" m="1" x="14"/>
        <item m="1" x="4"/>
        <item m="1" x="15"/>
        <item h="1" m="1" x="7"/>
        <item m="1" x="3"/>
        <item h="1" m="1" x="2"/>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x="2"/>
        <item m="1" x="5"/>
        <item h="1" x="0"/>
        <item m="1" x="4"/>
        <item x="1"/>
        <item m="1" x="6"/>
        <item h="1" x="3"/>
        <item t="default"/>
      </items>
    </pivotField>
    <pivotField subtotalTop="0" showAll="0"/>
    <pivotField axis="axisPage" multipleItemSelectionAllowed="1" showAll="0" defaultSubtotal="0">
      <items count="11">
        <item m="1" x="4"/>
        <item m="1" x="9"/>
        <item m="1" x="8"/>
        <item m="1" x="6"/>
        <item m="1" x="3"/>
        <item m="1" x="2"/>
        <item x="0"/>
        <item m="1" x="7"/>
        <item h="1" m="1" x="10"/>
        <item m="1" x="5"/>
        <item h="1" m="1" x="1"/>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Items count="1">
    <i/>
  </colItems>
  <pageFields count="4">
    <pageField fld="0" hier="-1"/>
    <pageField fld="4" hier="-1"/>
    <pageField fld="78" item="0" hier="-1"/>
    <pageField fld="6" hier="-1"/>
  </pageFields>
  <dataFields count="2">
    <dataField name="Sum of #_of_functional_handwashing_facilities_at_HH_level" fld="35" baseField="0" baseItem="0"/>
    <dataField name="Sum of #_of_functional_handwashing_facilities_at_school" fld="36" baseField="0" baseItem="0"/>
  </dataFields>
  <formats count="9">
    <format dxfId="340">
      <pivotArea type="all" dataOnly="0" outline="0" fieldPosition="0"/>
    </format>
    <format dxfId="339">
      <pivotArea type="all" dataOnly="0" outline="0" fieldPosition="0"/>
    </format>
    <format dxfId="338">
      <pivotArea outline="0" collapsedLevelsAreSubtotals="1" fieldPosition="0"/>
    </format>
    <format dxfId="337">
      <pivotArea field="4" type="button" dataOnly="0" labelOnly="1" outline="0" axis="axisPage" fieldPosition="1"/>
    </format>
    <format dxfId="336">
      <pivotArea dataOnly="0" labelOnly="1" grandRow="1" outline="0" fieldPosition="0"/>
    </format>
    <format dxfId="335">
      <pivotArea type="all" dataOnly="0" outline="0" fieldPosition="0"/>
    </format>
    <format dxfId="334">
      <pivotArea outline="0" collapsedLevelsAreSubtotals="1" fieldPosition="0"/>
    </format>
    <format dxfId="333">
      <pivotArea field="4" type="button" dataOnly="0" labelOnly="1" outline="0" axis="axisPage" fieldPosition="1"/>
    </format>
    <format dxfId="332">
      <pivotArea dataOnly="0" labelOnly="1" grandRow="1" outline="0" fieldPosition="0"/>
    </format>
  </formats>
  <pivotTableStyleInfo name="PivotStyleLight14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Geo_Gap"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chartFormat="8">
  <location ref="C213:J232" firstHeaderRow="0" firstDataRow="1" firstDataCol="3" rowPageCount="1" colPageCount="1"/>
  <pivotFields count="88">
    <pivotField axis="axisPage" compact="0" outline="0" subtotalTop="0" showAll="0" defaultSubtotal="0">
      <items count="16">
        <item m="1" x="14"/>
        <item m="1" x="4"/>
        <item m="1" x="15"/>
        <item m="1" x="7"/>
        <item m="1" x="3"/>
        <item m="1" x="2"/>
        <item m="1" x="13"/>
        <item m="1" x="9"/>
        <item m="1" x="11"/>
        <item m="1" x="12"/>
        <item m="1" x="5"/>
        <item m="1" x="6"/>
        <item m="1" x="8"/>
        <item m="1" x="10"/>
        <item x="0"/>
        <item x="1"/>
      </items>
    </pivotField>
    <pivotField compact="0" outline="0" showAll="0" defaultSubtotal="0"/>
    <pivotField compact="0" outline="0" showAll="0" defaultSubtotal="0"/>
    <pivotField compact="0" outline="0" subtotalTop="0" showAll="0" defaultSubtotal="0"/>
    <pivotField axis="axisRow" compact="0" outline="0" subtotalTop="0" multipleItemSelectionAllowed="1" showAll="0">
      <items count="8">
        <item x="2"/>
        <item m="1" x="5"/>
        <item x="0"/>
        <item m="1" x="4"/>
        <item x="1"/>
        <item m="1" x="6"/>
        <item x="3"/>
        <item t="default"/>
      </items>
    </pivotField>
    <pivotField axis="axisRow" compact="0" outline="0" subtotalTop="0" showAll="0" defaultSubtotal="0">
      <items count="52">
        <item m="1" x="28"/>
        <item m="1" x="31"/>
        <item m="1" x="48"/>
        <item m="1" x="43"/>
        <item m="1" x="39"/>
        <item x="18"/>
        <item m="1" x="37"/>
        <item m="1" x="24"/>
        <item x="9"/>
        <item x="13"/>
        <item x="19"/>
        <item m="1" x="46"/>
        <item m="1" x="26"/>
        <item m="1" x="30"/>
        <item m="1" x="40"/>
        <item x="11"/>
        <item m="1" x="35"/>
        <item m="1" x="44"/>
        <item m="1" x="38"/>
        <item m="1" x="47"/>
        <item m="1" x="29"/>
        <item x="12"/>
        <item x="15"/>
        <item m="1" x="36"/>
        <item m="1" x="41"/>
        <item m="1" x="27"/>
        <item x="8"/>
        <item m="1" x="42"/>
        <item m="1" x="33"/>
        <item m="1" x="50"/>
        <item m="1" x="45"/>
        <item m="1" x="51"/>
        <item x="10"/>
        <item x="17"/>
        <item m="1" x="49"/>
        <item x="14"/>
        <item m="1" x="32"/>
        <item m="1" x="23"/>
        <item m="1" x="25"/>
        <item m="1" x="22"/>
        <item m="1" x="34"/>
        <item x="0"/>
        <item x="1"/>
        <item x="2"/>
        <item x="3"/>
        <item x="4"/>
        <item x="5"/>
        <item x="6"/>
        <item x="7"/>
        <item x="20"/>
        <item x="16"/>
        <item x="21"/>
      </items>
    </pivotField>
    <pivotField compact="0" outline="0" showAll="0" defaultSubtotal="0"/>
    <pivotField compact="0" outline="0" showAll="0"/>
    <pivotField dataField="1" compact="0" outline="0" subtotalTop="0" showAll="0" defaultSubtotal="0"/>
    <pivotField dataField="1" compact="0" outline="0" subtotalTop="0" showAll="0" defaultSubtotal="0"/>
    <pivotField compact="0" outline="0" showAll="0" defaultSubtotal="0"/>
    <pivotField compact="0" outline="0" showAll="0" defaultSubtotal="0"/>
    <pivotField compact="0" outline="0" showAll="0"/>
    <pivotField compact="0" outline="0" subtotalTop="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defaultSubtotal="0"/>
    <pivotField compact="0" outline="0" showAll="0" defaultSubtotal="0"/>
    <pivotField compact="0" outline="0" showAll="0"/>
    <pivotField compact="0" numFmtId="1" outline="0" subtotalTop="0" showAll="0" defaultSubtotal="0"/>
    <pivotField compact="0" outline="0" showAll="0" defaultSubtotal="0"/>
    <pivotField compact="0" outline="0" showAll="0" defaultSubtotal="0"/>
    <pivotField compact="0" outline="0" subtotalTop="0" showAll="0" defaultSubtotal="0"/>
    <pivotField dataField="1" compact="0" outline="0" subtotalTop="0" showAll="0" defaultSubtotal="0"/>
    <pivotField compact="0" outline="0" showAll="0" defaultSubtotal="0"/>
    <pivotField compact="0" numFmtId="1" outline="0" subtotalTop="0" showAll="0" defaultSubtotal="0"/>
    <pivotField compact="0" numFmtId="1" outline="0" subtotalTop="0" showAll="0" defaultSubtotal="0"/>
    <pivotField compact="0" numFmtId="9" outline="0" showAll="0"/>
    <pivotField compact="0" numFmtId="1" outline="0" showAll="0" defaultSubtotal="0"/>
    <pivotField compact="0" outline="0" showAll="0" defaultSubtotal="0"/>
    <pivotField compact="0" outline="0" subtotalTop="0" showAll="0" defaultSubtotal="0"/>
    <pivotField compact="0" outline="0" subtotalTop="0" showAll="0" defaultSubtotal="0"/>
    <pivotField dataField="1" compact="0" outline="0" subtotalTop="0" showAll="0" defaultSubtotal="0"/>
    <pivotField compact="0" numFmtId="1" outline="0" showAll="0"/>
    <pivotField compact="0" numFmtId="1" outline="0" showAll="0"/>
    <pivotField compact="0" numFmtId="1" outline="0" showAll="0" defaultSubtotal="0"/>
    <pivotField compact="0" numFmtId="9" outline="0" subtotalTop="0" showAll="0" defaultSubtotal="0"/>
    <pivotField dataField="1" compact="0" numFmtId="9" outline="0" subtotalTop="0" showAll="0" defaultSubtotal="0"/>
    <pivotField compact="0" numFmtId="9" outline="0" subtotalTop="0" showAll="0" defaultSubtotal="0"/>
    <pivotField compact="0" numFmtId="1" outline="0" showAll="0"/>
    <pivotField compact="0" numFmtId="1" outline="0" showAll="0"/>
    <pivotField compact="0" numFmtId="164" outline="0" showAll="0"/>
    <pivotField compact="0" outline="0" showAll="0"/>
    <pivotField compact="0" outline="0" subtotalTop="0" showAll="0" defaultSubtotal="0"/>
    <pivotField axis="axisRow" compact="0" outline="0" subtotalTop="0" showAll="0" defaultSubtotal="0">
      <items count="4">
        <item m="1" x="3"/>
        <item x="0"/>
        <item x="2"/>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4">
        <item x="0"/>
        <item n="Gap" m="1" x="3"/>
        <item m="1" x="2"/>
        <item m="1" x="1"/>
      </items>
    </pivotField>
    <pivotField compact="0" outline="0" subtotalTop="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3">
    <field x="4"/>
    <field x="5"/>
    <field x="73"/>
  </rowFields>
  <rowItems count="19">
    <i>
      <x/>
      <x v="22"/>
      <x v="1"/>
    </i>
    <i r="1">
      <x v="33"/>
      <x v="1"/>
    </i>
    <i r="1">
      <x v="35"/>
      <x v="1"/>
    </i>
    <i r="1">
      <x v="50"/>
      <x v="1"/>
    </i>
    <i t="default">
      <x/>
    </i>
    <i>
      <x v="2"/>
      <x v="5"/>
      <x v="1"/>
    </i>
    <i r="1">
      <x v="10"/>
      <x v="1"/>
    </i>
    <i r="1">
      <x v="49"/>
      <x v="1"/>
    </i>
    <i t="default">
      <x v="2"/>
    </i>
    <i>
      <x v="4"/>
      <x v="9"/>
      <x v="1"/>
    </i>
    <i r="1">
      <x v="15"/>
      <x v="1"/>
    </i>
    <i r="2">
      <x v="3"/>
    </i>
    <i r="1">
      <x v="21"/>
      <x v="2"/>
    </i>
    <i r="1">
      <x v="26"/>
      <x v="1"/>
    </i>
    <i r="1">
      <x v="32"/>
      <x v="1"/>
    </i>
    <i r="2">
      <x v="2"/>
    </i>
    <i t="default">
      <x v="4"/>
    </i>
    <i>
      <x v="6"/>
      <x v="51"/>
      <x v="1"/>
    </i>
    <i t="default">
      <x v="6"/>
    </i>
  </rowItems>
  <colFields count="1">
    <field x="-2"/>
  </colFields>
  <colItems count="5">
    <i>
      <x/>
    </i>
    <i i="1">
      <x v="1"/>
    </i>
    <i i="2">
      <x v="2"/>
    </i>
    <i i="3">
      <x v="3"/>
    </i>
    <i i="4">
      <x v="4"/>
    </i>
  </colItems>
  <pageFields count="1">
    <pageField fld="0" item="15" hier="-1"/>
  </pageFields>
  <dataFields count="5">
    <dataField name="HHs" fld="8" baseField="0" baseItem="0" numFmtId="164"/>
    <dataField name="Pops" fld="9" baseField="0" baseItem="0" numFmtId="164"/>
    <dataField name="% WATER GAP" fld="52" subtotal="average" baseField="0" baseItem="0" numFmtId="9"/>
    <dataField name="% LATRINE GAP" fld="61" subtotal="average" baseField="0" baseItem="0" numFmtId="9"/>
    <dataField name="% HYGIENE GAP" fld="66" subtotal="average" baseField="0" baseItem="0" numFmtId="9"/>
  </dataFields>
  <formats count="28">
    <format dxfId="368">
      <pivotArea type="all" dataOnly="0" outline="0" fieldPosition="0"/>
    </format>
    <format dxfId="367">
      <pivotArea outline="0" collapsedLevelsAreSubtotals="1" fieldPosition="0"/>
    </format>
    <format dxfId="366">
      <pivotArea field="4" type="button" dataOnly="0" labelOnly="1" outline="0" axis="axisRow" fieldPosition="0"/>
    </format>
    <format dxfId="365">
      <pivotArea dataOnly="0" labelOnly="1" grandRow="1" outline="0" fieldPosition="0"/>
    </format>
    <format dxfId="364">
      <pivotArea type="all" dataOnly="0" outline="0" fieldPosition="0"/>
    </format>
    <format dxfId="363">
      <pivotArea dataOnly="0" labelOnly="1" grandRow="1" outline="0" fieldPosition="0"/>
    </format>
    <format dxfId="362">
      <pivotArea type="all" dataOnly="0" outline="0" fieldPosition="0"/>
    </format>
    <format dxfId="361">
      <pivotArea type="origin" dataOnly="0" labelOnly="1" outline="0" fieldPosition="0"/>
    </format>
    <format dxfId="360">
      <pivotArea field="78" type="button" dataOnly="0" labelOnly="1" outline="0"/>
    </format>
    <format dxfId="359">
      <pivotArea type="topRight" dataOnly="0" labelOnly="1" outline="0" fieldPosition="0"/>
    </format>
    <format dxfId="358">
      <pivotArea type="all" dataOnly="0" outline="0" fieldPosition="0"/>
    </format>
    <format dxfId="357">
      <pivotArea outline="0" collapsedLevelsAreSubtotals="1" fieldPosition="0"/>
    </format>
    <format dxfId="356">
      <pivotArea type="origin" dataOnly="0" labelOnly="1" outline="0" fieldPosition="0"/>
    </format>
    <format dxfId="355">
      <pivotArea field="78" type="button" dataOnly="0" labelOnly="1" outline="0"/>
    </format>
    <format dxfId="354">
      <pivotArea type="topRight" dataOnly="0" labelOnly="1" outline="0" fieldPosition="0"/>
    </format>
    <format dxfId="353">
      <pivotArea outline="0" fieldPosition="0">
        <references count="1">
          <reference field="4294967294" count="3" selected="0">
            <x v="2"/>
            <x v="3"/>
            <x v="4"/>
          </reference>
        </references>
      </pivotArea>
    </format>
    <format dxfId="352">
      <pivotArea outline="0" fieldPosition="0">
        <references count="1">
          <reference field="4294967294" count="2" selected="0">
            <x v="0"/>
            <x v="1"/>
          </reference>
        </references>
      </pivotArea>
    </format>
    <format dxfId="351">
      <pivotArea type="all" dataOnly="0" outline="0" fieldPosition="0"/>
    </format>
    <format dxfId="350">
      <pivotArea outline="0" collapsedLevelsAreSubtotals="1" fieldPosition="0"/>
    </format>
    <format dxfId="349">
      <pivotArea field="4" type="button" dataOnly="0" labelOnly="1" outline="0" axis="axisRow" fieldPosition="0"/>
    </format>
    <format dxfId="348">
      <pivotArea field="5" type="button" dataOnly="0" labelOnly="1" outline="0" axis="axisRow" fieldPosition="1"/>
    </format>
    <format dxfId="347">
      <pivotArea field="73" type="button" dataOnly="0" labelOnly="1" outline="0" axis="axisRow" fieldPosition="2"/>
    </format>
    <format dxfId="346">
      <pivotArea dataOnly="0" labelOnly="1" outline="0" fieldPosition="0">
        <references count="1">
          <reference field="4" count="0"/>
        </references>
      </pivotArea>
    </format>
    <format dxfId="345">
      <pivotArea dataOnly="0" labelOnly="1" outline="0" fieldPosition="0">
        <references count="1">
          <reference field="4" count="0" defaultSubtotal="1"/>
        </references>
      </pivotArea>
    </format>
    <format dxfId="344">
      <pivotArea dataOnly="0" labelOnly="1" outline="0" fieldPosition="0">
        <references count="2">
          <reference field="4" count="1" selected="0">
            <x v="0"/>
          </reference>
          <reference field="5" count="8">
            <x v="1"/>
            <x v="12"/>
            <x v="17"/>
            <x v="18"/>
            <x v="28"/>
            <x v="31"/>
            <x v="33"/>
            <x v="35"/>
          </reference>
        </references>
      </pivotArea>
    </format>
    <format dxfId="343">
      <pivotArea dataOnly="0" labelOnly="1" outline="0" fieldPosition="0">
        <references count="2">
          <reference field="4" count="1" selected="0">
            <x v="1"/>
          </reference>
          <reference field="5" count="7">
            <x v="8"/>
            <x v="9"/>
            <x v="15"/>
            <x v="19"/>
            <x v="27"/>
            <x v="30"/>
            <x v="32"/>
          </reference>
        </references>
      </pivotArea>
    </format>
    <format dxfId="342">
      <pivotArea dataOnly="0" labelOnly="1" outline="0" fieldPosition="0">
        <references count="2">
          <reference field="4" count="1" selected="0">
            <x v="2"/>
          </reference>
          <reference field="5" count="4">
            <x v="6"/>
            <x v="7"/>
            <x v="13"/>
            <x v="20"/>
          </reference>
        </references>
      </pivotArea>
    </format>
    <format dxfId="341">
      <pivotArea dataOnly="0" labelOnly="1" outline="0" fieldPosition="0">
        <references count="1">
          <reference field="4294967294" count="5">
            <x v="0"/>
            <x v="1"/>
            <x v="2"/>
            <x v="3"/>
            <x v="4"/>
          </reference>
        </references>
      </pivotArea>
    </format>
  </formats>
  <pivotTableStyleInfo name="PivotStyleLight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C3C565C7-00A5-4A89-9477-F535CE6ABE09}" name="PivotTable10"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M122:N124" firstHeaderRow="1" firstDataRow="1" firstDataCol="1" rowPageCount="4" colPageCount="1"/>
  <pivotFields count="88">
    <pivotField axis="axisPage" subtotalTop="0" multipleItemSelectionAllowed="1" showAll="0">
      <items count="17">
        <item m="1" x="14"/>
        <item m="1" x="4"/>
        <item m="1" x="15"/>
        <item h="1" m="1" x="7"/>
        <item m="1" x="3"/>
        <item h="1" m="1" x="2"/>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subtotalTop="0" showAll="0"/>
    <pivotField axis="axisPage" multipleItemSelectionAllowed="1" showAll="0" defaultSubtotal="0">
      <items count="11">
        <item m="1" x="4"/>
        <item m="1" x="9"/>
        <item m="1" x="8"/>
        <item m="1" x="6"/>
        <item m="1" x="3"/>
        <item m="1" x="2"/>
        <item x="0"/>
        <item m="1" x="7"/>
        <item h="1" m="1" x="10"/>
        <item m="1" x="5"/>
        <item h="1" m="1" x="1"/>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Items count="1">
    <i/>
  </colItems>
  <pageFields count="4">
    <pageField fld="0" hier="-1"/>
    <pageField fld="4" hier="-1"/>
    <pageField fld="78" hier="-1"/>
    <pageField fld="6" hier="-1"/>
  </pageFields>
  <dataFields count="2">
    <dataField name="Sum of #_of_PWD_at_village" fld="24" baseField="0" baseItem="0"/>
    <dataField name="Sum of #_of_PWD_with_adapted_sanitation_option_at_HH_level_" fld="25" baseField="0" baseItem="0"/>
  </dataFields>
  <formats count="11">
    <format dxfId="379">
      <pivotArea field="4" type="button" dataOnly="0" labelOnly="1" outline="0" axis="axisPage" fieldPosition="1"/>
    </format>
    <format dxfId="378">
      <pivotArea type="all" dataOnly="0" outline="0" fieldPosition="0"/>
    </format>
    <format dxfId="377">
      <pivotArea outline="0" collapsedLevelsAreSubtotals="1" fieldPosition="0"/>
    </format>
    <format dxfId="376">
      <pivotArea type="origin" dataOnly="0" labelOnly="1" outline="0" fieldPosition="0"/>
    </format>
    <format dxfId="375">
      <pivotArea type="topRight" dataOnly="0" labelOnly="1" outline="0" fieldPosition="0"/>
    </format>
    <format dxfId="374">
      <pivotArea field="-2" type="button" dataOnly="0" labelOnly="1" outline="0" axis="axisRow" fieldPosition="0"/>
    </format>
    <format dxfId="373">
      <pivotArea type="all" dataOnly="0" outline="0" fieldPosition="0"/>
    </format>
    <format dxfId="372">
      <pivotArea outline="0" collapsedLevelsAreSubtotals="1" fieldPosition="0"/>
    </format>
    <format dxfId="371">
      <pivotArea field="4" type="button" dataOnly="0" labelOnly="1" outline="0" axis="axisPage" fieldPosition="1"/>
    </format>
    <format dxfId="370">
      <pivotArea dataOnly="0" labelOnly="1" outline="0" fieldPosition="0">
        <references count="1">
          <reference field="4" count="1">
            <x v="1"/>
          </reference>
        </references>
      </pivotArea>
    </format>
    <format dxfId="369">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7C1A5984-1947-4046-99FC-88F298486FE6}" name="PivotTable7" cacheId="0" applyNumberFormats="0" applyBorderFormats="0" applyFontFormats="0" applyPatternFormats="0" applyAlignmentFormats="0" applyWidthHeightFormats="1" dataCaption="Values" updatedVersion="6" minRefreshableVersion="3" itemPrintTitles="1" createdVersion="6" indent="0" compact="0" compactData="0" multipleFieldFilters="0" rowHeaderCaption="Township">
  <location ref="P9:U14" firstHeaderRow="0" firstDataRow="1" firstDataCol="2" rowPageCount="4" colPageCount="1"/>
  <pivotFields count="88">
    <pivotField axis="axisPage" compact="0" outline="0" subtotalTop="0" showAll="0" defaultSubtotal="0">
      <items count="16">
        <item m="1" x="14"/>
        <item m="1" x="4"/>
        <item m="1" x="7"/>
        <item m="1" x="2"/>
        <item m="1" x="15"/>
        <item m="1" x="3"/>
        <item m="1" x="13"/>
        <item m="1" x="9"/>
        <item m="1" x="11"/>
        <item m="1" x="12"/>
        <item m="1" x="5"/>
        <item m="1" x="6"/>
        <item m="1" x="8"/>
        <item m="1" x="10"/>
        <item x="0"/>
        <item x="1"/>
      </items>
    </pivotField>
    <pivotField axis="axisRow" compact="0" outline="0" showAll="0" defaultSubtotal="0">
      <items count="51">
        <item x="3"/>
        <item m="1" x="27"/>
        <item m="1" x="46"/>
        <item m="1" x="47"/>
        <item x="2"/>
        <item x="9"/>
        <item m="1" x="36"/>
        <item m="1" x="43"/>
        <item x="0"/>
        <item m="1" x="15"/>
        <item m="1" x="31"/>
        <item m="1" x="17"/>
        <item x="8"/>
        <item x="13"/>
        <item m="1" x="41"/>
        <item m="1" x="20"/>
        <item m="1" x="18"/>
        <item m="1" x="42"/>
        <item m="1" x="38"/>
        <item m="1" x="34"/>
        <item m="1" x="26"/>
        <item m="1" x="45"/>
        <item m="1" x="24"/>
        <item m="1" x="21"/>
        <item m="1" x="48"/>
        <item m="1" x="40"/>
        <item m="1" x="33"/>
        <item m="1" x="32"/>
        <item m="1" x="30"/>
        <item x="4"/>
        <item m="1" x="28"/>
        <item x="6"/>
        <item m="1" x="49"/>
        <item m="1" x="16"/>
        <item m="1" x="25"/>
        <item m="1" x="23"/>
        <item x="5"/>
        <item x="1"/>
        <item m="1" x="50"/>
        <item m="1" x="19"/>
        <item x="7"/>
        <item m="1" x="35"/>
        <item m="1" x="39"/>
        <item m="1" x="29"/>
        <item m="1" x="37"/>
        <item m="1" x="44"/>
        <item x="10"/>
        <item m="1" x="14"/>
        <item x="12"/>
        <item x="11"/>
        <item m="1" x="22"/>
      </items>
    </pivotField>
    <pivotField compact="0" outline="0" showAll="0" defaultSubtotal="0"/>
    <pivotField compact="0" outline="0" subtotalTop="0" showAll="0" defaultSubtotal="0"/>
    <pivotField axis="axisPage" compact="0" outline="0" subtotalTop="0" multipleItemSelectionAllowed="1" showAll="0" defaultSubtotal="0">
      <items count="7">
        <item x="2"/>
        <item m="1" x="5"/>
        <item h="1" x="0"/>
        <item m="1" x="4"/>
        <item h="1" x="1"/>
        <item h="1" m="1" x="6"/>
        <item h="1" x="3"/>
      </items>
    </pivotField>
    <pivotField axis="axisRow" compact="0" outline="0" subtotalTop="0" showAll="0" sortType="ascending" defaultSubtotal="0">
      <items count="52">
        <item x="0"/>
        <item m="1" x="28"/>
        <item m="1" x="31"/>
        <item m="1" x="48"/>
        <item m="1" x="34"/>
        <item m="1" x="43"/>
        <item x="21"/>
        <item m="1" x="39"/>
        <item x="18"/>
        <item m="1" x="37"/>
        <item x="16"/>
        <item x="4"/>
        <item x="7"/>
        <item m="1" x="24"/>
        <item x="9"/>
        <item x="13"/>
        <item x="19"/>
        <item x="20"/>
        <item m="1" x="46"/>
        <item m="1" x="26"/>
        <item m="1" x="30"/>
        <item m="1" x="40"/>
        <item x="11"/>
        <item m="1" x="35"/>
        <item m="1" x="44"/>
        <item m="1" x="23"/>
        <item m="1" x="38"/>
        <item m="1" x="47"/>
        <item m="1" x="29"/>
        <item x="12"/>
        <item x="15"/>
        <item x="2"/>
        <item m="1" x="32"/>
        <item m="1" x="36"/>
        <item m="1" x="41"/>
        <item m="1" x="25"/>
        <item x="3"/>
        <item m="1" x="27"/>
        <item x="8"/>
        <item m="1" x="42"/>
        <item m="1" x="33"/>
        <item m="1" x="50"/>
        <item m="1" x="45"/>
        <item m="1" x="51"/>
        <item x="10"/>
        <item x="6"/>
        <item x="17"/>
        <item m="1" x="49"/>
        <item x="5"/>
        <item x="14"/>
        <item x="1"/>
        <item m="1" x="22"/>
      </items>
    </pivotField>
    <pivotField axis="axisPage" compact="0" outline="0" multipleItemSelectionAllowed="1" showAll="0" defaultSubtotal="0">
      <items count="11">
        <item h="1" m="1" x="4"/>
        <item h="1" m="1" x="9"/>
        <item m="1" x="8"/>
        <item m="1" x="3"/>
        <item h="1" m="1" x="2"/>
        <item x="0"/>
        <item h="1" m="1" x="7"/>
        <item h="1" m="1" x="10"/>
        <item m="1" x="5"/>
        <item m="1" x="6"/>
        <item h="1" m="1" x="1"/>
      </items>
    </pivotField>
    <pivotField compact="0" outline="0" showAll="0" defaultSubtotal="0"/>
    <pivotField compact="0" outline="0" subtotalTop="0" showAll="0" defaultSubtotal="0"/>
    <pivotField dataField="1" compact="0" outline="0" subtotalTop="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howAll="0" defaultSubtotal="0"/>
    <pivotField compact="0" outline="0" subtotalTop="0" showAll="0" defaultSubtotal="0"/>
    <pivotField compact="0" outline="0" subtotalTop="0" showAll="0" defaultSubtotal="0"/>
    <pivotField compact="0" numFmtId="9" outline="0" showAll="0" defaultSubtotal="0"/>
    <pivotField compact="0" numFmtId="1"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numFmtId="1" outline="0" showAll="0" defaultSubtotal="0"/>
    <pivotField compact="0" numFmtId="1" outline="0" showAll="0" defaultSubtotal="0"/>
    <pivotField compact="0" numFmtId="1" outline="0" showAll="0" defaultSubtotal="0"/>
    <pivotField compact="0" outline="0" subtotalTop="0" showAll="0" defaultSubtotal="0"/>
    <pivotField compact="0" outline="0" subtotalTop="0" showAll="0" defaultSubtotal="0"/>
    <pivotField compact="0" outline="0" subtotalTop="0" showAll="0" defaultSubtotal="0"/>
    <pivotField compact="0" numFmtId="1" outline="0" showAll="0" defaultSubtotal="0"/>
    <pivotField compact="0" numFmtId="1" outline="0" showAll="0" defaultSubtotal="0"/>
    <pivotField compact="0" numFmtId="164"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Page" compact="0" outline="0" subtotalTop="0" multipleItemSelectionAllowed="1" showAll="0" defaultSubtotal="0">
      <items count="4">
        <item x="0"/>
        <item h="1" m="1" x="3"/>
        <item m="1" x="2"/>
        <item m="1" x="1"/>
      </items>
    </pivotField>
    <pivotField compact="0" outline="0" subtotalTop="0" showAll="0" defaultSubtotal="0"/>
    <pivotField compact="0" outline="0" dragToRow="0" dragToCol="0" dragToPage="0" showAll="0" defaultSubtotal="0"/>
    <pivotField compact="0" outline="0" dragToRow="0" dragToCol="0" dragToPage="0" showAll="0" defaultSubtotal="0"/>
    <pivotField dataField="1" compact="0" outline="0" dragToRow="0" dragToCol="0" dragToPage="0" showAll="0" defaultSubtotal="0"/>
    <pivotField compact="0" outline="0" dragToRow="0" dragToCol="0" dragToPage="0" showAll="0" defaultSubtotal="0"/>
    <pivotField compact="0" outline="0" dragToRow="0" dragToCol="0" dragToPage="0" showAll="0" defaultSubtotal="0"/>
    <pivotField dataField="1" compact="0" outline="0" dragToRow="0" dragToCol="0" dragToPage="0" showAll="0" defaultSubtotal="0"/>
    <pivotField compact="0" outline="0" dragToRow="0" dragToCol="0" dragToPage="0" showAll="0" defaultSubtotal="0"/>
    <pivotField dataField="1" compact="0" outline="0" dragToRow="0" dragToCol="0" dragToPage="0" showAll="0" defaultSubtotal="0"/>
  </pivotFields>
  <rowFields count="2">
    <field x="5"/>
    <field x="1"/>
  </rowFields>
  <rowItems count="5">
    <i>
      <x v="10"/>
      <x v="49"/>
    </i>
    <i>
      <x v="30"/>
      <x v="46"/>
    </i>
    <i>
      <x v="46"/>
      <x v="49"/>
    </i>
    <i>
      <x v="49"/>
      <x v="46"/>
    </i>
    <i t="grand">
      <x/>
    </i>
  </rowItems>
  <colFields count="1">
    <field x="-2"/>
  </colFields>
  <colItems count="4">
    <i>
      <x/>
    </i>
    <i i="1">
      <x v="1"/>
    </i>
    <i i="2">
      <x v="2"/>
    </i>
    <i i="3">
      <x v="3"/>
    </i>
  </colItems>
  <pageFields count="4">
    <pageField fld="0" item="15" hier="-1"/>
    <pageField fld="78" hier="-1"/>
    <pageField fld="4" hier="-1"/>
    <pageField fld="6" hier="-1"/>
  </pageFields>
  <dataFields count="4">
    <dataField name="PoP " fld="9" baseField="0" baseItem="0" numFmtId="164"/>
    <dataField name=" % Water GAP" fld="85" baseField="0" baseItem="0" numFmtId="9"/>
    <dataField name=" % Sanitation GAP" fld="87" baseField="0" baseItem="0" numFmtId="9"/>
    <dataField name=" % Hygiene Gap" fld="82" baseField="0" baseItem="0" numFmtId="9"/>
  </dataFields>
  <formats count="35">
    <format dxfId="414">
      <pivotArea type="all" dataOnly="0" outline="0" fieldPosition="0"/>
    </format>
    <format dxfId="413">
      <pivotArea outline="0" collapsedLevelsAreSubtotals="1" fieldPosition="0"/>
    </format>
    <format dxfId="412">
      <pivotArea field="5" type="button" dataOnly="0" labelOnly="1" outline="0" axis="axisRow" fieldPosition="0"/>
    </format>
    <format dxfId="411">
      <pivotArea dataOnly="0" labelOnly="1" outline="0" axis="axisValues" fieldPosition="0"/>
    </format>
    <format dxfId="410">
      <pivotArea dataOnly="0" labelOnly="1" fieldPosition="0">
        <references count="1">
          <reference field="5" count="0"/>
        </references>
      </pivotArea>
    </format>
    <format dxfId="409">
      <pivotArea dataOnly="0" labelOnly="1" grandRow="1" outline="0" fieldPosition="0"/>
    </format>
    <format dxfId="408">
      <pivotArea dataOnly="0" labelOnly="1" outline="0" axis="axisValues" fieldPosition="0"/>
    </format>
    <format dxfId="407">
      <pivotArea type="all" dataOnly="0" outline="0" fieldPosition="0"/>
    </format>
    <format dxfId="406">
      <pivotArea field="5" type="button" dataOnly="0" labelOnly="1" outline="0" axis="axisRow" fieldPosition="0"/>
    </format>
    <format dxfId="405">
      <pivotArea dataOnly="0" labelOnly="1" outline="0" axis="axisValues" fieldPosition="0"/>
    </format>
    <format dxfId="404">
      <pivotArea dataOnly="0" labelOnly="1" fieldPosition="0">
        <references count="1">
          <reference field="5" count="0"/>
        </references>
      </pivotArea>
    </format>
    <format dxfId="403">
      <pivotArea dataOnly="0" labelOnly="1" outline="0" axis="axisValues" fieldPosition="0"/>
    </format>
    <format dxfId="402">
      <pivotArea field="5" type="button" dataOnly="0" labelOnly="1" outline="0" axis="axisRow" fieldPosition="0"/>
    </format>
    <format dxfId="401">
      <pivotArea type="all" dataOnly="0" outline="0" fieldPosition="0"/>
    </format>
    <format dxfId="400">
      <pivotArea field="5" type="button" dataOnly="0" labelOnly="1" outline="0" axis="axisRow" fieldPosition="0"/>
    </format>
    <format dxfId="399">
      <pivotArea dataOnly="0" labelOnly="1" outline="0" fieldPosition="0">
        <references count="1">
          <reference field="4294967294" count="1">
            <x v="0"/>
          </reference>
        </references>
      </pivotArea>
    </format>
    <format dxfId="398">
      <pivotArea type="all" dataOnly="0" outline="0" fieldPosition="0"/>
    </format>
    <format dxfId="397">
      <pivotArea outline="0" collapsedLevelsAreSubtotals="1" fieldPosition="0"/>
    </format>
    <format dxfId="396">
      <pivotArea field="5" type="button" dataOnly="0" labelOnly="1" outline="0" axis="axisRow" fieldPosition="0"/>
    </format>
    <format dxfId="395">
      <pivotArea dataOnly="0" labelOnly="1" fieldPosition="0">
        <references count="1">
          <reference field="5" count="2">
            <x v="38"/>
            <x v="44"/>
          </reference>
        </references>
      </pivotArea>
    </format>
    <format dxfId="394">
      <pivotArea dataOnly="0" labelOnly="1" outline="0" fieldPosition="0">
        <references count="1">
          <reference field="4294967294" count="1">
            <x v="0"/>
          </reference>
        </references>
      </pivotArea>
    </format>
    <format dxfId="393">
      <pivotArea field="5" type="button" dataOnly="0" labelOnly="1" outline="0" axis="axisRow" fieldPosition="0"/>
    </format>
    <format dxfId="392">
      <pivotArea dataOnly="0" labelOnly="1" outline="0" fieldPosition="0">
        <references count="1">
          <reference field="4294967294" count="1">
            <x v="0"/>
          </reference>
        </references>
      </pivotArea>
    </format>
    <format dxfId="391">
      <pivotArea type="all" dataOnly="0" outline="0" fieldPosition="0"/>
    </format>
    <format dxfId="390">
      <pivotArea outline="0" collapsedLevelsAreSubtotals="1" fieldPosition="0"/>
    </format>
    <format dxfId="389">
      <pivotArea field="5" type="button" dataOnly="0" labelOnly="1" outline="0" axis="axisRow" fieldPosition="0"/>
    </format>
    <format dxfId="388">
      <pivotArea dataOnly="0" labelOnly="1" fieldPosition="0">
        <references count="1">
          <reference field="5" count="5">
            <x v="14"/>
            <x v="15"/>
            <x v="29"/>
            <x v="38"/>
            <x v="44"/>
          </reference>
        </references>
      </pivotArea>
    </format>
    <format dxfId="387">
      <pivotArea dataOnly="0" labelOnly="1" grandRow="1" outline="0" fieldPosition="0"/>
    </format>
    <format dxfId="386">
      <pivotArea dataOnly="0" labelOnly="1" outline="0" fieldPosition="0">
        <references count="1">
          <reference field="4294967294" count="1">
            <x v="0"/>
          </reference>
        </references>
      </pivotArea>
    </format>
    <format dxfId="385">
      <pivotArea field="4" type="button" dataOnly="0" labelOnly="1" outline="0" axis="axisPage" fieldPosition="2"/>
    </format>
    <format dxfId="384">
      <pivotArea dataOnly="0" labelOnly="1" outline="0" fieldPosition="0">
        <references count="2">
          <reference field="0" count="1" selected="0">
            <x v="7"/>
          </reference>
          <reference field="4" count="1">
            <x v="1"/>
          </reference>
        </references>
      </pivotArea>
    </format>
    <format dxfId="383">
      <pivotArea outline="0" collapsedLevelsAreSubtotals="1" fieldPosition="0">
        <references count="1">
          <reference field="4294967294" count="1" selected="0">
            <x v="0"/>
          </reference>
        </references>
      </pivotArea>
    </format>
    <format dxfId="382">
      <pivotArea dataOnly="0" labelOnly="1" outline="0" fieldPosition="0">
        <references count="2">
          <reference field="0" count="1" selected="0">
            <x v="8"/>
          </reference>
          <reference field="4" count="1">
            <x v="1"/>
          </reference>
        </references>
      </pivotArea>
    </format>
    <format dxfId="381">
      <pivotArea dataOnly="0" labelOnly="1" outline="0" fieldPosition="0">
        <references count="2">
          <reference field="0" count="1" selected="0">
            <x v="10"/>
          </reference>
          <reference field="4" count="0"/>
        </references>
      </pivotArea>
    </format>
    <format dxfId="380">
      <pivotArea outline="0" collapsedLevelsAreSubtotals="1" fieldPosition="0">
        <references count="1">
          <reference field="4294967294" count="3" selected="0">
            <x v="1"/>
            <x v="2"/>
            <x v="3"/>
          </reference>
        </references>
      </pivotArea>
    </format>
  </formats>
  <conditionalFormats count="1">
    <conditionalFormat priority="1">
      <pivotAreas count="1">
        <pivotArea type="data" outline="0" collapsedLevelsAreSubtotals="1" fieldPosition="0">
          <references count="1">
            <reference field="4294967294" count="3" selected="0">
              <x v="1"/>
              <x v="2"/>
              <x v="3"/>
            </reference>
          </references>
        </pivotArea>
      </pivotAreas>
    </conditionalFormat>
  </conditional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5">
  <location ref="A29:F56" firstHeaderRow="0" firstDataRow="1" firstDataCol="2" rowPageCount="1" colPageCount="1"/>
  <pivotFields count="88">
    <pivotField axis="axisPage" compact="0" outline="0" multipleItemSelectionAllowed="1" showAll="0">
      <items count="17">
        <item m="1" x="13"/>
        <item m="1" x="14"/>
        <item m="1" x="4"/>
        <item m="1" x="15"/>
        <item m="1" x="7"/>
        <item m="1" x="3"/>
        <item m="1" x="2"/>
        <item m="1" x="9"/>
        <item m="1" x="11"/>
        <item m="1" x="12"/>
        <item m="1" x="5"/>
        <item m="1" x="6"/>
        <item m="1" x="8"/>
        <item m="1" x="10"/>
        <item x="0"/>
        <item x="1"/>
        <item t="default"/>
      </items>
    </pivotField>
    <pivotField compact="0" outline="0" showAll="0" defaultSubtotal="0">
      <items count="51">
        <item x="3"/>
        <item m="1" x="27"/>
        <item m="1" x="46"/>
        <item m="1" x="47"/>
        <item x="2"/>
        <item x="9"/>
        <item m="1" x="36"/>
        <item m="1" x="43"/>
        <item x="0"/>
        <item m="1" x="22"/>
        <item m="1" x="15"/>
        <item m="1" x="31"/>
        <item m="1" x="17"/>
        <item x="8"/>
        <item x="13"/>
        <item x="12"/>
        <item m="1" x="41"/>
        <item m="1" x="20"/>
        <item m="1" x="18"/>
        <item m="1" x="42"/>
        <item m="1" x="38"/>
        <item m="1" x="34"/>
        <item m="1" x="26"/>
        <item m="1" x="45"/>
        <item m="1" x="24"/>
        <item m="1" x="21"/>
        <item m="1" x="48"/>
        <item m="1" x="40"/>
        <item m="1" x="33"/>
        <item m="1" x="32"/>
        <item m="1" x="30"/>
        <item x="4"/>
        <item m="1" x="28"/>
        <item x="6"/>
        <item m="1" x="49"/>
        <item m="1" x="16"/>
        <item m="1" x="25"/>
        <item m="1" x="23"/>
        <item x="5"/>
        <item x="1"/>
        <item m="1" x="50"/>
        <item m="1" x="19"/>
        <item x="7"/>
        <item m="1" x="35"/>
        <item m="1" x="39"/>
        <item m="1" x="29"/>
        <item m="1" x="37"/>
        <item x="11"/>
        <item m="1" x="44"/>
        <item x="10"/>
        <item m="1" x="14"/>
      </items>
    </pivotField>
    <pivotField compact="0" outline="0" showAll="0" defaultSubtotal="0"/>
    <pivotField compact="0" outline="0" showAll="0"/>
    <pivotField axis="axisRow" compact="0" outline="0" showAll="0">
      <items count="8">
        <item x="2"/>
        <item m="1" x="5"/>
        <item x="0"/>
        <item m="1" x="4"/>
        <item x="1"/>
        <item m="1" x="6"/>
        <item x="3"/>
        <item t="default"/>
      </items>
    </pivotField>
    <pivotField axis="axisRow" compact="0" outline="0" showAll="0">
      <items count="53">
        <item m="1" x="28"/>
        <item m="1" x="31"/>
        <item m="1" x="48"/>
        <item m="1" x="43"/>
        <item m="1" x="39"/>
        <item x="18"/>
        <item m="1" x="37"/>
        <item m="1" x="24"/>
        <item x="9"/>
        <item x="13"/>
        <item x="19"/>
        <item m="1" x="46"/>
        <item m="1" x="26"/>
        <item m="1" x="30"/>
        <item m="1" x="40"/>
        <item x="11"/>
        <item m="1" x="35"/>
        <item m="1" x="44"/>
        <item m="1" x="38"/>
        <item m="1" x="47"/>
        <item m="1" x="29"/>
        <item x="12"/>
        <item x="15"/>
        <item m="1" x="36"/>
        <item m="1" x="41"/>
        <item m="1" x="27"/>
        <item x="8"/>
        <item m="1" x="42"/>
        <item m="1" x="33"/>
        <item m="1" x="50"/>
        <item m="1" x="45"/>
        <item m="1" x="51"/>
        <item x="10"/>
        <item x="17"/>
        <item m="1" x="49"/>
        <item x="14"/>
        <item m="1" x="32"/>
        <item m="1" x="23"/>
        <item m="1" x="25"/>
        <item m="1" x="22"/>
        <item m="1" x="34"/>
        <item x="0"/>
        <item x="1"/>
        <item x="2"/>
        <item x="3"/>
        <item x="4"/>
        <item x="5"/>
        <item x="6"/>
        <item x="7"/>
        <item x="20"/>
        <item x="16"/>
        <item x="21"/>
        <item t="default"/>
      </items>
    </pivotField>
    <pivotField compact="0" outline="0" showAll="0" defaultSubtotal="0">
      <items count="11">
        <item m="1" x="4"/>
        <item m="1" x="9"/>
        <item m="1" x="8"/>
        <item m="1" x="6"/>
        <item m="1" x="3"/>
        <item m="1" x="2"/>
        <item x="0"/>
        <item m="1" x="7"/>
        <item m="1" x="10"/>
        <item m="1" x="5"/>
        <item m="1" x="1"/>
      </items>
    </pivotField>
    <pivotField compact="0" outline="0" showAll="0"/>
    <pivotField compact="0" outline="0" showAll="0"/>
    <pivotField dataField="1" compact="0" numFmtId="1"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defaultSubtotal="0"/>
    <pivotField compact="0" outline="0" showAll="0"/>
    <pivotField compact="0" numFmtId="1" outline="0" showAll="0"/>
    <pivotField compact="0" outline="0" showAll="0" defaultSubtota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1" outline="0" showAll="0"/>
    <pivotField compact="0" numFmtId="1" outline="0" showAll="0"/>
    <pivotField compact="0" numFmtId="16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4"/>
    <field x="5"/>
  </rowFields>
  <rowItems count="27">
    <i>
      <x/>
      <x v="22"/>
    </i>
    <i r="1">
      <x v="33"/>
    </i>
    <i r="1">
      <x v="35"/>
    </i>
    <i r="1">
      <x v="50"/>
    </i>
    <i t="default">
      <x/>
    </i>
    <i>
      <x v="2"/>
      <x v="5"/>
    </i>
    <i r="1">
      <x v="10"/>
    </i>
    <i r="1">
      <x v="41"/>
    </i>
    <i r="1">
      <x v="42"/>
    </i>
    <i r="1">
      <x v="43"/>
    </i>
    <i r="1">
      <x v="44"/>
    </i>
    <i r="1">
      <x v="45"/>
    </i>
    <i r="1">
      <x v="46"/>
    </i>
    <i r="1">
      <x v="47"/>
    </i>
    <i r="1">
      <x v="48"/>
    </i>
    <i r="1">
      <x v="49"/>
    </i>
    <i t="default">
      <x v="2"/>
    </i>
    <i>
      <x v="4"/>
      <x v="8"/>
    </i>
    <i r="1">
      <x v="9"/>
    </i>
    <i r="1">
      <x v="15"/>
    </i>
    <i r="1">
      <x v="21"/>
    </i>
    <i r="1">
      <x v="26"/>
    </i>
    <i r="1">
      <x v="32"/>
    </i>
    <i t="default">
      <x v="4"/>
    </i>
    <i>
      <x v="6"/>
      <x v="51"/>
    </i>
    <i t="default">
      <x v="6"/>
    </i>
    <i t="grand">
      <x/>
    </i>
  </rowItems>
  <colFields count="1">
    <field x="-2"/>
  </colFields>
  <colItems count="4">
    <i>
      <x/>
    </i>
    <i i="1">
      <x v="1"/>
    </i>
    <i i="2">
      <x v="2"/>
    </i>
    <i i="3">
      <x v="3"/>
    </i>
  </colItems>
  <pageFields count="1">
    <pageField fld="0" hier="-1"/>
  </pageFields>
  <dataFields count="4">
    <dataField name="Total Population" fld="9" baseField="0" baseItem="0"/>
    <dataField name="Number of People adopt basic personal and community hygiene practices" fld="64" baseField="0" baseItem="0"/>
    <dataField name="Number of people with equitable and continuous access to safe sanitation facilities" fld="57" baseField="0" baseItem="0"/>
    <dataField name="Number of people with equitable and continuous access to sufficient quantity of domestic water" fld="50" baseField="0" baseItem="0"/>
  </dataFields>
  <formats count="25">
    <format dxfId="66">
      <pivotArea field="4" type="button" dataOnly="0" labelOnly="1" outline="0" axis="axisRow" fieldPosition="0"/>
    </format>
    <format dxfId="65">
      <pivotArea field="5" type="button" dataOnly="0" labelOnly="1" outline="0" axis="axisRow" fieldPosition="1"/>
    </format>
    <format dxfId="64">
      <pivotArea dataOnly="0" labelOnly="1" outline="0" fieldPosition="0">
        <references count="1">
          <reference field="4294967294" count="1">
            <x v="0"/>
          </reference>
        </references>
      </pivotArea>
    </format>
    <format dxfId="63">
      <pivotArea field="4" type="button" dataOnly="0" labelOnly="1" outline="0" axis="axisRow" fieldPosition="0"/>
    </format>
    <format dxfId="62">
      <pivotArea field="5" type="button" dataOnly="0" labelOnly="1" outline="0" axis="axisRow" fieldPosition="1"/>
    </format>
    <format dxfId="61">
      <pivotArea dataOnly="0" labelOnly="1" outline="0" fieldPosition="0">
        <references count="1">
          <reference field="4294967294" count="1">
            <x v="0"/>
          </reference>
        </references>
      </pivotArea>
    </format>
    <format dxfId="60">
      <pivotArea field="4" type="button" dataOnly="0" labelOnly="1" outline="0" axis="axisRow" fieldPosition="0"/>
    </format>
    <format dxfId="59">
      <pivotArea field="5" type="button" dataOnly="0" labelOnly="1" outline="0" axis="axisRow" fieldPosition="1"/>
    </format>
    <format dxfId="58">
      <pivotArea dataOnly="0" labelOnly="1" outline="0" fieldPosition="0">
        <references count="1">
          <reference field="4294967294" count="1">
            <x v="0"/>
          </reference>
        </references>
      </pivotArea>
    </format>
    <format dxfId="57">
      <pivotArea dataOnly="0" labelOnly="1" outline="0" fieldPosition="0">
        <references count="1">
          <reference field="4294967294" count="1">
            <x v="0"/>
          </reference>
        </references>
      </pivotArea>
    </format>
    <format dxfId="56">
      <pivotArea dataOnly="0" labelOnly="1" outline="0" fieldPosition="0">
        <references count="1">
          <reference field="4294967294" count="1">
            <x v="0"/>
          </reference>
        </references>
      </pivotArea>
    </format>
    <format dxfId="55">
      <pivotArea type="all" dataOnly="0" outline="0" fieldPosition="0"/>
    </format>
    <format dxfId="54">
      <pivotArea outline="0" collapsedLevelsAreSubtotals="1" fieldPosition="0"/>
    </format>
    <format dxfId="53">
      <pivotArea field="4" type="button" dataOnly="0" labelOnly="1" outline="0" axis="axisRow" fieldPosition="0"/>
    </format>
    <format dxfId="52">
      <pivotArea field="5" type="button" dataOnly="0" labelOnly="1" outline="0" axis="axisRow" fieldPosition="1"/>
    </format>
    <format dxfId="51">
      <pivotArea dataOnly="0" labelOnly="1" outline="0" fieldPosition="0">
        <references count="1">
          <reference field="4" count="0"/>
        </references>
      </pivotArea>
    </format>
    <format dxfId="50">
      <pivotArea dataOnly="0" labelOnly="1" outline="0" fieldPosition="0">
        <references count="1">
          <reference field="4" count="0" defaultSubtotal="1"/>
        </references>
      </pivotArea>
    </format>
    <format dxfId="49">
      <pivotArea dataOnly="0" labelOnly="1" grandRow="1" outline="0" fieldPosition="0"/>
    </format>
    <format dxfId="48">
      <pivotArea dataOnly="0" labelOnly="1" outline="0" fieldPosition="0">
        <references count="2">
          <reference field="4" count="1" selected="0">
            <x v="0"/>
          </reference>
          <reference field="5" count="13">
            <x v="1"/>
            <x v="3"/>
            <x v="4"/>
            <x v="12"/>
            <x v="16"/>
            <x v="17"/>
            <x v="18"/>
            <x v="22"/>
            <x v="28"/>
            <x v="31"/>
            <x v="33"/>
            <x v="34"/>
            <x v="35"/>
          </reference>
        </references>
      </pivotArea>
    </format>
    <format dxfId="47">
      <pivotArea dataOnly="0" labelOnly="1" outline="0" fieldPosition="0">
        <references count="2">
          <reference field="4" count="1" selected="0">
            <x v="0"/>
          </reference>
          <reference field="5" count="13" defaultSubtotal="1">
            <x v="1"/>
            <x v="3"/>
            <x v="4"/>
            <x v="12"/>
            <x v="16"/>
            <x v="17"/>
            <x v="18"/>
            <x v="22"/>
            <x v="28"/>
            <x v="31"/>
            <x v="33"/>
            <x v="34"/>
            <x v="35"/>
          </reference>
        </references>
      </pivotArea>
    </format>
    <format dxfId="46">
      <pivotArea dataOnly="0" labelOnly="1" outline="0" fieldPosition="0">
        <references count="2">
          <reference field="4" count="1" selected="0">
            <x v="1"/>
          </reference>
          <reference field="5" count="12">
            <x v="0"/>
            <x v="2"/>
            <x v="8"/>
            <x v="9"/>
            <x v="14"/>
            <x v="15"/>
            <x v="19"/>
            <x v="21"/>
            <x v="26"/>
            <x v="27"/>
            <x v="30"/>
            <x v="32"/>
          </reference>
        </references>
      </pivotArea>
    </format>
    <format dxfId="45">
      <pivotArea dataOnly="0" labelOnly="1" outline="0" fieldPosition="0">
        <references count="2">
          <reference field="4" count="1" selected="0">
            <x v="1"/>
          </reference>
          <reference field="5" count="12" defaultSubtotal="1">
            <x v="0"/>
            <x v="2"/>
            <x v="8"/>
            <x v="9"/>
            <x v="14"/>
            <x v="15"/>
            <x v="19"/>
            <x v="21"/>
            <x v="26"/>
            <x v="27"/>
            <x v="30"/>
            <x v="32"/>
          </reference>
        </references>
      </pivotArea>
    </format>
    <format dxfId="44">
      <pivotArea dataOnly="0" labelOnly="1" outline="0" fieldPosition="0">
        <references count="2">
          <reference field="4" count="1" selected="0">
            <x v="2"/>
          </reference>
          <reference field="5" count="7">
            <x v="5"/>
            <x v="6"/>
            <x v="7"/>
            <x v="13"/>
            <x v="20"/>
            <x v="23"/>
            <x v="24"/>
          </reference>
        </references>
      </pivotArea>
    </format>
    <format dxfId="43">
      <pivotArea dataOnly="0" labelOnly="1" outline="0" fieldPosition="0">
        <references count="2">
          <reference field="4" count="1" selected="0">
            <x v="2"/>
          </reference>
          <reference field="5" count="7" defaultSubtotal="1">
            <x v="5"/>
            <x v="6"/>
            <x v="7"/>
            <x v="13"/>
            <x v="20"/>
            <x v="23"/>
            <x v="24"/>
          </reference>
        </references>
      </pivotArea>
    </format>
    <format dxfId="42">
      <pivotArea dataOnly="0" labelOnly="1" outline="0" fieldPosition="0">
        <references count="1">
          <reference field="4294967294" count="1">
            <x v="0"/>
          </reference>
        </references>
      </pivotArea>
    </format>
  </formats>
  <chartFormats count="4">
    <chartFormat chart="1" format="0"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3"/>
          </reference>
        </references>
      </pivotArea>
    </chartFormat>
    <chartFormat chart="1" format="5" series="1">
      <pivotArea type="data" outline="0" fieldPosition="0">
        <references count="1">
          <reference field="4294967294" count="1" selected="0">
            <x v="2"/>
          </reference>
        </references>
      </pivotArea>
    </chartFormat>
    <chartFormat chart="1"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8">
  <location ref="A38:E64" firstHeaderRow="0" firstDataRow="1" firstDataCol="1" rowPageCount="3" colPageCount="1"/>
  <pivotFields count="88">
    <pivotField axis="axisPage" compact="0" outline="0" showAll="0">
      <items count="17">
        <item m="1" x="13"/>
        <item m="1" x="14"/>
        <item m="1" x="4"/>
        <item m="1" x="15"/>
        <item m="1" x="7"/>
        <item m="1" x="3"/>
        <item m="1" x="2"/>
        <item m="1" x="9"/>
        <item m="1" x="11"/>
        <item m="1" x="12"/>
        <item m="1" x="5"/>
        <item m="1" x="6"/>
        <item m="1" x="8"/>
        <item m="1" x="10"/>
        <item x="0"/>
        <item x="1"/>
        <item t="default"/>
      </items>
    </pivotField>
    <pivotField compact="0" outline="0" showAll="0" defaultSubtotal="0"/>
    <pivotField compact="0" outline="0" showAll="0" defaultSubtotal="0">
      <items count="51">
        <item x="3"/>
        <item h="1" m="1" x="23"/>
        <item h="1" m="1" x="46"/>
        <item h="1" m="1" x="47"/>
        <item h="1" x="2"/>
        <item h="1" x="9"/>
        <item h="1" m="1" x="33"/>
        <item h="1" m="1" x="44"/>
        <item h="1" x="12"/>
        <item h="1" m="1" x="14"/>
        <item h="1" m="1" x="27"/>
        <item h="1" m="1" x="16"/>
        <item h="1" x="8"/>
        <item h="1" m="1" x="48"/>
        <item h="1" x="13"/>
        <item h="1" m="1" x="41"/>
        <item h="1" m="1" x="19"/>
        <item h="1" m="1" x="28"/>
        <item h="1" m="1" x="17"/>
        <item h="1" m="1" x="34"/>
        <item h="1" m="1" x="42"/>
        <item h="1" m="1" x="39"/>
        <item h="1" m="1" x="31"/>
        <item h="1" m="1" x="50"/>
        <item h="1" m="1" x="22"/>
        <item h="1" m="1" x="43"/>
        <item h="1" m="1" x="20"/>
        <item h="1" m="1" x="40"/>
        <item h="1" m="1" x="30"/>
        <item h="1" m="1" x="29"/>
        <item h="1" m="1" x="26"/>
        <item h="1" x="4"/>
        <item h="1" m="1" x="24"/>
        <item h="1" x="6"/>
        <item h="1" m="1" x="15"/>
        <item h="1" m="1" x="21"/>
        <item h="1" x="5"/>
        <item h="1" x="1"/>
        <item h="1" m="1" x="49"/>
        <item h="1" m="1" x="37"/>
        <item h="1" m="1" x="18"/>
        <item h="1" x="7"/>
        <item h="1" m="1" x="32"/>
        <item h="1" m="1" x="25"/>
        <item h="1" m="1" x="36"/>
        <item h="1" m="1" x="35"/>
        <item h="1" x="11"/>
        <item h="1" m="1" x="38"/>
        <item h="1" m="1" x="45"/>
        <item h="1" x="10"/>
        <item h="1" x="0"/>
      </items>
    </pivotField>
    <pivotField compact="0" outline="0" showAll="0"/>
    <pivotField axis="axisPage" compact="0" outline="0" multipleItemSelectionAllowed="1" showAll="0">
      <items count="8">
        <item h="1" x="2"/>
        <item h="1" m="1" x="5"/>
        <item h="1" x="0"/>
        <item h="1" m="1" x="4"/>
        <item x="1"/>
        <item h="1" m="1" x="6"/>
        <item h="1" x="3"/>
        <item t="default"/>
      </items>
    </pivotField>
    <pivotField axis="axisPage" compact="0" outline="0" showAll="0">
      <items count="53">
        <item m="1" x="28"/>
        <item m="1" x="31"/>
        <item m="1" x="48"/>
        <item m="1" x="43"/>
        <item m="1" x="39"/>
        <item x="18"/>
        <item m="1" x="37"/>
        <item m="1" x="24"/>
        <item x="9"/>
        <item x="13"/>
        <item x="19"/>
        <item m="1" x="46"/>
        <item m="1" x="26"/>
        <item m="1" x="30"/>
        <item m="1" x="40"/>
        <item x="11"/>
        <item m="1" x="35"/>
        <item m="1" x="44"/>
        <item m="1" x="38"/>
        <item m="1" x="47"/>
        <item m="1" x="29"/>
        <item x="12"/>
        <item x="15"/>
        <item m="1" x="36"/>
        <item m="1" x="41"/>
        <item m="1" x="27"/>
        <item x="8"/>
        <item m="1" x="42"/>
        <item m="1" x="33"/>
        <item m="1" x="50"/>
        <item m="1" x="45"/>
        <item m="1" x="51"/>
        <item x="10"/>
        <item x="17"/>
        <item m="1" x="49"/>
        <item x="14"/>
        <item m="1" x="32"/>
        <item m="1" x="23"/>
        <item m="1" x="25"/>
        <item m="1" x="22"/>
        <item m="1" x="34"/>
        <item x="0"/>
        <item x="1"/>
        <item x="2"/>
        <item x="3"/>
        <item x="4"/>
        <item x="5"/>
        <item x="6"/>
        <item x="7"/>
        <item x="20"/>
        <item x="16"/>
        <item x="21"/>
        <item t="default"/>
      </items>
    </pivotField>
    <pivotField compact="0" outline="0" showAll="0" defaultSubtotal="0">
      <items count="11">
        <item m="1" x="4"/>
        <item m="1" x="9"/>
        <item m="1" x="8"/>
        <item m="1" x="6"/>
        <item m="1" x="3"/>
        <item m="1" x="2"/>
        <item x="0"/>
        <item m="1" x="7"/>
        <item m="1" x="10"/>
        <item m="1" x="5"/>
        <item m="1" x="1"/>
      </items>
    </pivotField>
    <pivotField axis="axisRow" compact="0" outline="0" showAll="0">
      <items count="513">
        <item m="1" x="293"/>
        <item m="1" x="441"/>
        <item m="1" x="286"/>
        <item m="1" x="378"/>
        <item m="1" x="395"/>
        <item x="137"/>
        <item m="1" x="474"/>
        <item x="99"/>
        <item m="1" x="335"/>
        <item x="96"/>
        <item m="1" x="486"/>
        <item x="116"/>
        <item m="1" x="307"/>
        <item x="110"/>
        <item m="1" x="284"/>
        <item m="1" x="497"/>
        <item x="144"/>
        <item m="1" x="310"/>
        <item x="76"/>
        <item m="1" x="405"/>
        <item m="1" x="488"/>
        <item x="108"/>
        <item x="86"/>
        <item m="1" x="402"/>
        <item x="118"/>
        <item m="1" x="351"/>
        <item m="1" x="419"/>
        <item m="1" x="484"/>
        <item x="67"/>
        <item m="1" x="288"/>
        <item x="87"/>
        <item x="88"/>
        <item x="148"/>
        <item x="139"/>
        <item x="140"/>
        <item x="114"/>
        <item m="1" x="404"/>
        <item x="66"/>
        <item m="1" x="425"/>
        <item m="1" x="448"/>
        <item m="1" x="491"/>
        <item m="1" x="453"/>
        <item m="1" x="415"/>
        <item x="122"/>
        <item m="1" x="462"/>
        <item x="105"/>
        <item x="141"/>
        <item m="1" x="276"/>
        <item m="1" x="280"/>
        <item m="1" x="477"/>
        <item m="1" x="451"/>
        <item m="1" x="338"/>
        <item m="1" x="475"/>
        <item m="1" x="437"/>
        <item m="1" x="427"/>
        <item m="1" x="500"/>
        <item m="1" x="481"/>
        <item m="1" x="379"/>
        <item m="1" x="343"/>
        <item x="106"/>
        <item x="68"/>
        <item x="69"/>
        <item m="1" x="361"/>
        <item x="126"/>
        <item m="1" x="374"/>
        <item m="1" x="406"/>
        <item m="1" x="473"/>
        <item m="1" x="313"/>
        <item x="82"/>
        <item m="1" x="432"/>
        <item m="1" x="359"/>
        <item m="1" x="446"/>
        <item x="91"/>
        <item m="1" x="300"/>
        <item m="1" x="334"/>
        <item x="94"/>
        <item x="75"/>
        <item x="73"/>
        <item m="1" x="444"/>
        <item m="1" x="312"/>
        <item m="1" x="289"/>
        <item m="1" x="278"/>
        <item m="1" x="304"/>
        <item x="72"/>
        <item x="71"/>
        <item m="1" x="321"/>
        <item x="143"/>
        <item m="1" x="489"/>
        <item m="1" x="382"/>
        <item m="1" x="511"/>
        <item x="104"/>
        <item x="65"/>
        <item x="77"/>
        <item m="1" x="314"/>
        <item m="1" x="480"/>
        <item m="1" x="368"/>
        <item m="1" x="498"/>
        <item m="1" x="424"/>
        <item x="159"/>
        <item x="117"/>
        <item x="138"/>
        <item m="1" x="387"/>
        <item m="1" x="376"/>
        <item m="1" x="452"/>
        <item x="240"/>
        <item x="98"/>
        <item x="97"/>
        <item m="1" x="268"/>
        <item m="1" x="352"/>
        <item m="1" x="394"/>
        <item m="1" x="461"/>
        <item m="1" x="365"/>
        <item m="1" x="399"/>
        <item m="1" x="482"/>
        <item m="1" x="454"/>
        <item m="1" x="390"/>
        <item m="1" x="388"/>
        <item m="1" x="375"/>
        <item m="1" x="377"/>
        <item x="85"/>
        <item x="81"/>
        <item m="1" x="401"/>
        <item m="1" x="322"/>
        <item m="1" x="445"/>
        <item x="125"/>
        <item m="1" x="297"/>
        <item m="1" x="463"/>
        <item m="1" x="420"/>
        <item m="1" x="340"/>
        <item m="1" x="392"/>
        <item m="1" x="287"/>
        <item m="1" x="306"/>
        <item x="78"/>
        <item m="1" x="465"/>
        <item m="1" x="492"/>
        <item m="1" x="472"/>
        <item x="62"/>
        <item x="83"/>
        <item m="1" x="319"/>
        <item m="1" x="429"/>
        <item x="89"/>
        <item x="109"/>
        <item m="1" x="318"/>
        <item m="1" x="398"/>
        <item x="90"/>
        <item m="1" x="364"/>
        <item m="1" x="356"/>
        <item x="103"/>
        <item x="127"/>
        <item x="128"/>
        <item x="95"/>
        <item m="1" x="460"/>
        <item m="1" x="414"/>
        <item x="129"/>
        <item x="121"/>
        <item x="130"/>
        <item x="131"/>
        <item m="1" x="469"/>
        <item m="1" x="502"/>
        <item m="1" x="299"/>
        <item m="1" x="317"/>
        <item m="1" x="503"/>
        <item m="1" x="411"/>
        <item m="1" x="499"/>
        <item m="1" x="412"/>
        <item x="93"/>
        <item x="120"/>
        <item x="124"/>
        <item x="55"/>
        <item x="112"/>
        <item x="56"/>
        <item x="57"/>
        <item x="113"/>
        <item m="1" x="509"/>
        <item m="1" x="421"/>
        <item x="102"/>
        <item m="1" x="464"/>
        <item m="1" x="384"/>
        <item m="1" x="282"/>
        <item m="1" x="393"/>
        <item x="123"/>
        <item m="1" x="311"/>
        <item x="157"/>
        <item x="111"/>
        <item m="1" x="360"/>
        <item m="1" x="267"/>
        <item m="1" x="422"/>
        <item m="1" x="483"/>
        <item m="1" x="298"/>
        <item m="1" x="363"/>
        <item m="1" x="328"/>
        <item m="1" x="348"/>
        <item x="156"/>
        <item x="132"/>
        <item m="1" x="373"/>
        <item x="101"/>
        <item x="119"/>
        <item x="246"/>
        <item m="1" x="342"/>
        <item m="1" x="389"/>
        <item m="1" x="350"/>
        <item x="133"/>
        <item x="134"/>
        <item x="74"/>
        <item m="1" x="337"/>
        <item m="1" x="325"/>
        <item x="92"/>
        <item x="136"/>
        <item m="1" x="380"/>
        <item x="135"/>
        <item x="100"/>
        <item x="107"/>
        <item x="79"/>
        <item m="1" x="403"/>
        <item m="1" x="369"/>
        <item x="70"/>
        <item m="1" x="442"/>
        <item m="1" x="459"/>
        <item m="1" x="434"/>
        <item m="1" x="353"/>
        <item m="1" x="410"/>
        <item m="1" x="439"/>
        <item x="115"/>
        <item m="1" x="331"/>
        <item x="80"/>
        <item m="1" x="271"/>
        <item m="1" x="396"/>
        <item m="1" x="386"/>
        <item x="155"/>
        <item m="1" x="285"/>
        <item m="1" x="397"/>
        <item m="1" x="277"/>
        <item m="1" x="470"/>
        <item x="84"/>
        <item m="1" x="496"/>
        <item m="1" x="372"/>
        <item m="1" x="283"/>
        <item m="1" x="435"/>
        <item m="1" x="305"/>
        <item m="1" x="416"/>
        <item m="1" x="333"/>
        <item m="1" x="505"/>
        <item m="1" x="508"/>
        <item m="1" x="290"/>
        <item m="1" x="428"/>
        <item m="1" x="447"/>
        <item m="1" x="501"/>
        <item m="1" x="504"/>
        <item m="1" x="341"/>
        <item m="1" x="303"/>
        <item m="1" x="320"/>
        <item m="1" x="292"/>
        <item m="1" x="495"/>
        <item m="1" x="275"/>
        <item m="1" x="316"/>
        <item m="1" x="357"/>
        <item m="1" x="471"/>
        <item m="1" x="478"/>
        <item m="1" x="323"/>
        <item m="1" x="391"/>
        <item m="1" x="417"/>
        <item m="1" x="385"/>
        <item m="1" x="344"/>
        <item m="1" x="431"/>
        <item m="1" x="400"/>
        <item m="1" x="309"/>
        <item m="1" x="456"/>
        <item m="1" x="487"/>
        <item m="1" x="362"/>
        <item m="1" x="346"/>
        <item x="0"/>
        <item x="1"/>
        <item x="2"/>
        <item m="1" x="269"/>
        <item x="3"/>
        <item x="4"/>
        <item x="5"/>
        <item x="6"/>
        <item m="1" x="272"/>
        <item m="1" x="408"/>
        <item x="7"/>
        <item x="8"/>
        <item x="9"/>
        <item x="10"/>
        <item x="11"/>
        <item m="1" x="468"/>
        <item x="12"/>
        <item x="13"/>
        <item x="14"/>
        <item m="1" x="332"/>
        <item m="1" x="433"/>
        <item m="1" x="301"/>
        <item x="15"/>
        <item x="16"/>
        <item x="17"/>
        <item x="18"/>
        <item x="19"/>
        <item x="20"/>
        <item x="21"/>
        <item x="22"/>
        <item x="23"/>
        <item x="24"/>
        <item x="25"/>
        <item x="26"/>
        <item x="27"/>
        <item x="28"/>
        <item m="1" x="345"/>
        <item m="1" x="274"/>
        <item m="1" x="413"/>
        <item m="1" x="418"/>
        <item m="1" x="355"/>
        <item m="1" x="339"/>
        <item m="1" x="510"/>
        <item m="1" x="315"/>
        <item m="1" x="381"/>
        <item m="1" x="479"/>
        <item x="29"/>
        <item x="30"/>
        <item x="31"/>
        <item x="32"/>
        <item x="33"/>
        <item x="34"/>
        <item x="35"/>
        <item x="36"/>
        <item x="37"/>
        <item x="38"/>
        <item x="39"/>
        <item x="40"/>
        <item x="41"/>
        <item x="42"/>
        <item x="43"/>
        <item x="44"/>
        <item x="45"/>
        <item x="46"/>
        <item x="47"/>
        <item x="48"/>
        <item x="49"/>
        <item x="50"/>
        <item x="51"/>
        <item x="52"/>
        <item m="1" x="349"/>
        <item m="1" x="407"/>
        <item m="1" x="449"/>
        <item m="1" x="438"/>
        <item x="53"/>
        <item x="54"/>
        <item m="1" x="281"/>
        <item m="1" x="291"/>
        <item m="1" x="458"/>
        <item m="1" x="370"/>
        <item m="1" x="302"/>
        <item m="1" x="326"/>
        <item m="1" x="457"/>
        <item m="1" x="450"/>
        <item m="1" x="476"/>
        <item m="1" x="443"/>
        <item m="1" x="358"/>
        <item m="1" x="308"/>
        <item m="1" x="490"/>
        <item m="1" x="329"/>
        <item m="1" x="506"/>
        <item m="1" x="485"/>
        <item m="1" x="295"/>
        <item m="1" x="430"/>
        <item m="1" x="273"/>
        <item m="1" x="426"/>
        <item m="1" x="493"/>
        <item m="1" x="366"/>
        <item m="1" x="367"/>
        <item m="1" x="383"/>
        <item m="1" x="330"/>
        <item m="1" x="336"/>
        <item m="1" x="327"/>
        <item x="234"/>
        <item x="232"/>
        <item x="233"/>
        <item x="235"/>
        <item x="160"/>
        <item x="161"/>
        <item x="162"/>
        <item x="163"/>
        <item x="164"/>
        <item m="1" x="423"/>
        <item x="165"/>
        <item x="166"/>
        <item x="167"/>
        <item x="168"/>
        <item m="1" x="467"/>
        <item m="1" x="436"/>
        <item m="1" x="296"/>
        <item m="1" x="371"/>
        <item m="1" x="347"/>
        <item m="1" x="409"/>
        <item m="1" x="494"/>
        <item m="1" x="324"/>
        <item m="1" x="279"/>
        <item m="1" x="466"/>
        <item m="1" x="354"/>
        <item x="58"/>
        <item x="59"/>
        <item x="60"/>
        <item x="61"/>
        <item x="63"/>
        <item x="64"/>
        <item x="142"/>
        <item x="145"/>
        <item x="146"/>
        <item x="147"/>
        <item x="149"/>
        <item x="150"/>
        <item x="151"/>
        <item x="152"/>
        <item x="153"/>
        <item x="154"/>
        <item x="15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m="1" x="294"/>
        <item m="1" x="455"/>
        <item m="1" x="270"/>
        <item x="250"/>
        <item x="251"/>
        <item m="1" x="507"/>
        <item x="253"/>
        <item x="254"/>
        <item x="255"/>
        <item x="256"/>
        <item x="257"/>
        <item x="258"/>
        <item x="259"/>
        <item x="260"/>
        <item x="261"/>
        <item x="262"/>
        <item x="263"/>
        <item x="264"/>
        <item x="265"/>
        <item x="266"/>
        <item m="1" x="440"/>
        <item x="236"/>
        <item x="237"/>
        <item x="238"/>
        <item x="239"/>
        <item x="241"/>
        <item x="242"/>
        <item x="243"/>
        <item x="244"/>
        <item x="245"/>
        <item x="247"/>
        <item x="248"/>
        <item x="249"/>
        <item x="252"/>
        <item t="default"/>
      </items>
    </pivotField>
    <pivotField compact="0" outline="0" showAll="0"/>
    <pivotField dataField="1" compact="0" numFmtId="1"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defaultSubtotal="0"/>
    <pivotField compact="0" outline="0" showAll="0"/>
    <pivotField compact="0" numFmtId="1" outline="0" showAll="0"/>
    <pivotField compact="0" outline="0" showAll="0" defaultSubtota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1" outline="0" showAll="0"/>
    <pivotField compact="0" numFmtId="1" outline="0" showAll="0"/>
    <pivotField compact="0" numFmtId="16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7"/>
  </rowFields>
  <rowItems count="26">
    <i>
      <x v="18"/>
    </i>
    <i>
      <x v="22"/>
    </i>
    <i>
      <x v="28"/>
    </i>
    <i>
      <x v="30"/>
    </i>
    <i>
      <x v="31"/>
    </i>
    <i>
      <x v="60"/>
    </i>
    <i>
      <x v="61"/>
    </i>
    <i>
      <x v="68"/>
    </i>
    <i>
      <x v="72"/>
    </i>
    <i>
      <x v="76"/>
    </i>
    <i>
      <x v="77"/>
    </i>
    <i>
      <x v="83"/>
    </i>
    <i>
      <x v="84"/>
    </i>
    <i>
      <x v="92"/>
    </i>
    <i>
      <x v="120"/>
    </i>
    <i>
      <x v="132"/>
    </i>
    <i>
      <x v="137"/>
    </i>
    <i>
      <x v="140"/>
    </i>
    <i>
      <x v="203"/>
    </i>
    <i>
      <x v="206"/>
    </i>
    <i>
      <x v="209"/>
    </i>
    <i>
      <x v="212"/>
    </i>
    <i>
      <x v="215"/>
    </i>
    <i>
      <x v="224"/>
    </i>
    <i>
      <x v="233"/>
    </i>
    <i t="grand">
      <x/>
    </i>
  </rowItems>
  <colFields count="1">
    <field x="-2"/>
  </colFields>
  <colItems count="4">
    <i>
      <x/>
    </i>
    <i i="1">
      <x v="1"/>
    </i>
    <i i="2">
      <x v="2"/>
    </i>
    <i i="3">
      <x v="3"/>
    </i>
  </colItems>
  <pageFields count="3">
    <pageField fld="0" item="15" hier="-1"/>
    <pageField fld="5" item="32" hier="-1"/>
    <pageField fld="4" hier="-1"/>
  </pageFields>
  <dataFields count="4">
    <dataField name="Total Population" fld="9" baseField="0" baseItem="0"/>
    <dataField name="# of People adopt basic personal and community hygiene practices" fld="64" baseField="0" baseItem="0"/>
    <dataField name="# of people access to functioning  sanitation facilities" fld="57" baseField="0" baseItem="0"/>
    <dataField name="# of people Equitable and continuous access to sufficient quantity of domestic water" fld="50" baseField="0" baseItem="0"/>
  </dataFields>
  <formats count="25">
    <format dxfId="30">
      <pivotArea field="4" type="button" dataOnly="0" labelOnly="1" outline="0" axis="axisPage" fieldPosition="2"/>
    </format>
    <format dxfId="29">
      <pivotArea field="5" type="button" dataOnly="0" labelOnly="1" outline="0" axis="axisPage" fieldPosition="1"/>
    </format>
    <format dxfId="28">
      <pivotArea dataOnly="0" labelOnly="1" outline="0" fieldPosition="0">
        <references count="1">
          <reference field="4294967294" count="1">
            <x v="0"/>
          </reference>
        </references>
      </pivotArea>
    </format>
    <format dxfId="27">
      <pivotArea field="4" type="button" dataOnly="0" labelOnly="1" outline="0" axis="axisPage" fieldPosition="2"/>
    </format>
    <format dxfId="26">
      <pivotArea field="5" type="button" dataOnly="0" labelOnly="1" outline="0" axis="axisPage" fieldPosition="1"/>
    </format>
    <format dxfId="25">
      <pivotArea dataOnly="0" labelOnly="1" outline="0" fieldPosition="0">
        <references count="1">
          <reference field="4294967294" count="1">
            <x v="0"/>
          </reference>
        </references>
      </pivotArea>
    </format>
    <format dxfId="24">
      <pivotArea field="4" type="button" dataOnly="0" labelOnly="1" outline="0" axis="axisPage" fieldPosition="2"/>
    </format>
    <format dxfId="23">
      <pivotArea field="5" type="button" dataOnly="0" labelOnly="1" outline="0" axis="axisPage" fieldPosition="1"/>
    </format>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0"/>
          </reference>
        </references>
      </pivotArea>
    </format>
    <format dxfId="19">
      <pivotArea type="all" dataOnly="0" outline="0" fieldPosition="0"/>
    </format>
    <format dxfId="18">
      <pivotArea outline="0" collapsedLevelsAreSubtotals="1" fieldPosition="0"/>
    </format>
    <format dxfId="17">
      <pivotArea field="4" type="button" dataOnly="0" labelOnly="1" outline="0" axis="axisPage" fieldPosition="2"/>
    </format>
    <format dxfId="16">
      <pivotArea field="5" type="button" dataOnly="0" labelOnly="1" outline="0" axis="axisPage" fieldPosition="1"/>
    </format>
    <format dxfId="15">
      <pivotArea dataOnly="0" labelOnly="1" outline="0" fieldPosition="0">
        <references count="1">
          <reference field="4" count="0"/>
        </references>
      </pivotArea>
    </format>
    <format dxfId="14">
      <pivotArea dataOnly="0" labelOnly="1" outline="0" fieldPosition="0">
        <references count="1">
          <reference field="4" count="0" defaultSubtotal="1"/>
        </references>
      </pivotArea>
    </format>
    <format dxfId="13">
      <pivotArea dataOnly="0" labelOnly="1" grandRow="1" outline="0" fieldPosition="0"/>
    </format>
    <format dxfId="12">
      <pivotArea dataOnly="0" labelOnly="1" outline="0" fieldPosition="0">
        <references count="2">
          <reference field="4" count="1" selected="0">
            <x v="0"/>
          </reference>
          <reference field="5" count="13">
            <x v="1"/>
            <x v="3"/>
            <x v="4"/>
            <x v="12"/>
            <x v="16"/>
            <x v="17"/>
            <x v="18"/>
            <x v="22"/>
            <x v="28"/>
            <x v="31"/>
            <x v="33"/>
            <x v="34"/>
            <x v="35"/>
          </reference>
        </references>
      </pivotArea>
    </format>
    <format dxfId="11">
      <pivotArea dataOnly="0" labelOnly="1" outline="0" fieldPosition="0">
        <references count="2">
          <reference field="4" count="1" selected="0">
            <x v="0"/>
          </reference>
          <reference field="5" count="13" defaultSubtotal="1">
            <x v="1"/>
            <x v="3"/>
            <x v="4"/>
            <x v="12"/>
            <x v="16"/>
            <x v="17"/>
            <x v="18"/>
            <x v="22"/>
            <x v="28"/>
            <x v="31"/>
            <x v="33"/>
            <x v="34"/>
            <x v="35"/>
          </reference>
        </references>
      </pivotArea>
    </format>
    <format dxfId="10">
      <pivotArea dataOnly="0" labelOnly="1" outline="0" fieldPosition="0">
        <references count="2">
          <reference field="4" count="1" selected="0">
            <x v="1"/>
          </reference>
          <reference field="5" count="12">
            <x v="0"/>
            <x v="2"/>
            <x v="8"/>
            <x v="9"/>
            <x v="14"/>
            <x v="15"/>
            <x v="19"/>
            <x v="21"/>
            <x v="26"/>
            <x v="27"/>
            <x v="30"/>
            <x v="32"/>
          </reference>
        </references>
      </pivotArea>
    </format>
    <format dxfId="9">
      <pivotArea dataOnly="0" labelOnly="1" outline="0" fieldPosition="0">
        <references count="2">
          <reference field="4" count="1" selected="0">
            <x v="1"/>
          </reference>
          <reference field="5" count="12" defaultSubtotal="1">
            <x v="0"/>
            <x v="2"/>
            <x v="8"/>
            <x v="9"/>
            <x v="14"/>
            <x v="15"/>
            <x v="19"/>
            <x v="21"/>
            <x v="26"/>
            <x v="27"/>
            <x v="30"/>
            <x v="32"/>
          </reference>
        </references>
      </pivotArea>
    </format>
    <format dxfId="8">
      <pivotArea dataOnly="0" labelOnly="1" outline="0" fieldPosition="0">
        <references count="2">
          <reference field="4" count="1" selected="0">
            <x v="2"/>
          </reference>
          <reference field="5" count="7">
            <x v="5"/>
            <x v="6"/>
            <x v="7"/>
            <x v="13"/>
            <x v="20"/>
            <x v="23"/>
            <x v="24"/>
          </reference>
        </references>
      </pivotArea>
    </format>
    <format dxfId="7">
      <pivotArea dataOnly="0" labelOnly="1" outline="0" fieldPosition="0">
        <references count="2">
          <reference field="4" count="1" selected="0">
            <x v="2"/>
          </reference>
          <reference field="5" count="7" defaultSubtotal="1">
            <x v="5"/>
            <x v="6"/>
            <x v="7"/>
            <x v="13"/>
            <x v="20"/>
            <x v="23"/>
            <x v="24"/>
          </reference>
        </references>
      </pivotArea>
    </format>
    <format dxfId="6">
      <pivotArea dataOnly="0" labelOnly="1" outline="0" fieldPosition="0">
        <references count="1">
          <reference field="4294967294" count="1">
            <x v="0"/>
          </reference>
        </references>
      </pivotArea>
    </format>
  </formats>
  <chartFormats count="5">
    <chartFormat chart="1" format="0"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4" format="7" series="1">
      <pivotArea type="data" outline="0" fieldPosition="0">
        <references count="1">
          <reference field="4294967294" count="1" selected="0">
            <x v="1"/>
          </reference>
        </references>
      </pivotArea>
    </chartFormat>
    <chartFormat chart="4" format="8" series="1">
      <pivotArea type="data" outline="0" fieldPosition="0">
        <references count="1">
          <reference field="4294967294" count="1" selected="0">
            <x v="2"/>
          </reference>
        </references>
      </pivotArea>
    </chartFormat>
    <chartFormat chart="4" format="9"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1" cacheId="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10">
  <location ref="L4:P7" firstHeaderRow="0" firstDataRow="1" firstDataCol="1" rowPageCount="1" colPageCount="1"/>
  <pivotFields count="88">
    <pivotField axis="axisRow" compact="0" outline="0" showAll="0">
      <items count="17">
        <item m="1" x="13"/>
        <item m="1" x="14"/>
        <item m="1" x="4"/>
        <item m="1" x="15"/>
        <item m="1" x="7"/>
        <item m="1" x="9"/>
        <item m="1" x="11"/>
        <item m="1" x="12"/>
        <item m="1" x="3"/>
        <item m="1" x="2"/>
        <item m="1" x="5"/>
        <item m="1" x="6"/>
        <item m="1" x="8"/>
        <item m="1" x="10"/>
        <item x="0"/>
        <item x="1"/>
        <item t="default"/>
      </items>
    </pivotField>
    <pivotField compact="0" outline="0" showAll="0" defaultSubtotal="0"/>
    <pivotField compact="0" outline="0" showAll="0" defaultSubtotal="0">
      <items count="51">
        <item x="3"/>
        <item m="1" x="23"/>
        <item m="1" x="46"/>
        <item m="1" x="47"/>
        <item x="2"/>
        <item x="9"/>
        <item m="1" x="33"/>
        <item m="1" x="44"/>
        <item x="12"/>
        <item m="1" x="14"/>
        <item m="1" x="27"/>
        <item m="1" x="16"/>
        <item x="8"/>
        <item m="1" x="48"/>
        <item x="13"/>
        <item m="1" x="41"/>
        <item m="1" x="19"/>
        <item m="1" x="28"/>
        <item m="1" x="17"/>
        <item m="1" x="34"/>
        <item m="1" x="42"/>
        <item m="1" x="39"/>
        <item m="1" x="31"/>
        <item m="1" x="50"/>
        <item m="1" x="22"/>
        <item m="1" x="43"/>
        <item m="1" x="20"/>
        <item m="1" x="40"/>
        <item m="1" x="30"/>
        <item m="1" x="29"/>
        <item m="1" x="26"/>
        <item x="4"/>
        <item m="1" x="24"/>
        <item x="6"/>
        <item m="1" x="15"/>
        <item m="1" x="21"/>
        <item x="5"/>
        <item x="1"/>
        <item m="1" x="49"/>
        <item m="1" x="37"/>
        <item m="1" x="18"/>
        <item x="7"/>
        <item m="1" x="32"/>
        <item m="1" x="25"/>
        <item m="1" x="36"/>
        <item m="1" x="35"/>
        <item x="11"/>
        <item m="1" x="38"/>
        <item m="1" x="45"/>
        <item x="10"/>
        <item x="0"/>
      </items>
    </pivotField>
    <pivotField compact="0" outline="0" showAll="0"/>
    <pivotField compact="0" outline="0" showAll="0">
      <items count="8">
        <item h="1" x="1"/>
        <item h="1" x="2"/>
        <item h="1" x="3"/>
        <item h="1" m="1" x="6"/>
        <item h="1" m="1" x="5"/>
        <item x="0"/>
        <item h="1" m="1" x="4"/>
        <item t="default"/>
      </items>
    </pivotField>
    <pivotField compact="0" outline="0" showAll="0">
      <items count="53">
        <item x="0"/>
        <item m="1" x="28"/>
        <item m="1" x="31"/>
        <item m="1" x="48"/>
        <item m="1" x="34"/>
        <item m="1" x="43"/>
        <item x="21"/>
        <item m="1" x="39"/>
        <item x="18"/>
        <item m="1" x="37"/>
        <item x="16"/>
        <item x="4"/>
        <item x="7"/>
        <item m="1" x="24"/>
        <item x="9"/>
        <item x="13"/>
        <item x="19"/>
        <item x="20"/>
        <item m="1" x="46"/>
        <item m="1" x="26"/>
        <item m="1" x="30"/>
        <item m="1" x="40"/>
        <item x="11"/>
        <item m="1" x="35"/>
        <item m="1" x="44"/>
        <item m="1" x="23"/>
        <item m="1" x="38"/>
        <item m="1" x="47"/>
        <item m="1" x="29"/>
        <item x="12"/>
        <item x="15"/>
        <item x="2"/>
        <item m="1" x="32"/>
        <item m="1" x="36"/>
        <item m="1" x="41"/>
        <item m="1" x="25"/>
        <item x="3"/>
        <item m="1" x="27"/>
        <item x="8"/>
        <item m="1" x="42"/>
        <item m="1" x="33"/>
        <item m="1" x="50"/>
        <item m="1" x="45"/>
        <item m="1" x="51"/>
        <item x="10"/>
        <item x="6"/>
        <item x="17"/>
        <item m="1" x="49"/>
        <item x="5"/>
        <item x="14"/>
        <item x="1"/>
        <item m="1" x="22"/>
        <item t="default"/>
      </items>
    </pivotField>
    <pivotField compact="0" outline="0" showAll="0" defaultSubtotal="0">
      <items count="11">
        <item m="1" x="4"/>
        <item m="1" x="9"/>
        <item m="1" x="8"/>
        <item m="1" x="6"/>
        <item m="1" x="3"/>
        <item m="1" x="2"/>
        <item x="0"/>
        <item m="1" x="7"/>
        <item m="1" x="10"/>
        <item m="1" x="5"/>
        <item m="1" x="1"/>
      </items>
    </pivotField>
    <pivotField compact="0" outline="0" showAll="0"/>
    <pivotField compact="0" outline="0" showAll="0"/>
    <pivotField dataField="1" compact="0" numFmtId="1"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defaultSubtotal="0"/>
    <pivotField compact="0" outline="0" showAll="0"/>
    <pivotField compact="0" numFmtId="1" outline="0" showAll="0"/>
    <pivotField compact="0" outline="0" showAll="0" defaultSubtotal="0"/>
    <pivotField dataField="1" compact="0" outline="0" showAll="0" defaultSubtotal="0"/>
    <pivotField compact="0" outline="0" showAll="0"/>
    <pivotField compact="0" numFmtId="9" outline="0" showAll="0"/>
    <pivotField compact="0" outline="0" showAll="0" defaultSubtotal="0"/>
    <pivotField compact="0" numFmtId="1" outline="0" showAll="0"/>
    <pivotField compact="0" numFmtId="1" outline="0" showAll="0"/>
    <pivotField compact="0" numFmtId="9" outline="0" showAll="0"/>
    <pivotField dataField="1" compact="0" numFmtId="1" outline="0" showAll="0" defaultSubtotal="0"/>
    <pivotField compact="0" outline="0" showAll="0" defaultSubtotal="0"/>
    <pivotField compact="0" numFmtId="1" outline="0" showAll="0"/>
    <pivotField compact="0" numFmtId="1" outline="0" showAll="0"/>
    <pivotField compact="0" numFmtId="9" outline="0" showAll="0"/>
    <pivotField compact="0" numFmtId="1" outline="0" showAll="0"/>
    <pivotField compact="0" numFmtId="1" outline="0" showAll="0"/>
    <pivotField dataField="1" compact="0" numFmtId="1" outline="0" showAll="0" defaultSubtotal="0"/>
    <pivotField compact="0" numFmtId="9" outline="0" showAll="0"/>
    <pivotField compact="0" numFmtId="9" outline="0" showAll="0"/>
    <pivotField compact="0" numFmtId="9" outline="0" showAll="0"/>
    <pivotField compact="0" numFmtId="1" outline="0" showAll="0"/>
    <pivotField compact="0" numFmtId="1" outline="0" showAll="0"/>
    <pivotField compact="0" numFmtId="16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5">
        <item x="0"/>
        <item m="1" x="3"/>
        <item m="1" x="2"/>
        <item m="1" x="1"/>
        <item t="default"/>
      </items>
    </pivotField>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0"/>
  </rowFields>
  <rowItems count="3">
    <i>
      <x v="14"/>
    </i>
    <i>
      <x v="15"/>
    </i>
    <i t="grand">
      <x/>
    </i>
  </rowItems>
  <colFields count="1">
    <field x="-2"/>
  </colFields>
  <colItems count="4">
    <i>
      <x/>
    </i>
    <i i="1">
      <x v="1"/>
    </i>
    <i i="2">
      <x v="2"/>
    </i>
    <i i="3">
      <x v="3"/>
    </i>
  </colItems>
  <pageFields count="1">
    <pageField fld="78" hier="-1"/>
  </pageFields>
  <dataFields count="4">
    <dataField name="  Total PoP " fld="9" baseField="0" baseItem="0"/>
    <dataField name="# of People adopt basic personal and community hygiene practices" fld="64" baseField="0" baseItem="0"/>
    <dataField name="# of people access to functioning  sanitation facilities" fld="57" baseField="0" baseItem="0"/>
    <dataField name="# of people Equitable and continuous access to sufficient quantity of domestic water" fld="50" baseField="0" baseItem="0"/>
  </dataFields>
  <chartFormats count="4">
    <chartFormat chart="3" format="5" series="1">
      <pivotArea type="data" outline="0" fieldPosition="0">
        <references count="1">
          <reference field="4294967294" count="1" selected="0">
            <x v="1"/>
          </reference>
        </references>
      </pivotArea>
    </chartFormat>
    <chartFormat chart="3" format="6" series="1">
      <pivotArea type="data" outline="0" fieldPosition="0">
        <references count="1">
          <reference field="4294967294" count="1" selected="0">
            <x v="2"/>
          </reference>
        </references>
      </pivotArea>
    </chartFormat>
    <chartFormat chart="3" format="7" series="1">
      <pivotArea type="data" outline="0" fieldPosition="0">
        <references count="1">
          <reference field="4294967294" count="1" selected="0">
            <x v="3"/>
          </reference>
        </references>
      </pivotArea>
    </chartFormat>
    <chartFormat chart="3"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6988A54-75B2-41DB-ADCC-569F1645EC75}" name="PivotTable9" cacheId="0"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Township">
  <location ref="B9:F15" firstHeaderRow="0" firstDataRow="1" firstDataCol="1" rowPageCount="4" colPageCount="1"/>
  <pivotFields count="88">
    <pivotField axis="axisPage" subtotalTop="0" showAll="0">
      <items count="17">
        <item m="1" x="14"/>
        <item m="1" x="4"/>
        <item m="1" x="7"/>
        <item m="1" x="2"/>
        <item m="1" x="15"/>
        <item m="1" x="3"/>
        <item m="1" x="13"/>
        <item m="1" x="9"/>
        <item m="1" x="11"/>
        <item m="1" x="12"/>
        <item m="1" x="5"/>
        <item m="1" x="6"/>
        <item m="1" x="8"/>
        <item m="1" x="10"/>
        <item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axis="axisRow" subtotalTop="0" showAll="0" sortType="ascending">
      <items count="53">
        <item x="0"/>
        <item m="1" x="28"/>
        <item m="1" x="31"/>
        <item m="1" x="48"/>
        <item m="1" x="34"/>
        <item m="1" x="43"/>
        <item x="21"/>
        <item m="1" x="39"/>
        <item x="18"/>
        <item m="1" x="37"/>
        <item x="16"/>
        <item x="4"/>
        <item x="7"/>
        <item m="1" x="24"/>
        <item x="9"/>
        <item x="13"/>
        <item x="19"/>
        <item x="20"/>
        <item m="1" x="46"/>
        <item m="1" x="26"/>
        <item m="1" x="30"/>
        <item m="1" x="40"/>
        <item x="11"/>
        <item m="1" x="35"/>
        <item m="1" x="44"/>
        <item m="1" x="23"/>
        <item m="1" x="38"/>
        <item m="1" x="47"/>
        <item m="1" x="29"/>
        <item x="12"/>
        <item x="15"/>
        <item x="2"/>
        <item m="1" x="32"/>
        <item m="1" x="36"/>
        <item m="1" x="41"/>
        <item m="1" x="25"/>
        <item x="3"/>
        <item m="1" x="27"/>
        <item x="8"/>
        <item m="1" x="42"/>
        <item m="1" x="33"/>
        <item m="1" x="50"/>
        <item m="1" x="45"/>
        <item m="1" x="51"/>
        <item x="10"/>
        <item x="6"/>
        <item x="17"/>
        <item m="1" x="49"/>
        <item x="5"/>
        <item x="14"/>
        <item x="1"/>
        <item m="1" x="22"/>
        <item t="default"/>
      </items>
    </pivotField>
    <pivotField axis="axisPage" multipleItemSelectionAllowed="1" showAll="0" defaultSubtotal="0">
      <items count="11">
        <item h="1" m="1" x="4"/>
        <item h="1" m="1" x="9"/>
        <item m="1" x="8"/>
        <item m="1" x="3"/>
        <item h="1" m="1" x="2"/>
        <item x="0"/>
        <item h="1" m="1" x="7"/>
        <item h="1" m="1" x="10"/>
        <item m="1" x="5"/>
        <item m="1" x="6"/>
        <item h="1" m="1" x="1"/>
      </items>
    </pivotField>
    <pivotField showAll="0"/>
    <pivotField subtotalTop="0" showAll="0"/>
    <pivotField dataField="1"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s>
  <rowFields count="1">
    <field x="5"/>
  </rowFields>
  <rowItems count="6">
    <i>
      <x v="15"/>
    </i>
    <i>
      <x v="22"/>
    </i>
    <i>
      <x v="29"/>
    </i>
    <i>
      <x v="38"/>
    </i>
    <i>
      <x v="44"/>
    </i>
    <i t="grand">
      <x/>
    </i>
  </rowItems>
  <colFields count="1">
    <field x="-2"/>
  </colFields>
  <colItems count="4">
    <i>
      <x/>
    </i>
    <i i="1">
      <x v="1"/>
    </i>
    <i i="2">
      <x v="2"/>
    </i>
    <i i="3">
      <x v="3"/>
    </i>
  </colItems>
  <pageFields count="4">
    <pageField fld="0" item="15" hier="-1"/>
    <pageField fld="78" hier="-1"/>
    <pageField fld="4" hier="-1"/>
    <pageField fld="6" hier="-1"/>
  </pageFields>
  <dataFields count="4">
    <dataField name="PoP " fld="9" baseField="0" baseItem="0" numFmtId="164"/>
    <dataField name=" % People benefitting from safe/improved drinking water, meeting demand for domestic purposes, at minimum/agreed standards" fld="84" baseField="0" baseItem="0" numFmtId="9"/>
    <dataField name=" % People benefitting from a functional excreta disposal system, reducing safety/public health/environmental risks" fld="86" baseField="0" baseItem="0" numFmtId="9"/>
    <dataField name=" %People benefitting from personal hygiene items and receiving appropriate hygiene message" fld="83" baseField="0" baseItem="0" numFmtId="9"/>
  </dataFields>
  <formats count="36">
    <format dxfId="102">
      <pivotArea type="all" dataOnly="0" outline="0" fieldPosition="0"/>
    </format>
    <format dxfId="101">
      <pivotArea outline="0" collapsedLevelsAreSubtotals="1" fieldPosition="0"/>
    </format>
    <format dxfId="100">
      <pivotArea field="5" type="button" dataOnly="0" labelOnly="1" outline="0" axis="axisRow" fieldPosition="0"/>
    </format>
    <format dxfId="99">
      <pivotArea dataOnly="0" labelOnly="1" outline="0" axis="axisValues" fieldPosition="0"/>
    </format>
    <format dxfId="98">
      <pivotArea dataOnly="0" labelOnly="1" fieldPosition="0">
        <references count="1">
          <reference field="5" count="0"/>
        </references>
      </pivotArea>
    </format>
    <format dxfId="97">
      <pivotArea dataOnly="0" labelOnly="1" grandRow="1" outline="0" fieldPosition="0"/>
    </format>
    <format dxfId="96">
      <pivotArea dataOnly="0" labelOnly="1" outline="0" axis="axisValues" fieldPosition="0"/>
    </format>
    <format dxfId="95">
      <pivotArea type="all" dataOnly="0" outline="0" fieldPosition="0"/>
    </format>
    <format dxfId="94">
      <pivotArea field="5" type="button" dataOnly="0" labelOnly="1" outline="0" axis="axisRow" fieldPosition="0"/>
    </format>
    <format dxfId="93">
      <pivotArea dataOnly="0" labelOnly="1" outline="0" axis="axisValues" fieldPosition="0"/>
    </format>
    <format dxfId="92">
      <pivotArea dataOnly="0" labelOnly="1" fieldPosition="0">
        <references count="1">
          <reference field="5" count="0"/>
        </references>
      </pivotArea>
    </format>
    <format dxfId="91">
      <pivotArea dataOnly="0" labelOnly="1" outline="0" axis="axisValues" fieldPosition="0"/>
    </format>
    <format dxfId="90">
      <pivotArea field="5" type="button" dataOnly="0" labelOnly="1" outline="0" axis="axisRow" fieldPosition="0"/>
    </format>
    <format dxfId="89">
      <pivotArea type="all" dataOnly="0" outline="0" fieldPosition="0"/>
    </format>
    <format dxfId="88">
      <pivotArea field="5" type="button" dataOnly="0" labelOnly="1" outline="0" axis="axisRow" fieldPosition="0"/>
    </format>
    <format dxfId="87">
      <pivotArea dataOnly="0" labelOnly="1" outline="0" fieldPosition="0">
        <references count="1">
          <reference field="4294967294" count="1">
            <x v="0"/>
          </reference>
        </references>
      </pivotArea>
    </format>
    <format dxfId="86">
      <pivotArea type="all" dataOnly="0" outline="0" fieldPosition="0"/>
    </format>
    <format dxfId="85">
      <pivotArea outline="0" collapsedLevelsAreSubtotals="1" fieldPosition="0"/>
    </format>
    <format dxfId="84">
      <pivotArea field="5" type="button" dataOnly="0" labelOnly="1" outline="0" axis="axisRow" fieldPosition="0"/>
    </format>
    <format dxfId="83">
      <pivotArea dataOnly="0" labelOnly="1" fieldPosition="0">
        <references count="1">
          <reference field="5" count="2">
            <x v="38"/>
            <x v="44"/>
          </reference>
        </references>
      </pivotArea>
    </format>
    <format dxfId="82">
      <pivotArea dataOnly="0" labelOnly="1" outline="0" fieldPosition="0">
        <references count="1">
          <reference field="4294967294" count="1">
            <x v="0"/>
          </reference>
        </references>
      </pivotArea>
    </format>
    <format dxfId="81">
      <pivotArea field="5" type="button" dataOnly="0" labelOnly="1" outline="0" axis="axisRow" fieldPosition="0"/>
    </format>
    <format dxfId="80">
      <pivotArea dataOnly="0" labelOnly="1" outline="0" fieldPosition="0">
        <references count="1">
          <reference field="4294967294" count="1">
            <x v="0"/>
          </reference>
        </references>
      </pivotArea>
    </format>
    <format dxfId="79">
      <pivotArea type="all" dataOnly="0" outline="0" fieldPosition="0"/>
    </format>
    <format dxfId="78">
      <pivotArea outline="0" collapsedLevelsAreSubtotals="1" fieldPosition="0"/>
    </format>
    <format dxfId="77">
      <pivotArea field="5" type="button" dataOnly="0" labelOnly="1" outline="0" axis="axisRow" fieldPosition="0"/>
    </format>
    <format dxfId="76">
      <pivotArea dataOnly="0" labelOnly="1" fieldPosition="0">
        <references count="1">
          <reference field="5" count="5">
            <x v="14"/>
            <x v="15"/>
            <x v="29"/>
            <x v="38"/>
            <x v="44"/>
          </reference>
        </references>
      </pivotArea>
    </format>
    <format dxfId="75">
      <pivotArea dataOnly="0" labelOnly="1" grandRow="1" outline="0" fieldPosition="0"/>
    </format>
    <format dxfId="74">
      <pivotArea dataOnly="0" labelOnly="1" outline="0" fieldPosition="0">
        <references count="1">
          <reference field="4294967294" count="1">
            <x v="0"/>
          </reference>
        </references>
      </pivotArea>
    </format>
    <format dxfId="73">
      <pivotArea field="4" type="button" dataOnly="0" labelOnly="1" outline="0" axis="axisPage" fieldPosition="2"/>
    </format>
    <format dxfId="72">
      <pivotArea dataOnly="0" labelOnly="1" outline="0" fieldPosition="0">
        <references count="2">
          <reference field="0" count="1" selected="0">
            <x v="7"/>
          </reference>
          <reference field="4" count="1">
            <x v="1"/>
          </reference>
        </references>
      </pivotArea>
    </format>
    <format dxfId="71">
      <pivotArea outline="0" collapsedLevelsAreSubtotals="1" fieldPosition="0">
        <references count="1">
          <reference field="4294967294" count="1" selected="0">
            <x v="0"/>
          </reference>
        </references>
      </pivotArea>
    </format>
    <format dxfId="70">
      <pivotArea dataOnly="0" labelOnly="1" outline="0" fieldPosition="0">
        <references count="2">
          <reference field="0" count="1" selected="0">
            <x v="8"/>
          </reference>
          <reference field="4" count="1">
            <x v="1"/>
          </reference>
        </references>
      </pivotArea>
    </format>
    <format dxfId="69">
      <pivotArea dataOnly="0" labelOnly="1" outline="0" fieldPosition="0">
        <references count="2">
          <reference field="0" count="1" selected="0">
            <x v="10"/>
          </reference>
          <reference field="4" count="0"/>
        </references>
      </pivotArea>
    </format>
    <format dxfId="68">
      <pivotArea outline="0" collapsedLevelsAreSubtotals="1" fieldPosition="0">
        <references count="1">
          <reference field="4294967294" count="3" selected="0">
            <x v="1"/>
            <x v="2"/>
            <x v="3"/>
          </reference>
        </references>
      </pivotArea>
    </format>
    <format dxfId="67">
      <pivotArea dataOnly="0" labelOnly="1" outline="0" fieldPosition="0">
        <references count="1">
          <reference field="4294967294" count="3">
            <x v="1"/>
            <x v="2"/>
            <x v="3"/>
          </reference>
        </references>
      </pivotArea>
    </format>
  </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800-000014000000}" name="R_H_CG_V"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52" rowHeaderCaption="State" colHeaderCaption=" ">
  <location ref="B166:D171" firstHeaderRow="0" firstDataRow="1" firstDataCol="1" rowPageCount="4" colPageCount="1"/>
  <pivotFields count="88">
    <pivotField axis="axisPage" subtotalTop="0" multipleItemSelectionAllowed="1" showAll="0">
      <items count="17">
        <item m="1" x="14"/>
        <item m="1" x="4"/>
        <item h="1" m="1" x="7"/>
        <item h="1" m="1" x="2"/>
        <item m="1" x="15"/>
        <item m="1" x="3"/>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axis="axisRow" subtotalTop="0" showAll="0">
      <items count="53">
        <item m="1" x="28"/>
        <item m="1" x="31"/>
        <item m="1" x="48"/>
        <item m="1" x="43"/>
        <item m="1" x="39"/>
        <item x="18"/>
        <item m="1" x="37"/>
        <item m="1" x="24"/>
        <item x="9"/>
        <item x="13"/>
        <item x="19"/>
        <item m="1" x="46"/>
        <item m="1" x="26"/>
        <item m="1" x="30"/>
        <item m="1" x="40"/>
        <item x="11"/>
        <item m="1" x="35"/>
        <item m="1" x="44"/>
        <item m="1" x="38"/>
        <item m="1" x="47"/>
        <item m="1" x="29"/>
        <item x="12"/>
        <item x="15"/>
        <item m="1" x="32"/>
        <item m="1" x="36"/>
        <item m="1" x="41"/>
        <item m="1" x="27"/>
        <item x="8"/>
        <item m="1" x="42"/>
        <item m="1" x="33"/>
        <item m="1" x="50"/>
        <item m="1" x="45"/>
        <item m="1" x="51"/>
        <item x="10"/>
        <item x="17"/>
        <item m="1" x="49"/>
        <item x="14"/>
        <item m="1" x="23"/>
        <item m="1" x="25"/>
        <item m="1" x="22"/>
        <item m="1" x="34"/>
        <item x="0"/>
        <item x="1"/>
        <item x="2"/>
        <item x="3"/>
        <item x="4"/>
        <item x="5"/>
        <item x="6"/>
        <item x="7"/>
        <item x="20"/>
        <item x="16"/>
        <item x="21"/>
        <item t="default"/>
      </items>
    </pivotField>
    <pivotField axis="axisPage" multipleItemSelectionAllowed="1" showAll="0" defaultSubtotal="0">
      <items count="11">
        <item h="1" m="1" x="4"/>
        <item h="1" m="1" x="9"/>
        <item m="1" x="8"/>
        <item m="1" x="6"/>
        <item m="1" x="3"/>
        <item m="1" x="2"/>
        <item x="0"/>
        <item m="1" x="7"/>
        <item h="1" m="1" x="10"/>
        <item m="1" x="5"/>
        <item h="1" m="1" x="1"/>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ubtotalTop="0" showAl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5">
    <i>
      <x v="9"/>
    </i>
    <i>
      <x v="15"/>
    </i>
    <i>
      <x v="21"/>
    </i>
    <i>
      <x v="27"/>
    </i>
    <i>
      <x v="33"/>
    </i>
  </rowItems>
  <colFields count="1">
    <field x="-2"/>
  </colFields>
  <colItems count="2">
    <i>
      <x/>
    </i>
    <i i="1">
      <x v="1"/>
    </i>
  </colItems>
  <pageFields count="4">
    <pageField fld="0" hier="-1"/>
    <pageField fld="78" item="0" hier="-1"/>
    <pageField fld="4" hier="-1"/>
    <pageField fld="6" hier="-1"/>
  </pageFields>
  <dataFields count="2">
    <dataField name="  % Hygiene Coverage" fld="83" baseField="0" baseItem="0" numFmtId="1"/>
    <dataField name="  % Hygiene Gap" fld="82" baseField="0" baseItem="0" numFmtId="1"/>
  </dataFields>
  <formats count="11">
    <format dxfId="113">
      <pivotArea type="all" dataOnly="0" outline="0" fieldPosition="0"/>
    </format>
    <format dxfId="112">
      <pivotArea outline="0" collapsedLevelsAreSubtotals="1" fieldPosition="0"/>
    </format>
    <format dxfId="111">
      <pivotArea field="4" type="button" dataOnly="0" labelOnly="1" outline="0" axis="axisPage" fieldPosition="2"/>
    </format>
    <format dxfId="110">
      <pivotArea type="all" dataOnly="0" outline="0" fieldPosition="0"/>
    </format>
    <format dxfId="109">
      <pivotArea outline="0" collapsedLevelsAreSubtotals="1" fieldPosition="0"/>
    </format>
    <format dxfId="108">
      <pivotArea outline="0" collapsedLevelsAreSubtotals="1" fieldPosition="0"/>
    </format>
    <format dxfId="107">
      <pivotArea field="5" type="button" dataOnly="0" labelOnly="1" outline="0" axis="axisRow" fieldPosition="0"/>
    </format>
    <format dxfId="106">
      <pivotArea field="5" type="button" dataOnly="0" labelOnly="1" outline="0" axis="axisRow" fieldPosition="0"/>
    </format>
    <format dxfId="105">
      <pivotArea field="5" type="button" dataOnly="0" labelOnly="1" outline="0" axis="axisRow" fieldPosition="0"/>
    </format>
    <format dxfId="104">
      <pivotArea field="4" type="button" dataOnly="0" labelOnly="1" outline="0" axis="axisPage" fieldPosition="2"/>
    </format>
    <format dxfId="103">
      <pivotArea dataOnly="0" labelOnly="1" outline="0" fieldPosition="0">
        <references count="2">
          <reference field="4" count="0"/>
          <reference field="78" count="1" selected="0">
            <x v="0"/>
          </reference>
        </references>
      </pivotArea>
    </format>
  </formats>
  <chartFormats count="2">
    <chartFormat chart="49" format="4" series="1">
      <pivotArea type="data" outline="0" fieldPosition="0">
        <references count="1">
          <reference field="4294967294" count="1" selected="0">
            <x v="0"/>
          </reference>
        </references>
      </pivotArea>
    </chartFormat>
    <chartFormat chart="49" format="5" series="1">
      <pivotArea type="data" outline="0" fieldPosition="0">
        <references count="1">
          <reference field="4294967294" count="1" selected="0">
            <x v="1"/>
          </reference>
        </references>
      </pivotArea>
    </chartFormat>
  </chartFormats>
  <pivotTableStyleInfo name="PivotStyleMedium14"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23000000}" name="W_R_C_G_V"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57" rowHeaderCaption="State" colHeaderCaption=" ">
  <location ref="B54:D59" firstHeaderRow="0" firstDataRow="1" firstDataCol="1" rowPageCount="4" colPageCount="1"/>
  <pivotFields count="88">
    <pivotField axis="axisPage" subtotalTop="0" multipleItemSelectionAllowed="1" showAll="0">
      <items count="17">
        <item m="1" x="14"/>
        <item m="1" x="4"/>
        <item h="1" m="1" x="7"/>
        <item h="1" m="1" x="2"/>
        <item m="1" x="15"/>
        <item m="1" x="3"/>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axis="axisRow" subtotalTop="0" showAll="0">
      <items count="53">
        <item m="1" x="28"/>
        <item m="1" x="31"/>
        <item m="1" x="48"/>
        <item m="1" x="43"/>
        <item m="1" x="39"/>
        <item x="18"/>
        <item m="1" x="37"/>
        <item m="1" x="24"/>
        <item x="9"/>
        <item x="13"/>
        <item x="19"/>
        <item m="1" x="46"/>
        <item m="1" x="26"/>
        <item m="1" x="30"/>
        <item m="1" x="40"/>
        <item x="11"/>
        <item m="1" x="35"/>
        <item m="1" x="44"/>
        <item m="1" x="38"/>
        <item m="1" x="47"/>
        <item m="1" x="29"/>
        <item x="12"/>
        <item x="15"/>
        <item m="1" x="32"/>
        <item m="1" x="36"/>
        <item m="1" x="41"/>
        <item m="1" x="27"/>
        <item x="8"/>
        <item m="1" x="42"/>
        <item m="1" x="33"/>
        <item m="1" x="50"/>
        <item m="1" x="45"/>
        <item m="1" x="51"/>
        <item x="10"/>
        <item x="17"/>
        <item m="1" x="49"/>
        <item x="14"/>
        <item m="1" x="23"/>
        <item m="1" x="25"/>
        <item m="1" x="22"/>
        <item m="1" x="34"/>
        <item x="0"/>
        <item x="1"/>
        <item x="2"/>
        <item x="3"/>
        <item x="4"/>
        <item x="5"/>
        <item x="6"/>
        <item x="7"/>
        <item x="20"/>
        <item x="16"/>
        <item x="21"/>
        <item t="default"/>
      </items>
    </pivotField>
    <pivotField axis="axisPage" multipleItemSelectionAllowed="1" showAll="0" defaultSubtotal="0">
      <items count="11">
        <item h="1" m="1" x="4"/>
        <item h="1" m="1" x="9"/>
        <item m="1" x="8"/>
        <item m="1" x="6"/>
        <item m="1" x="3"/>
        <item m="1" x="2"/>
        <item x="0"/>
        <item m="1" x="7"/>
        <item h="1" m="1" x="10"/>
        <item m="1" x="5"/>
        <item h="1" m="1" x="1"/>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showAll="0">
      <items count="5">
        <item x="0"/>
        <item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s>
  <rowFields count="1">
    <field x="5"/>
  </rowFields>
  <rowItems count="5">
    <i>
      <x v="9"/>
    </i>
    <i>
      <x v="15"/>
    </i>
    <i>
      <x v="21"/>
    </i>
    <i>
      <x v="27"/>
    </i>
    <i>
      <x v="33"/>
    </i>
  </rowItems>
  <colFields count="1">
    <field x="-2"/>
  </colFields>
  <colItems count="2">
    <i>
      <x/>
    </i>
    <i i="1">
      <x v="1"/>
    </i>
  </colItems>
  <pageFields count="4">
    <pageField fld="0" hier="-1"/>
    <pageField fld="78" item="0" hier="-1"/>
    <pageField fld="4" hier="-1"/>
    <pageField fld="6" hier="-1"/>
  </pageFields>
  <dataFields count="2">
    <dataField name="Accessed" fld="84" baseField="0" baseItem="0"/>
    <dataField name="No Access" fld="85" baseField="0" baseItem="0"/>
  </dataFields>
  <formats count="13">
    <format dxfId="126">
      <pivotArea field="4" type="button" dataOnly="0" labelOnly="1" outline="0" axis="axisPage" fieldPosition="2"/>
    </format>
    <format dxfId="125">
      <pivotArea type="all" dataOnly="0" outline="0" fieldPosition="0"/>
    </format>
    <format dxfId="124">
      <pivotArea outline="0" collapsedLevelsAreSubtotals="1" fieldPosition="0"/>
    </format>
    <format dxfId="123">
      <pivotArea field="4" type="button" dataOnly="0" labelOnly="1" outline="0" axis="axisPage" fieldPosition="2"/>
    </format>
    <format dxfId="122">
      <pivotArea type="all" dataOnly="0" outline="0" fieldPosition="0"/>
    </format>
    <format dxfId="121">
      <pivotArea outline="0" collapsedLevelsAreSubtotals="1" fieldPosition="0"/>
    </format>
    <format dxfId="120">
      <pivotArea outline="0" collapsedLevelsAreSubtotals="1" fieldPosition="0"/>
    </format>
    <format dxfId="119">
      <pivotArea field="5" type="button" dataOnly="0" labelOnly="1" outline="0" axis="axisRow" fieldPosition="0"/>
    </format>
    <format dxfId="118">
      <pivotArea field="5" type="button" dataOnly="0" labelOnly="1" outline="0" axis="axisRow" fieldPosition="0"/>
    </format>
    <format dxfId="117">
      <pivotArea field="5" type="button" dataOnly="0" labelOnly="1" outline="0" axis="axisRow" fieldPosition="0"/>
    </format>
    <format dxfId="116">
      <pivotArea field="4" type="button" dataOnly="0" labelOnly="1" outline="0" axis="axisPage" fieldPosition="2"/>
    </format>
    <format dxfId="115">
      <pivotArea dataOnly="0" labelOnly="1" outline="0" fieldPosition="0">
        <references count="2">
          <reference field="4" count="1">
            <x v="1"/>
          </reference>
          <reference field="78" count="1" selected="0">
            <x v="0"/>
          </reference>
        </references>
      </pivotArea>
    </format>
    <format dxfId="114">
      <pivotArea dataOnly="0" labelOnly="1" outline="0" fieldPosition="0">
        <references count="2">
          <reference field="4" count="1">
            <x v="2"/>
          </reference>
          <reference field="78" count="1" selected="0">
            <x v="0"/>
          </reference>
        </references>
      </pivotArea>
    </format>
  </formats>
  <chartFormats count="10">
    <chartFormat chart="44" format="3" series="1">
      <pivotArea type="data" outline="0" fieldPosition="0">
        <references count="1">
          <reference field="4294967294" count="1" selected="0">
            <x v="0"/>
          </reference>
        </references>
      </pivotArea>
    </chartFormat>
    <chartFormat chart="44" format="4" series="1">
      <pivotArea type="data" outline="0" fieldPosition="0">
        <references count="1">
          <reference field="4294967294" count="1" selected="0">
            <x v="1"/>
          </reference>
        </references>
      </pivotArea>
    </chartFormat>
    <chartFormat chart="47" format="5" series="1">
      <pivotArea type="data" outline="0" fieldPosition="0">
        <references count="1">
          <reference field="4294967294" count="1" selected="0">
            <x v="0"/>
          </reference>
        </references>
      </pivotArea>
    </chartFormat>
    <chartFormat chart="47" format="6" series="1">
      <pivotArea type="data" outline="0" fieldPosition="0">
        <references count="1">
          <reference field="4294967294" count="1" selected="0">
            <x v="1"/>
          </reference>
        </references>
      </pivotArea>
    </chartFormat>
    <chartFormat chart="48" format="7" series="1">
      <pivotArea type="data" outline="0" fieldPosition="0">
        <references count="1">
          <reference field="4294967294" count="1" selected="0">
            <x v="0"/>
          </reference>
        </references>
      </pivotArea>
    </chartFormat>
    <chartFormat chart="48" format="8" series="1">
      <pivotArea type="data" outline="0" fieldPosition="0">
        <references count="1">
          <reference field="4294967294" count="1" selected="0">
            <x v="1"/>
          </reference>
        </references>
      </pivotArea>
    </chartFormat>
    <chartFormat chart="55" format="5" series="1">
      <pivotArea type="data" outline="0" fieldPosition="0">
        <references count="1">
          <reference field="4294967294" count="1" selected="0">
            <x v="0"/>
          </reference>
        </references>
      </pivotArea>
    </chartFormat>
    <chartFormat chart="55" format="6" series="1">
      <pivotArea type="data" outline="0" fieldPosition="0">
        <references count="1">
          <reference field="4294967294" count="1" selected="0">
            <x v="1"/>
          </reference>
        </references>
      </pivotArea>
    </chartFormat>
    <chartFormat chart="56" format="7" series="1">
      <pivotArea type="data" outline="0" fieldPosition="0">
        <references count="1">
          <reference field="4294967294" count="1" selected="0">
            <x v="0"/>
          </reference>
        </references>
      </pivotArea>
    </chartFormat>
    <chartFormat chart="56" format="8" series="1">
      <pivotArea type="data" outline="0" fieldPosition="0">
        <references count="1">
          <reference field="4294967294" count="1" selected="0">
            <x v="1"/>
          </reference>
        </references>
      </pivotArea>
    </chartFormat>
  </chart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EB54D17-4EA8-497B-94A9-BE4E9F388C7C}" name="PivotTable13"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54">
  <location ref="B44:B45" firstHeaderRow="1" firstDataRow="1" firstDataCol="0" rowPageCount="3" colPageCount="1"/>
  <pivotFields count="88">
    <pivotField axis="axisPage" subtotalTop="0" multipleItemSelectionAllowed="1" showAll="0">
      <items count="17">
        <item m="1" x="14"/>
        <item m="1" x="4"/>
        <item h="1" m="1" x="7"/>
        <item h="1" m="1" x="2"/>
        <item m="1" x="15"/>
        <item m="1" x="3"/>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subtotalTop="0" showAll="0"/>
    <pivotField multipleItemSelectionAllowed="1" showAll="0" defaultSubtotal="0"/>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Items count="1">
    <i/>
  </colItems>
  <pageFields count="3">
    <pageField fld="0" hier="-1"/>
    <pageField fld="4" hier="-1"/>
    <pageField fld="78" hier="-1"/>
  </pageFields>
  <dataFields count="1">
    <dataField name="Sum of #_of_people_accessing_to_other_types_of_un-improved_water_sources_(river,_spring)" fld="18" baseField="0" baseItem="0"/>
  </dataFields>
  <formats count="8">
    <format dxfId="134">
      <pivotArea type="all" dataOnly="0" outline="0" fieldPosition="0"/>
    </format>
    <format dxfId="133">
      <pivotArea outline="0" collapsedLevelsAreSubtotals="1" fieldPosition="0"/>
    </format>
    <format dxfId="132">
      <pivotArea type="all" dataOnly="0" outline="0" fieldPosition="0"/>
    </format>
    <format dxfId="131">
      <pivotArea type="all" dataOnly="0" outline="0" fieldPosition="0"/>
    </format>
    <format dxfId="130">
      <pivotArea outline="0" collapsedLevelsAreSubtotals="1" fieldPosition="0"/>
    </format>
    <format dxfId="129">
      <pivotArea field="4" type="button" dataOnly="0" labelOnly="1" outline="0" axis="axisPage" fieldPosition="1"/>
    </format>
    <format dxfId="128">
      <pivotArea dataOnly="0" labelOnly="1" outline="0" fieldPosition="0">
        <references count="1">
          <reference field="4" count="1">
            <x v="1"/>
          </reference>
        </references>
      </pivotArea>
    </format>
    <format dxfId="127">
      <pivotArea outline="0" collapsedLevelsAreSubtotals="1" fieldPosition="0"/>
    </format>
  </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18000000}" name="R_water1"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54">
  <location ref="B35:D36" firstHeaderRow="0" firstDataRow="1" firstDataCol="0" rowPageCount="3" colPageCount="1"/>
  <pivotFields count="88">
    <pivotField axis="axisPage" subtotalTop="0" multipleItemSelectionAllowed="1" showAll="0">
      <items count="17">
        <item m="1" x="14"/>
        <item m="1" x="4"/>
        <item h="1" m="1" x="7"/>
        <item h="1" m="1" x="2"/>
        <item m="1" x="15"/>
        <item m="1" x="3"/>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subtotalTop="0" showAll="0"/>
    <pivotField multipleItemSelectionAllowed="1" showAll="0" defaultSubtotal="0"/>
    <pivotField showAll="0"/>
    <pivotField subtotalTop="0" showAll="0"/>
    <pivotField subtotalTop="0" showAll="0"/>
    <pivotField showAll="0" defaultSubtotal="0"/>
    <pivotField showAll="0" defaultSubtotal="0"/>
    <pivotField showAll="0"/>
    <pivotField subtotalTop="0"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3">
    <i>
      <x/>
    </i>
    <i i="1">
      <x v="1"/>
    </i>
    <i i="2">
      <x v="2"/>
    </i>
  </colItems>
  <pageFields count="3">
    <pageField fld="0" hier="-1"/>
    <pageField fld="4" hier="-1"/>
    <pageField fld="78" hier="-1"/>
  </pageFields>
  <dataFields count="3">
    <dataField name=" # Functioning protected hand dug well/open well" fld="14" baseField="0" baseItem="0"/>
    <dataField name=" # Functioning Tube wells/boreholes/hand_pumps" fld="15" baseField="0" baseItem="0"/>
    <dataField name="  # Existing protected/fenced_ponds" fld="16" baseField="0" baseItem="0"/>
  </dataFields>
  <formats count="9">
    <format dxfId="143">
      <pivotArea type="all" dataOnly="0" outline="0" fieldPosition="0"/>
    </format>
    <format dxfId="142">
      <pivotArea outline="0" collapsedLevelsAreSubtotals="1" fieldPosition="0"/>
    </format>
    <format dxfId="141">
      <pivotArea type="all" dataOnly="0" outline="0" fieldPosition="0"/>
    </format>
    <format dxfId="140">
      <pivotArea type="all" dataOnly="0" outline="0" fieldPosition="0"/>
    </format>
    <format dxfId="139">
      <pivotArea outline="0" collapsedLevelsAreSubtotals="1" fieldPosition="0"/>
    </format>
    <format dxfId="138">
      <pivotArea field="4" type="button" dataOnly="0" labelOnly="1" outline="0" axis="axisPage" fieldPosition="1"/>
    </format>
    <format dxfId="137">
      <pivotArea dataOnly="0" labelOnly="1" outline="0" fieldPosition="0">
        <references count="1">
          <reference field="4" count="1">
            <x v="1"/>
          </reference>
        </references>
      </pivotArea>
    </format>
    <format dxfId="136">
      <pivotArea outline="0" collapsedLevelsAreSubtotals="1" fieldPosition="0"/>
    </format>
    <format dxfId="135">
      <pivotArea dataOnly="0" outline="0" fieldPosition="0">
        <references count="1">
          <reference field="4294967294" count="3">
            <x v="0"/>
            <x v="1"/>
            <x v="2"/>
          </reference>
        </references>
      </pivotArea>
    </format>
  </formats>
  <chartFormats count="3">
    <chartFormat chart="51" format="0" series="1">
      <pivotArea type="data" outline="0" fieldPosition="0">
        <references count="1">
          <reference field="4294967294" count="1" selected="0">
            <x v="0"/>
          </reference>
        </references>
      </pivotArea>
    </chartFormat>
    <chartFormat chart="51" format="1" series="1">
      <pivotArea type="data" outline="0" fieldPosition="0">
        <references count="1">
          <reference field="4294967294" count="1" selected="0">
            <x v="1"/>
          </reference>
        </references>
      </pivotArea>
    </chartFormat>
    <chartFormat chart="51" format="2" series="1">
      <pivotArea type="data" outline="0" fieldPosition="0">
        <references count="1">
          <reference field="4294967294" count="1" selected="0">
            <x v="2"/>
          </reference>
        </references>
      </pivotArea>
    </chartFormat>
  </chartFormats>
  <pivotTableStyleInfo name="CUSTOM"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F000000}" name="PivotTable2"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8" rowHeaderCaption="State">
  <location ref="C285:D287" firstHeaderRow="1" firstDataRow="1" firstDataCol="1" rowPageCount="4" colPageCount="1"/>
  <pivotFields count="88">
    <pivotField axis="axisPage" subtotalTop="0" showAll="0">
      <items count="17">
        <item m="1" x="14"/>
        <item m="1" x="4"/>
        <item m="1" x="15"/>
        <item m="1" x="7"/>
        <item m="1" x="3"/>
        <item m="1" x="2"/>
        <item m="1" x="13"/>
        <item m="1" x="9"/>
        <item m="1" x="11"/>
        <item m="1" x="12"/>
        <item m="1" x="5"/>
        <item m="1" x="6"/>
        <item m="1" x="8"/>
        <item m="1" x="10"/>
        <item x="0"/>
        <item x="1"/>
        <item t="default"/>
      </items>
    </pivotField>
    <pivotField showAll="0" defaultSubtotal="0"/>
    <pivotField showAll="0" defaultSubtotal="0"/>
    <pivotField subtotalTop="0" showAll="0"/>
    <pivotField axis="axisPage" subtotalTop="0" multipleItemSelectionAllowed="1" showAll="0">
      <items count="8">
        <item x="2"/>
        <item m="1" x="5"/>
        <item h="1" x="0"/>
        <item m="1" x="4"/>
        <item x="1"/>
        <item m="1" x="6"/>
        <item h="1" x="3"/>
        <item t="default"/>
      </items>
    </pivotField>
    <pivotField subtotalTop="0" showAll="0"/>
    <pivotField axis="axisPage" multipleItemSelectionAllowed="1" showAll="0" defaultSubtotal="0">
      <items count="11">
        <item m="1" x="4"/>
        <item m="1" x="9"/>
        <item m="1" x="8"/>
        <item h="1" m="1" x="6"/>
        <item m="1" x="3"/>
        <item m="1" x="2"/>
        <item x="0"/>
        <item m="1" x="7"/>
        <item h="1" m="1" x="10"/>
        <item m="1" x="5"/>
        <item h="1" m="1" x="1"/>
      </items>
    </pivotField>
    <pivotField showAll="0"/>
    <pivotField subtotalTop="0" showAll="0"/>
    <pivotField subtotalTop="0" showAll="0"/>
    <pivotField showAll="0" defaultSubtotal="0"/>
    <pivotField showAll="0" defaultSubtotal="0"/>
    <pivotField showAll="0"/>
    <pivotField subtotalTop="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numFmtId="1" subtotalTop="0" showAll="0"/>
    <pivotField showAll="0" defaultSubtotal="0"/>
    <pivotField showAll="0" defaultSubtotal="0"/>
    <pivotField subtotalTop="0" showAll="0"/>
    <pivotField subtotalTop="0" showAll="0"/>
    <pivotField showAll="0" defaultSubtotal="0"/>
    <pivotField numFmtId="1" subtotalTop="0" showAll="0"/>
    <pivotField numFmtId="1" subtotalTop="0" showAll="0"/>
    <pivotField numFmtId="9" showAll="0"/>
    <pivotField numFmtId="1" showAll="0" defaultSubtotal="0"/>
    <pivotField showAll="0" defaultSubtotal="0"/>
    <pivotField subtotalTop="0" showAll="0"/>
    <pivotField subtotalTop="0" showAll="0"/>
    <pivotField subtotalTop="0" showAll="0"/>
    <pivotField numFmtId="1" showAll="0"/>
    <pivotField numFmtId="1" showAll="0"/>
    <pivotField numFmtId="1" showAll="0" defaultSubtotal="0"/>
    <pivotField numFmtId="9" subtotalTop="0" showAll="0"/>
    <pivotField numFmtId="9" subtotalTop="0" showAll="0"/>
    <pivotField numFmtId="9" subtotalTop="0" showAll="0"/>
    <pivotField numFmtId="1" showAll="0"/>
    <pivotField numFmtId="1" showAll="0"/>
    <pivotField numFmtId="164" showAll="0"/>
    <pivotField axis="axisRow" dataField="1" showAll="0" sortType="descending">
      <items count="3">
        <item x="1"/>
        <item x="0"/>
        <item t="default"/>
      </items>
    </pivotField>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n="Gap" h="1" m="1" x="3"/>
        <item h="1" m="1" x="2"/>
        <item h="1"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71"/>
  </rowFields>
  <rowItems count="2">
    <i>
      <x/>
    </i>
    <i>
      <x v="1"/>
    </i>
  </rowItems>
  <colItems count="1">
    <i/>
  </colItems>
  <pageFields count="4">
    <pageField fld="0" item="15" hier="-1"/>
    <pageField fld="4" hier="-1"/>
    <pageField fld="78" hier="-1"/>
    <pageField fld="6" hier="-1"/>
  </pageFields>
  <dataFields count="1">
    <dataField name="Count of Village with School" fld="71" subtotal="count" baseField="62" baseItem="1" numFmtId="164"/>
  </dataFields>
  <formats count="15">
    <format dxfId="158">
      <pivotArea type="all" dataOnly="0" outline="0" fieldPosition="0"/>
    </format>
    <format dxfId="157">
      <pivotArea outline="0" collapsedLevelsAreSubtotals="1" fieldPosition="0"/>
    </format>
    <format dxfId="156">
      <pivotArea field="4" type="button" dataOnly="0" labelOnly="1" outline="0" axis="axisPage" fieldPosition="1"/>
    </format>
    <format dxfId="155">
      <pivotArea dataOnly="0" labelOnly="1" grandRow="1" outline="0" fieldPosition="0"/>
    </format>
    <format dxfId="154">
      <pivotArea type="all" dataOnly="0" outline="0" fieldPosition="0"/>
    </format>
    <format dxfId="153">
      <pivotArea outline="0" collapsedLevelsAreSubtotals="1" fieldPosition="0"/>
    </format>
    <format dxfId="152">
      <pivotArea type="origin" dataOnly="0" labelOnly="1" outline="0" fieldPosition="0"/>
    </format>
    <format dxfId="151">
      <pivotArea field="78" type="button" dataOnly="0" labelOnly="1" outline="0" axis="axisPage" fieldPosition="2"/>
    </format>
    <format dxfId="150">
      <pivotArea type="topRight" dataOnly="0" labelOnly="1" outline="0" fieldPosition="0"/>
    </format>
    <format dxfId="149">
      <pivotArea dataOnly="0" labelOnly="1" fieldPosition="0">
        <references count="1">
          <reference field="78" count="0"/>
        </references>
      </pivotArea>
    </format>
    <format dxfId="148">
      <pivotArea type="all" dataOnly="0" outline="0" fieldPosition="0"/>
    </format>
    <format dxfId="147">
      <pivotArea outline="0" collapsedLevelsAreSubtotals="1" fieldPosition="0"/>
    </format>
    <format dxfId="146">
      <pivotArea field="4" type="button" dataOnly="0" labelOnly="1" outline="0" axis="axisPage" fieldPosition="1"/>
    </format>
    <format dxfId="145">
      <pivotArea outline="0" fieldPosition="0">
        <references count="1">
          <reference field="4294967294" count="1">
            <x v="0"/>
          </reference>
        </references>
      </pivotArea>
    </format>
    <format dxfId="144">
      <pivotArea outline="0" collapsedLevelsAreSubtotals="1" fieldPosition="0"/>
    </format>
  </formats>
  <chartFormats count="9">
    <chartFormat chart="12" format="0" series="1">
      <pivotArea type="data" outline="0" fieldPosition="0">
        <references count="1">
          <reference field="4294967294" count="1" selected="0">
            <x v="0"/>
          </reference>
        </references>
      </pivotArea>
    </chartFormat>
    <chartFormat chart="12" format="1">
      <pivotArea type="data" outline="0" fieldPosition="0">
        <references count="2">
          <reference field="4294967294" count="1" selected="0">
            <x v="0"/>
          </reference>
          <reference field="71" count="1" selected="0">
            <x v="0"/>
          </reference>
        </references>
      </pivotArea>
    </chartFormat>
    <chartFormat chart="12" format="2">
      <pivotArea type="data" outline="0" fieldPosition="0">
        <references count="2">
          <reference field="4294967294" count="1" selected="0">
            <x v="0"/>
          </reference>
          <reference field="71" count="1" selected="0">
            <x v="1"/>
          </reference>
        </references>
      </pivotArea>
    </chartFormat>
    <chartFormat chart="15" format="6" series="1">
      <pivotArea type="data" outline="0" fieldPosition="0">
        <references count="1">
          <reference field="4294967294" count="1" selected="0">
            <x v="0"/>
          </reference>
        </references>
      </pivotArea>
    </chartFormat>
    <chartFormat chart="15" format="7">
      <pivotArea type="data" outline="0" fieldPosition="0">
        <references count="2">
          <reference field="4294967294" count="1" selected="0">
            <x v="0"/>
          </reference>
          <reference field="71" count="1" selected="0">
            <x v="0"/>
          </reference>
        </references>
      </pivotArea>
    </chartFormat>
    <chartFormat chart="15" format="8">
      <pivotArea type="data" outline="0" fieldPosition="0">
        <references count="2">
          <reference field="4294967294" count="1" selected="0">
            <x v="0"/>
          </reference>
          <reference field="71" count="1" selected="0">
            <x v="1"/>
          </reference>
        </references>
      </pivotArea>
    </chartFormat>
    <chartFormat chart="17" format="12" series="1">
      <pivotArea type="data" outline="0" fieldPosition="0">
        <references count="1">
          <reference field="4294967294" count="1" selected="0">
            <x v="0"/>
          </reference>
        </references>
      </pivotArea>
    </chartFormat>
    <chartFormat chart="17" format="13">
      <pivotArea type="data" outline="0" fieldPosition="0">
        <references count="2">
          <reference field="4294967294" count="1" selected="0">
            <x v="0"/>
          </reference>
          <reference field="71" count="1" selected="0">
            <x v="0"/>
          </reference>
        </references>
      </pivotArea>
    </chartFormat>
    <chartFormat chart="17" format="14">
      <pivotArea type="data" outline="0" fieldPosition="0">
        <references count="2">
          <reference field="4294967294" count="1" selected="0">
            <x v="0"/>
          </reference>
          <reference field="71" count="1" selected="0">
            <x v="1"/>
          </reference>
        </references>
      </pivotArea>
    </chartFormat>
  </chartFormats>
  <pivotTableStyleInfo name="CUSTOM"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67D8611E-D9D7-4442-B182-B1A118D1E03A}" name="PivotTable4" cacheId="0" dataOnRows="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16">
  <location ref="B123:C125" firstHeaderRow="1" firstDataRow="1" firstDataCol="1" rowPageCount="4" colPageCount="1"/>
  <pivotFields count="88">
    <pivotField axis="axisPage" subtotalTop="0" multipleItemSelectionAllowed="1" showAll="0">
      <items count="17">
        <item m="1" x="14"/>
        <item m="1" x="4"/>
        <item m="1" x="15"/>
        <item h="1" m="1" x="7"/>
        <item m="1" x="3"/>
        <item h="1" m="1" x="2"/>
        <item h="1" m="1" x="13"/>
        <item h="1" m="1" x="9"/>
        <item h="1" m="1" x="11"/>
        <item m="1" x="12"/>
        <item h="1" m="1" x="5"/>
        <item h="1" m="1" x="6"/>
        <item h="1" m="1" x="8"/>
        <item h="1" m="1" x="10"/>
        <item h="1" x="0"/>
        <item x="1"/>
        <item t="default"/>
      </items>
    </pivotField>
    <pivotField showAll="0" defaultSubtotal="0"/>
    <pivotField showAll="0" defaultSubtotal="0"/>
    <pivotField subtotalTop="0" showAll="0"/>
    <pivotField axis="axisPage" subtotalTop="0" multipleItemSelectionAllowed="1" showAll="0">
      <items count="8">
        <item h="1" x="2"/>
        <item m="1" x="5"/>
        <item h="1" x="0"/>
        <item m="1" x="4"/>
        <item x="1"/>
        <item m="1" x="6"/>
        <item h="1" x="3"/>
        <item t="default"/>
      </items>
    </pivotField>
    <pivotField subtotalTop="0" showAll="0"/>
    <pivotField axis="axisPage" multipleItemSelectionAllowed="1" showAll="0" defaultSubtotal="0">
      <items count="11">
        <item m="1" x="4"/>
        <item m="1" x="9"/>
        <item m="1" x="8"/>
        <item m="1" x="6"/>
        <item m="1" x="3"/>
        <item m="1" x="2"/>
        <item x="0"/>
        <item m="1" x="7"/>
        <item h="1" m="1" x="10"/>
        <item m="1" x="5"/>
        <item h="1" m="1" x="1"/>
      </items>
    </pivotField>
    <pivotField showAll="0"/>
    <pivotField subtotalTop="0" showAll="0"/>
    <pivotField subtotalTop="0" showAll="0"/>
    <pivotField showAll="0" defaultSubtotal="0"/>
    <pivotField showAll="0" defaultSubtotal="0"/>
    <pivotField dataField="1" showAll="0"/>
    <pivotField subtotalTop="0"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ubtotalTop="0" showAll="0"/>
    <pivotField showAll="0" defaultSubtotal="0"/>
    <pivotField showAll="0"/>
    <pivotField subtotalTop="0" showAll="0"/>
    <pivotField showAll="0" defaultSubtotal="0"/>
    <pivotField showAll="0" defaultSubtotal="0"/>
    <pivotField subtotalTop="0" showAll="0"/>
    <pivotField numFmtId="9" subtotalTop="0" showAll="0"/>
    <pivotField showAll="0" defaultSubtotal="0"/>
    <pivotField subtotalTop="0" showAll="0"/>
    <pivotField subtotalTop="0" showAll="0"/>
    <pivotField numFmtId="9" showAll="0"/>
    <pivotField numFmtId="1" showAll="0" defaultSubtotal="0"/>
    <pivotField showAll="0" defaultSubtotal="0"/>
    <pivotField subtotalTop="0" showAll="0"/>
    <pivotField numFmtId="1" subtotalTop="0" showAll="0"/>
    <pivotField numFmtId="9" subtotalTop="0" showAll="0"/>
    <pivotField numFmtId="1" showAll="0"/>
    <pivotField numFmtId="1" showAll="0"/>
    <pivotField numFmtId="1" showAll="0" defaultSubtotal="0"/>
    <pivotField numFmtId="9" subtotalTop="0" showAll="0"/>
    <pivotField subtotalTop="0" showAll="0"/>
    <pivotField subtotalTop="0" showAll="0"/>
    <pivotField numFmtId="1" showAll="0"/>
    <pivotField numFmtId="1" showAll="0"/>
    <pivotField numFmtId="164" showAll="0"/>
    <pivotField showAll="0"/>
    <pivotField subtotalTop="0" showAll="0"/>
    <pivotField subtotalTop="0" showAll="0"/>
    <pivotField subtotalTop="0" showAll="0"/>
    <pivotField subtotalTop="0" showAll="0"/>
    <pivotField subtotalTop="0" showAll="0"/>
    <pivotField subtotalTop="0" showAll="0"/>
    <pivotField axis="axisPage" subtotalTop="0" multipleItemSelectionAllowed="1" showAll="0">
      <items count="5">
        <item x="0"/>
        <item h="1" m="1" x="3"/>
        <item m="1" x="2"/>
        <item m="1" x="1"/>
        <item t="default"/>
      </items>
    </pivotField>
    <pivotField subtotalTop="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2">
    <i>
      <x/>
    </i>
    <i i="1">
      <x v="1"/>
    </i>
  </rowItems>
  <colItems count="1">
    <i/>
  </colItems>
  <pageFields count="4">
    <pageField fld="0" hier="-1"/>
    <pageField fld="4" hier="-1"/>
    <pageField fld="78" hier="-1"/>
    <pageField fld="6" hier="-1"/>
  </pageFields>
  <dataFields count="2">
    <dataField name="Sum of #of students in school" fld="12" baseField="0" baseItem="0"/>
    <dataField name="Sum of #_of_Functioning_latrines_in_school" fld="23" baseField="0" baseItem="0"/>
  </dataFields>
  <formats count="11">
    <format dxfId="169">
      <pivotArea field="4" type="button" dataOnly="0" labelOnly="1" outline="0" axis="axisPage" fieldPosition="1"/>
    </format>
    <format dxfId="168">
      <pivotArea type="all" dataOnly="0" outline="0" fieldPosition="0"/>
    </format>
    <format dxfId="167">
      <pivotArea outline="0" collapsedLevelsAreSubtotals="1" fieldPosition="0"/>
    </format>
    <format dxfId="166">
      <pivotArea type="origin" dataOnly="0" labelOnly="1" outline="0" fieldPosition="0"/>
    </format>
    <format dxfId="165">
      <pivotArea type="topRight" dataOnly="0" labelOnly="1" outline="0" fieldPosition="0"/>
    </format>
    <format dxfId="164">
      <pivotArea field="-2" type="button" dataOnly="0" labelOnly="1" outline="0" axis="axisRow" fieldPosition="0"/>
    </format>
    <format dxfId="163">
      <pivotArea type="all" dataOnly="0" outline="0" fieldPosition="0"/>
    </format>
    <format dxfId="162">
      <pivotArea outline="0" collapsedLevelsAreSubtotals="1" fieldPosition="0"/>
    </format>
    <format dxfId="161">
      <pivotArea field="4" type="button" dataOnly="0" labelOnly="1" outline="0" axis="axisPage" fieldPosition="1"/>
    </format>
    <format dxfId="160">
      <pivotArea dataOnly="0" labelOnly="1" outline="0" fieldPosition="0">
        <references count="1">
          <reference field="4" count="1">
            <x v="1"/>
          </reference>
        </references>
      </pivotArea>
    </format>
    <format dxfId="159">
      <pivotArea outline="0" collapsedLevelsAreSubtotals="1" fieldPosition="0"/>
    </format>
  </formats>
  <pivotTableStyleInfo name="PivotStyleLight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00000000-0013-0000-FFFF-FFFF01000000}" sourceName="State">
  <pivotTables>
    <pivotTable tabId="92" name="Geo_Gap"/>
  </pivotTables>
  <data>
    <tabular pivotCacheId="1">
      <items count="7">
        <i x="1" s="1"/>
        <i x="2" s="1"/>
        <i x="3" s="1"/>
        <i x="0" s="1"/>
        <i x="6" s="1" nd="1"/>
        <i x="5" s="1" nd="1"/>
        <i x="4"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project_agency" xr10:uid="{D49301D1-2E02-4C46-92E2-64A97E772DB6}" sourceName="WASH project agency">
  <pivotTables>
    <pivotTable tabId="100" name="PivotTable1"/>
  </pivotTables>
  <data>
    <tabular pivotCacheId="1">
      <items count="51">
        <i x="3" s="1"/>
        <i x="2" s="1"/>
        <i x="9" s="1"/>
        <i x="0" s="1"/>
        <i x="8" s="1"/>
        <i x="13" s="1"/>
        <i x="12" s="1"/>
        <i x="4" s="1"/>
        <i x="6" s="1"/>
        <i x="5" s="1"/>
        <i x="1" s="1"/>
        <i x="7" s="1"/>
        <i x="11" s="1"/>
        <i x="10" s="1"/>
        <i x="27" s="1" nd="1"/>
        <i x="46" s="1" nd="1"/>
        <i x="47" s="1" nd="1"/>
        <i x="36" s="1" nd="1"/>
        <i x="43" s="1" nd="1"/>
        <i x="22" s="1" nd="1"/>
        <i x="15" s="1" nd="1"/>
        <i x="31" s="1" nd="1"/>
        <i x="17" s="1" nd="1"/>
        <i x="41" s="1" nd="1"/>
        <i x="20" s="1" nd="1"/>
        <i x="18" s="1" nd="1"/>
        <i x="42" s="1" nd="1"/>
        <i x="38" s="1" nd="1"/>
        <i x="34" s="1" nd="1"/>
        <i x="26" s="1" nd="1"/>
        <i x="45" s="1" nd="1"/>
        <i x="24" s="1" nd="1"/>
        <i x="21" s="1" nd="1"/>
        <i x="48" s="1" nd="1"/>
        <i x="40" s="1" nd="1"/>
        <i x="33" s="1" nd="1"/>
        <i x="32" s="1" nd="1"/>
        <i x="30" s="1" nd="1"/>
        <i x="28" s="1" nd="1"/>
        <i x="49" s="1" nd="1"/>
        <i x="16" s="1" nd="1"/>
        <i x="25" s="1" nd="1"/>
        <i x="23" s="1" nd="1"/>
        <i x="50" s="1" nd="1"/>
        <i x="19" s="1" nd="1"/>
        <i x="35" s="1" nd="1"/>
        <i x="39" s="1" nd="1"/>
        <i x="29" s="1" nd="1"/>
        <i x="37" s="1" nd="1"/>
        <i x="44" s="1" nd="1"/>
        <i x="14" s="1"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_Type" xr10:uid="{0C98124C-1C7A-4967-9FBA-37DD61BB8213}" sourceName="Location Type">
  <pivotTables>
    <pivotTable tabId="100" name="PivotTable1"/>
  </pivotTables>
  <data>
    <tabular pivotCacheId="1">
      <items count="11">
        <i x="0" s="1"/>
        <i x="4" s="1" nd="1"/>
        <i x="9" s="1" nd="1"/>
        <i x="8" s="1" nd="1"/>
        <i x="6" s="1" nd="1"/>
        <i x="3" s="1" nd="1"/>
        <i x="2" s="1" nd="1"/>
        <i x="7" s="1" nd="1"/>
        <i x="10" s="1" nd="1"/>
        <i x="5" s="1" nd="1"/>
        <i x="1" s="1"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_Type1" xr10:uid="{06398EC7-043F-4027-B69B-A5BFE1D822A0}" sourceName="Location Type">
  <pivotTables>
    <pivotTable tabId="114" name="PivotTable1"/>
  </pivotTables>
  <data>
    <tabular pivotCacheId="1">
      <items count="11">
        <i x="0" s="1"/>
        <i x="4" s="1" nd="1"/>
        <i x="9" s="1" nd="1"/>
        <i x="8" s="1" nd="1"/>
        <i x="6" s="1" nd="1"/>
        <i x="3" s="1" nd="1"/>
        <i x="2" s="1" nd="1"/>
        <i x="7" s="1" nd="1"/>
        <i x="10" s="1" nd="1"/>
        <i x="5" s="1" nd="1"/>
        <i x="1" s="1" nd="1"/>
      </items>
    </tabular>
  </data>
  <extLst>
    <x:ext xmlns:x15="http://schemas.microsoft.com/office/spreadsheetml/2010/11/main" uri="{470722E0-AACD-4C17-9CDC-17EF765DBC7E}">
      <x15:slicerCacheHideItemsWithNoData/>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implementing_agency" xr10:uid="{FE716E7A-CB0E-42A9-A1D0-0CCA6A9E4FF0}" sourceName="WASH implementing agency">
  <pivotTables>
    <pivotTable tabId="114" name="PivotTable1"/>
  </pivotTables>
  <data>
    <tabular pivotCacheId="1">
      <items count="51">
        <i x="12" s="1"/>
        <i x="11" s="1"/>
        <i x="0" s="1"/>
        <i x="3" s="1" nd="1"/>
        <i x="23" s="1" nd="1"/>
        <i x="46" s="1" nd="1"/>
        <i x="47" s="1" nd="1"/>
        <i x="2" s="1" nd="1"/>
        <i x="9" s="1" nd="1"/>
        <i x="33" s="1" nd="1"/>
        <i x="44" s="1" nd="1"/>
        <i x="14" s="1" nd="1"/>
        <i x="27" s="1" nd="1"/>
        <i x="16" s="1" nd="1"/>
        <i x="8" s="1" nd="1"/>
        <i x="48" s="1" nd="1"/>
        <i x="13" s="1" nd="1"/>
        <i x="41" s="1" nd="1"/>
        <i x="19" s="1" nd="1"/>
        <i x="28" s="1" nd="1"/>
        <i x="17" s="1" nd="1"/>
        <i x="34" s="1" nd="1"/>
        <i x="42" s="1" nd="1"/>
        <i x="39" s="1" nd="1"/>
        <i x="31" s="1" nd="1"/>
        <i x="50" s="1" nd="1"/>
        <i x="22" s="1" nd="1"/>
        <i x="43" s="1" nd="1"/>
        <i x="20" s="1" nd="1"/>
        <i x="40" s="1" nd="1"/>
        <i x="30" s="1" nd="1"/>
        <i x="29" s="1" nd="1"/>
        <i x="26" s="1" nd="1"/>
        <i x="4" s="1" nd="1"/>
        <i x="24" s="1" nd="1"/>
        <i x="6" s="1" nd="1"/>
        <i x="15" s="1" nd="1"/>
        <i x="21" s="1" nd="1"/>
        <i x="5" s="1" nd="1"/>
        <i x="1" s="1" nd="1"/>
        <i x="49" s="1" nd="1"/>
        <i x="37" s="1" nd="1"/>
        <i x="18" s="1" nd="1"/>
        <i x="7" s="1" nd="1"/>
        <i x="32" s="1" nd="1"/>
        <i x="25" s="1" nd="1"/>
        <i x="36" s="1" nd="1"/>
        <i x="35" s="1" nd="1"/>
        <i x="38" s="1" nd="1"/>
        <i x="45" s="1" nd="1"/>
        <i x="10" s="1" nd="1"/>
      </items>
    </tabular>
  </data>
  <extLst>
    <x:ext xmlns:x15="http://schemas.microsoft.com/office/spreadsheetml/2010/11/main" uri="{470722E0-AACD-4C17-9CDC-17EF765DBC7E}">
      <x15:slicerCacheHideItemsWithNoData/>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H_implementing_agency1" xr10:uid="{913F7CE1-D178-4DE2-BD10-90BBF877CEC1}" sourceName="WASH implementing agency">
  <pivotTables>
    <pivotTable tabId="102" name="PivotTable1"/>
  </pivotTables>
  <data>
    <tabular pivotCacheId="1">
      <items count="51">
        <i x="3" s="1"/>
        <i x="9"/>
        <i x="13"/>
        <i x="4"/>
        <i x="6"/>
        <i x="23" nd="1"/>
        <i x="46" nd="1"/>
        <i x="47" nd="1"/>
        <i x="2" nd="1"/>
        <i x="33" nd="1"/>
        <i x="44" nd="1"/>
        <i x="12" nd="1"/>
        <i x="14" nd="1"/>
        <i x="27" nd="1"/>
        <i x="16" nd="1"/>
        <i x="8" nd="1"/>
        <i x="48" nd="1"/>
        <i x="41" nd="1"/>
        <i x="19" nd="1"/>
        <i x="28" nd="1"/>
        <i x="17" nd="1"/>
        <i x="34" nd="1"/>
        <i x="42" nd="1"/>
        <i x="39" nd="1"/>
        <i x="31" nd="1"/>
        <i x="50" nd="1"/>
        <i x="22" nd="1"/>
        <i x="43" nd="1"/>
        <i x="20" nd="1"/>
        <i x="40" nd="1"/>
        <i x="30" nd="1"/>
        <i x="29" nd="1"/>
        <i x="26" nd="1"/>
        <i x="24" nd="1"/>
        <i x="15" nd="1"/>
        <i x="21" nd="1"/>
        <i x="5" nd="1"/>
        <i x="1" nd="1"/>
        <i x="49" nd="1"/>
        <i x="37" nd="1"/>
        <i x="18" nd="1"/>
        <i x="7" nd="1"/>
        <i x="32" nd="1"/>
        <i x="25" nd="1"/>
        <i x="36" nd="1"/>
        <i x="35" nd="1"/>
        <i x="11" nd="1"/>
        <i x="38" nd="1"/>
        <i x="45" nd="1"/>
        <i x="10" nd="1"/>
        <i x="0" nd="1"/>
      </items>
    </tabular>
  </data>
  <extLst>
    <x:ext xmlns:x15="http://schemas.microsoft.com/office/spreadsheetml/2010/11/main" uri="{470722E0-AACD-4C17-9CDC-17EF765DBC7E}">
      <x15:slicerCacheHideItemsWithNoData/>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_Type2" xr10:uid="{4B0FE9C1-C71A-444B-8D26-2FE648F247F7}" sourceName="Location Type">
  <pivotTables>
    <pivotTable tabId="102" name="PivotTable1"/>
  </pivotTables>
  <data>
    <tabular pivotCacheId="1">
      <items count="11">
        <i x="0" s="1"/>
        <i x="4" s="1" nd="1"/>
        <i x="9" s="1" nd="1"/>
        <i x="8" s="1" nd="1"/>
        <i x="6" s="1" nd="1"/>
        <i x="3" s="1" nd="1"/>
        <i x="2" s="1" nd="1"/>
        <i x="7" s="1" nd="1"/>
        <i x="10" s="1" nd="1"/>
        <i x="5" s="1" nd="1"/>
        <i x="1" s="1" nd="1"/>
      </items>
    </tabular>
  </data>
  <extLst>
    <x:ext xmlns:x15="http://schemas.microsoft.com/office/spreadsheetml/2010/11/main" uri="{470722E0-AACD-4C17-9CDC-17EF765DBC7E}">
      <x15:slicerCacheHideItemsWithNoData/>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porting_Period1" xr10:uid="{EF72A8A2-3299-4344-BC4E-D6F8AED2BA32}" sourceName="Reporting Period">
  <pivotTables>
    <pivotTable tabId="114" name="PivotTable1"/>
  </pivotTables>
  <data>
    <tabular pivotCacheId="1">
      <items count="16">
        <i x="0" s="1"/>
        <i x="1" s="1"/>
        <i x="13" s="1" nd="1"/>
        <i x="14" s="1" nd="1"/>
        <i x="4" s="1" nd="1"/>
        <i x="15" s="1" nd="1"/>
        <i x="7" s="1" nd="1"/>
        <i x="9" s="1" nd="1"/>
        <i x="11" s="1" nd="1"/>
        <i x="12" s="1" nd="1"/>
        <i x="3" s="1" nd="1"/>
        <i x="5" s="1" nd="1"/>
        <i x="6" s="1" nd="1"/>
        <i x="8" s="1" nd="1"/>
        <i x="10" s="1" nd="1"/>
        <i x="2" s="1" nd="1"/>
      </items>
    </tabular>
  </data>
  <extLst>
    <x:ext xmlns:x15="http://schemas.microsoft.com/office/spreadsheetml/2010/11/main" uri="{470722E0-AACD-4C17-9CDC-17EF765DBC7E}">
      <x15:slicerCacheHideItemsWithNoData/>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vered" xr10:uid="{AC828323-2EE9-4364-A14F-CFCC4F96B0C1}" sourceName="Covered">
  <pivotTables>
    <pivotTable tabId="92" name="Geo_Gap"/>
  </pivotTables>
  <data>
    <tabular pivotCacheId="1">
      <items count="4">
        <i x="0" s="1"/>
        <i x="3" s="1" nd="1"/>
        <i x="2" s="1" nd="1"/>
        <i x="1"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1" xr10:uid="{00000000-0013-0000-FFFF-FFFF02000000}" sourceName="State">
  <pivotTables>
    <pivotTable tabId="100" name="PivotTable1"/>
  </pivotTables>
  <data>
    <tabular pivotCacheId="1">
      <items count="7">
        <i x="1" s="1"/>
        <i x="2" s="1"/>
        <i x="3" s="1"/>
        <i x="0" s="1"/>
        <i x="6" s="1" nd="1"/>
        <i x="5" s="1" nd="1"/>
        <i x="4"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 xr10:uid="{00000000-0013-0000-FFFF-FFFF03000000}" sourceName="Township">
  <pivotTables>
    <pivotTable tabId="100" name="PivotTable1"/>
  </pivotTables>
  <data>
    <tabular pivotCacheId="1">
      <items count="52">
        <i x="0" s="1"/>
        <i x="21" s="1"/>
        <i x="18" s="1"/>
        <i x="16" s="1"/>
        <i x="4" s="1"/>
        <i x="7" s="1"/>
        <i x="9" s="1"/>
        <i x="13" s="1"/>
        <i x="19" s="1"/>
        <i x="20" s="1"/>
        <i x="11" s="1"/>
        <i x="12" s="1"/>
        <i x="15" s="1"/>
        <i x="2" s="1"/>
        <i x="3" s="1"/>
        <i x="8" s="1"/>
        <i x="10" s="1"/>
        <i x="6" s="1"/>
        <i x="17" s="1"/>
        <i x="5" s="1"/>
        <i x="14" s="1"/>
        <i x="1" s="1"/>
        <i x="28" s="1" nd="1"/>
        <i x="31" s="1" nd="1"/>
        <i x="48" s="1" nd="1"/>
        <i x="34" s="1" nd="1"/>
        <i x="43" s="1" nd="1"/>
        <i x="39" s="1" nd="1"/>
        <i x="37" s="1" nd="1"/>
        <i x="24" s="1" nd="1"/>
        <i x="46" s="1" nd="1"/>
        <i x="26" s="1" nd="1"/>
        <i x="30" s="1" nd="1"/>
        <i x="40" s="1" nd="1"/>
        <i x="35" s="1" nd="1"/>
        <i x="44" s="1" nd="1"/>
        <i x="23" s="1" nd="1"/>
        <i x="38" s="1" nd="1"/>
        <i x="47" s="1" nd="1"/>
        <i x="29" s="1" nd="1"/>
        <i x="32" s="1" nd="1"/>
        <i x="36" s="1" nd="1"/>
        <i x="41" s="1" nd="1"/>
        <i x="25" s="1" nd="1"/>
        <i x="27" s="1" nd="1"/>
        <i x="42" s="1" nd="1"/>
        <i x="33" s="1" nd="1"/>
        <i x="50" s="1" nd="1"/>
        <i x="45" s="1" nd="1"/>
        <i x="51" s="1" nd="1"/>
        <i x="49" s="1" nd="1"/>
        <i x="2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11" xr10:uid="{00000000-0013-0000-FFFF-FFFF04000000}" sourceName="State">
  <pivotTables>
    <pivotTable tabId="102" name="PivotTable1"/>
  </pivotTables>
  <data>
    <tabular pivotCacheId="1">
      <items count="7">
        <i x="1" s="1"/>
        <i x="2" nd="1"/>
        <i x="3" nd="1"/>
        <i x="6" nd="1"/>
        <i x="5" nd="1"/>
        <i x="0" nd="1"/>
        <i x="4"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1" xr10:uid="{00000000-0013-0000-FFFF-FFFF05000000}" sourceName="Township">
  <pivotTables>
    <pivotTable tabId="102" name="PivotTable1"/>
  </pivotTables>
  <data>
    <tabular pivotCacheId="1">
      <items count="52">
        <i x="11"/>
        <i x="10" s="1"/>
        <i x="0" nd="1"/>
        <i x="28" nd="1"/>
        <i x="31" nd="1"/>
        <i x="48" nd="1"/>
        <i x="34" nd="1"/>
        <i x="43" nd="1"/>
        <i x="21" nd="1"/>
        <i x="39" nd="1"/>
        <i x="18" nd="1"/>
        <i x="37" nd="1"/>
        <i x="16" nd="1"/>
        <i x="4" nd="1"/>
        <i x="7" nd="1"/>
        <i x="24" nd="1"/>
        <i x="9" nd="1"/>
        <i x="13" nd="1"/>
        <i x="19" nd="1"/>
        <i x="20" nd="1"/>
        <i x="46" nd="1"/>
        <i x="26" nd="1"/>
        <i x="30" nd="1"/>
        <i x="40" nd="1"/>
        <i x="35" nd="1"/>
        <i x="44" nd="1"/>
        <i x="23" nd="1"/>
        <i x="38" nd="1"/>
        <i x="47" nd="1"/>
        <i x="29" nd="1"/>
        <i x="12" nd="1"/>
        <i x="15" nd="1"/>
        <i x="2" nd="1"/>
        <i x="32" nd="1"/>
        <i x="36" nd="1"/>
        <i x="41" nd="1"/>
        <i x="25" nd="1"/>
        <i x="3" nd="1"/>
        <i x="27" nd="1"/>
        <i x="8" nd="1"/>
        <i x="42" nd="1"/>
        <i x="33" nd="1"/>
        <i x="50" nd="1"/>
        <i x="45" nd="1"/>
        <i x="51" nd="1"/>
        <i x="6" nd="1"/>
        <i x="17" nd="1"/>
        <i x="49" nd="1"/>
        <i x="5" nd="1"/>
        <i x="14" nd="1"/>
        <i x="1" nd="1"/>
        <i x="22"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accommodation" xr10:uid="{00000000-0013-0000-FFFF-FFFF06000000}" sourceName="Type of accommodation">
  <pivotTables>
    <pivotTable tabId="92" name="Geo_Gap"/>
  </pivotTables>
  <data>
    <tabular pivotCacheId="1">
      <items count="4">
        <i x="2" s="1"/>
        <i x="1" s="1"/>
        <i x="0" s="1"/>
        <i x="3"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porting_Period" xr10:uid="{00000000-0013-0000-FFFF-FFFF07000000}" sourceName="Reporting Period">
  <pivotTables>
    <pivotTable tabId="100" name="PivotTable1"/>
  </pivotTables>
  <data>
    <tabular pivotCacheId="1">
      <items count="16">
        <i x="0" s="1"/>
        <i x="1" s="1"/>
        <i x="13" s="1" nd="1"/>
        <i x="14" s="1" nd="1"/>
        <i x="4" s="1" nd="1"/>
        <i x="15" s="1" nd="1"/>
        <i x="7" s="1" nd="1"/>
        <i x="9" s="1" nd="1"/>
        <i x="11" s="1" nd="1"/>
        <i x="12" s="1" nd="1"/>
        <i x="3" s="1" nd="1"/>
        <i x="5" s="1" nd="1"/>
        <i x="6" s="1" nd="1"/>
        <i x="8" s="1" nd="1"/>
        <i x="10" s="1" nd="1"/>
        <i x="2"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2" xr10:uid="{00000000-0013-0000-FFFF-FFFF09000000}" sourceName="State">
  <pivotTables>
    <pivotTable tabId="114" name="PivotTable1"/>
  </pivotTables>
  <data>
    <tabular pivotCacheId="1">
      <items count="7">
        <i x="1"/>
        <i x="2"/>
        <i x="3"/>
        <i x="0" s="1"/>
        <i x="6" nd="1"/>
        <i x="5" nd="1"/>
        <i x="4"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wnship2" xr10:uid="{00000000-0013-0000-FFFF-FFFF0A000000}" sourceName="Township">
  <pivotTables>
    <pivotTable tabId="114" name="PivotTable1"/>
  </pivotTables>
  <data>
    <tabular pivotCacheId="1">
      <items count="52">
        <i x="0" s="1"/>
        <i x="18" s="1"/>
        <i x="4" s="1"/>
        <i x="7" s="1"/>
        <i x="19" s="1"/>
        <i x="20" s="1"/>
        <i x="2" s="1"/>
        <i x="3" s="1"/>
        <i x="6" s="1"/>
        <i x="5" s="1"/>
        <i x="1" s="1"/>
        <i x="28" s="1" nd="1"/>
        <i x="31" s="1" nd="1"/>
        <i x="48" s="1" nd="1"/>
        <i x="34" s="1" nd="1"/>
        <i x="43" s="1" nd="1"/>
        <i x="21" s="1" nd="1"/>
        <i x="39" s="1" nd="1"/>
        <i x="37" s="1" nd="1"/>
        <i x="16" s="1" nd="1"/>
        <i x="24" s="1" nd="1"/>
        <i x="9" s="1" nd="1"/>
        <i x="13" s="1" nd="1"/>
        <i x="46" s="1" nd="1"/>
        <i x="26" s="1" nd="1"/>
        <i x="30" s="1" nd="1"/>
        <i x="40" s="1" nd="1"/>
        <i x="11" s="1" nd="1"/>
        <i x="35" s="1" nd="1"/>
        <i x="44" s="1" nd="1"/>
        <i x="23" s="1" nd="1"/>
        <i x="38" s="1" nd="1"/>
        <i x="47" s="1" nd="1"/>
        <i x="29" s="1" nd="1"/>
        <i x="12" s="1" nd="1"/>
        <i x="15" s="1" nd="1"/>
        <i x="32" s="1" nd="1"/>
        <i x="36" s="1" nd="1"/>
        <i x="41" s="1" nd="1"/>
        <i x="25" s="1" nd="1"/>
        <i x="27" s="1" nd="1"/>
        <i x="8" s="1" nd="1"/>
        <i x="42" s="1" nd="1"/>
        <i x="33" s="1" nd="1"/>
        <i x="50" s="1" nd="1"/>
        <i x="45" s="1" nd="1"/>
        <i x="51" s="1" nd="1"/>
        <i x="10" s="1" nd="1"/>
        <i x="17" s="1" nd="1"/>
        <i x="49" s="1" nd="1"/>
        <i x="14" s="1" nd="1"/>
        <i x="2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xr10:uid="{00000000-0014-0000-FFFF-FFFF01000000}" cache="Slicer_State" caption="State" style="SlicerStyleLight1" rowHeight="304800"/>
  <slicer name="Type of accommodation" xr10:uid="{00000000-0014-0000-FFFF-FFFF02000000}" cache="Slicer_Type_of_accommodation" caption="Type of accommodation" style="SlicerStyleLight5" rowHeight="304800"/>
  <slicer name="Covered" xr10:uid="{6AD5A20E-30A5-4C45-B3C4-3AF1073AC0FA}" cache="Slicer_Covered" caption="Covered" style="SlicerStyleLight5" rowHeight="3048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1" xr10:uid="{00000000-0014-0000-FFFF-FFFF04000000}" cache="Slicer_State1" caption="State" style="SlicerStyleLight6" rowHeight="304800"/>
  <slicer name="Township" xr10:uid="{00000000-0014-0000-FFFF-FFFF05000000}" cache="Slicer_Township" caption="Township" style="SlicerStyleOther2" rowHeight="304800"/>
  <slicer name="Reporting Period" xr10:uid="{00000000-0014-0000-FFFF-FFFF06000000}" cache="Slicer_Reporting_Period" caption="Reporting Period" style="SlicerStyleDark2" rowHeight="304800"/>
  <slicer name="WASH project agency" xr10:uid="{07409688-7D11-430B-A4EA-2F3DE5ACC717}" cache="Slicer_WASH_project_agency" caption="WASH project agency" columnCount="3" rowHeight="304800"/>
  <slicer name="Location Type" xr10:uid="{E0468B28-9B10-4E5D-88B3-D149B9B55D65}" cache="Slicer_Location_Type" caption="Location Type" style="SlicerStyleLight6" rowHeight="3048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2" xr10:uid="{00000000-0014-0000-FFFF-FFFF07000000}" cache="Slicer_State11" caption="State" style="SlicerStyleDark6" rowHeight="304800"/>
  <slicer name="Township 1" xr10:uid="{00000000-0014-0000-FFFF-FFFF08000000}" cache="Slicer_Township1" caption="Township" style="SlicerStyleLight1" rowHeight="304800"/>
  <slicer name="WASH implementing agency 1" xr10:uid="{BE80B595-4F20-4633-B542-1634A445F9E4}" cache="Slicer_WASH_implementing_agency1" caption="WASH implementing agency" columnCount="3" style="SlicerStyleLight5" rowHeight="304800"/>
  <slicer name="Location Type 2" xr10:uid="{163D9285-1B80-4AE3-AA4B-FDE82BFC96C7}" cache="Slicer_Location_Type2" caption="Location Type" style="SlicerStyleDark6" rowHeight="3048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3" xr10:uid="{00000000-0014-0000-FFFF-FFFF09000000}" cache="Slicer_State2" caption="State" style="SlicerStyleLight6" rowHeight="304800"/>
  <slicer name="Township 2" xr10:uid="{00000000-0014-0000-FFFF-FFFF0A000000}" cache="Slicer_Township2" caption="Township" style="SlicerStyleOther2" rowHeight="304800"/>
  <slicer name="Location Type 1" xr10:uid="{1DA31F83-374D-494A-9C5A-7AC17DD1D0BE}" cache="Slicer_Location_Type1" caption="Location Type" style="SlicerStyleLight6" rowHeight="304800"/>
  <slicer name="WASH implementing agency" xr10:uid="{FD50785F-CE6E-47F7-A3FB-27BFBB24945A}" cache="Slicer_WASH_implementing_agency" caption="WASH implementing agency" columnCount="3" style="SlicerStyleLight5" rowHeight="304800"/>
  <slicer name="Reporting Period 1" xr10:uid="{8DF2F4EF-46C5-4CFE-B358-E8912CE9228E}" cache="Slicer_Reporting_Period1" caption="Reporting Period" rowHeight="2984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WWWW" displayName="WWWW" ref="A6:CB409" totalsRowShown="0" headerRowDxfId="698" dataDxfId="696" headerRowBorderDxfId="697" tableBorderDxfId="695">
  <autoFilter ref="A6:CB409" xr:uid="{BF2EBFC3-0811-4758-8268-4583F1F81CEF}"/>
  <sortState xmlns:xlrd2="http://schemas.microsoft.com/office/spreadsheetml/2017/richdata2" ref="A323:CB337">
    <sortCondition ref="H327"/>
  </sortState>
  <tableColumns count="80">
    <tableColumn id="1" xr3:uid="{00000000-0010-0000-0000-000001000000}" name="Reporting Period" dataDxfId="694" totalsRowDxfId="693"/>
    <tableColumn id="75" xr3:uid="{00000000-0010-0000-0000-00004B000000}" name="WASH project agency" dataDxfId="692" totalsRowDxfId="691"/>
    <tableColumn id="2" xr3:uid="{00000000-0010-0000-0000-000002000000}" name="WASH implementing agency" dataDxfId="690" totalsRowDxfId="689"/>
    <tableColumn id="8" xr3:uid="{00000000-0010-0000-0000-000008000000}" name="Primary Donor covering WASH activities at site " dataDxfId="688" totalsRowDxfId="687"/>
    <tableColumn id="3" xr3:uid="{00000000-0010-0000-0000-000003000000}" name="State" dataDxfId="686" totalsRowDxfId="685"/>
    <tableColumn id="4" xr3:uid="{00000000-0010-0000-0000-000004000000}" name="Township" dataDxfId="684" totalsRowDxfId="683"/>
    <tableColumn id="82" xr3:uid="{00000000-0010-0000-0000-000052000000}" name="Location Type" dataDxfId="682" totalsRowDxfId="681" dataCellStyle="Percent">
      <calculatedColumnFormula>VLOOKUP(WWWW[[#This Row],[Village  Name]],SiteDB6[[Site Name]:[Location Type]],8,FALSE)</calculatedColumnFormula>
    </tableColumn>
    <tableColumn id="5" xr3:uid="{00000000-0010-0000-0000-000005000000}" name="Village  Name" dataDxfId="680" totalsRowDxfId="679"/>
    <tableColumn id="6" xr3:uid="{00000000-0010-0000-0000-000006000000}" name="Total HH" dataDxfId="678" totalsRowDxfId="677" dataCellStyle="Comma"/>
    <tableColumn id="7" xr3:uid="{00000000-0010-0000-0000-000007000000}" name="Total PoP " dataDxfId="676" totalsRowDxfId="675" dataCellStyle="Comma"/>
    <tableColumn id="77" xr3:uid="{00000000-0010-0000-0000-00004D000000}" name="Project start date" dataDxfId="674" totalsRowDxfId="673"/>
    <tableColumn id="9" xr3:uid="{00000000-0010-0000-0000-000009000000}" name="Project end date" dataDxfId="672" totalsRowDxfId="671"/>
    <tableColumn id="104" xr3:uid="{00000000-0010-0000-0000-000068000000}" name="#of students in school" dataDxfId="670" totalsRowDxfId="669" dataCellStyle="Comma"/>
    <tableColumn id="10" xr3:uid="{00000000-0010-0000-0000-00000A000000}" name="# Work days (approx) lost in this site due to access restrictions" dataDxfId="668" totalsRowDxfId="667" dataCellStyle="Comma"/>
    <tableColumn id="14" xr3:uid="{00000000-0010-0000-0000-00000E000000}" name="#_Functioning_protected_hand_dug_well/open_well" dataDxfId="666" totalsRowDxfId="665" dataCellStyle="Comma"/>
    <tableColumn id="102" xr3:uid="{00000000-0010-0000-0000-000066000000}" name="#_Functioning_Tube_wells/boreholes/hand_pumps_including_community's_own_hand_pumps" dataDxfId="664" totalsRowDxfId="663" dataCellStyle="Comma"/>
    <tableColumn id="103" xr3:uid="{00000000-0010-0000-0000-000067000000}" name="#_Existing_protected/fenced_ponds" dataDxfId="662" totalsRowDxfId="661" dataCellStyle="Comma"/>
    <tableColumn id="27" xr3:uid="{10DEF0D6-298B-4E52-8B07-19B5C6C43341}" name="#_of_total_(Liters)_stored_in_Constructed/Existing_water_storage_tank_with_gravity_fed_reticulation_system" dataDxfId="660" totalsRowDxfId="659" dataCellStyle="Comma"/>
    <tableColumn id="15" xr3:uid="{00000000-0010-0000-0000-00000F000000}" name="#_of_people_accessing_to_other_types_of_un-improved_water_sources_(river,_spring)" dataDxfId="658" totalsRowDxfId="657" dataCellStyle="Comma"/>
    <tableColumn id="106" xr3:uid="{00000000-0010-0000-0000-00006A000000}" name="#_Functioning_water_points_at_school" dataDxfId="656" totalsRowDxfId="655" dataCellStyle="Comma"/>
    <tableColumn id="107" xr3:uid="{00000000-0010-0000-0000-00006B000000}" name="WATER_Comments" dataDxfId="654" totalsRowDxfId="653" dataCellStyle="Comma"/>
    <tableColumn id="87" xr3:uid="{00000000-0010-0000-0000-000057000000}" name="#_of_sanitary_fly-proof_HH_latrines" dataDxfId="652" totalsRowDxfId="651" dataCellStyle="Comma"/>
    <tableColumn id="39" xr3:uid="{00000000-0010-0000-0000-000027000000}" name="Availability_of_drainage_in_school_compound_(Yes_or_No)" dataDxfId="650" totalsRowDxfId="649" dataCellStyle="Comma"/>
    <tableColumn id="23" xr3:uid="{00000000-0010-0000-0000-000017000000}" name="#_of_Functioning_latrines_in_school" dataDxfId="648" totalsRowDxfId="647" dataCellStyle="Comma"/>
    <tableColumn id="24" xr3:uid="{00000000-0010-0000-0000-000018000000}" name="#_of_PWD_at_village" dataDxfId="646" totalsRowDxfId="645" dataCellStyle="Comma"/>
    <tableColumn id="25" xr3:uid="{00000000-0010-0000-0000-000019000000}" name="#_of_PWD_with_adapted_sanitation_option_at_HH_level_" dataDxfId="644" totalsRowDxfId="643" dataCellStyle="Comma"/>
    <tableColumn id="122" xr3:uid="{00000000-0010-0000-0000-00007A000000}" name="#_of_PWD_at_school" dataDxfId="642" totalsRowDxfId="641" dataCellStyle="Comma"/>
    <tableColumn id="123" xr3:uid="{00000000-0010-0000-0000-00007B000000}" name="#_of_PWD_with_access_to_adapted_sanitation_option_at_School" dataDxfId="640" totalsRowDxfId="639" dataCellStyle="Comma"/>
    <tableColumn id="124" xr3:uid="{00000000-0010-0000-0000-00007C000000}" name="SANITATION_Comment" dataDxfId="638" totalsRowDxfId="637" dataCellStyle="Comma"/>
    <tableColumn id="126" xr3:uid="{00000000-0010-0000-0000-00007E000000}" name="#_of_Men_who_received_appropirate/community_tailored_hygiene_messages" dataDxfId="636" totalsRowDxfId="635" dataCellStyle="Comma"/>
    <tableColumn id="127" xr3:uid="{00000000-0010-0000-0000-00007F000000}" name="#_of_Women_who_received_appropirate/community_tailored_hygiene_messages" dataDxfId="634" totalsRowDxfId="633" dataCellStyle="Comma"/>
    <tableColumn id="13" xr3:uid="{00000000-0010-0000-0000-00000D000000}" name="#_of_Boys_who_received_appropirate/community_tailored_hygiene_messages" dataDxfId="632" totalsRowDxfId="631" dataCellStyle="Comma"/>
    <tableColumn id="128" xr3:uid="{00000000-0010-0000-0000-000080000000}" name="#_of_Girls_who_received_appropirate/community_tailored_hygiene_messages" dataDxfId="630" totalsRowDxfId="629" dataCellStyle="Comma"/>
    <tableColumn id="129" xr3:uid="{00000000-0010-0000-0000-000081000000}" name="#_of_students_(boys)_who_received_appropirate_hygiene_messages" dataDxfId="628" totalsRowDxfId="627" dataCellStyle="Comma"/>
    <tableColumn id="130" xr3:uid="{00000000-0010-0000-0000-000082000000}" name="#_of_students_(girls)_who_received_appropirate_hygiene_messages" dataDxfId="626" totalsRowDxfId="625" dataCellStyle="Comma"/>
    <tableColumn id="133" xr3:uid="{00000000-0010-0000-0000-000085000000}" name="#_of_functional_handwashing_facilities_at_HH_level" dataDxfId="624" totalsRowDxfId="623" dataCellStyle="Comma"/>
    <tableColumn id="131" xr3:uid="{00000000-0010-0000-0000-000083000000}" name="#_of_functional_handwashing_facilities_at_school" dataDxfId="622" totalsRowDxfId="621" dataCellStyle="Comma"/>
    <tableColumn id="17" xr3:uid="{075BE1A2-93A8-4876-AB80-D66BF383CBDA}" name="#_of_affected_households_receiving_a_sufficient_quantity_of_soap" dataDxfId="620" totalsRowDxfId="619" dataCellStyle="Comma"/>
    <tableColumn id="19" xr3:uid="{327268F1-F023-417E-8DA2-7BA53B38D030}" name="#_of_affected_women_and_girls_receiving_a_sufficient_quantity_of_sanitary_pads" dataDxfId="618" totalsRowDxfId="617" dataCellStyle="Comma"/>
    <tableColumn id="132" xr3:uid="{00000000-0010-0000-0000-000084000000}" name="HYGIENE_Comments" dataDxfId="616" totalsRowDxfId="615" dataCellStyle="Comma"/>
    <tableColumn id="69" xr3:uid="{F08B8CAC-90B8-4AD5-ABFF-685A1F23A8C8}" name="%_of_affected_people_surveyed_who_feel_informed_about_the_WASH_services_available_to_them" dataDxfId="614" totalsRowDxfId="613" dataCellStyle="Percent"/>
    <tableColumn id="79" xr3:uid="{FC6D5E73-EE3C-4FE8-9811-A426C1B99932}" name="%_of_people_surveryed_who_know_how_to_and_feel_comfortable_to_make_suggestions_or_complaints" dataDxfId="612" totalsRowDxfId="611" dataCellStyle="Percent"/>
    <tableColumn id="28" xr3:uid="{DA9C9BB5-D373-4176-A92F-D85977AFED62}" name="#_of_sanitation_facilities_(latrines)_built/repaired/rehabilitated_following_risk-sensitive_programming_and_consultation_with_communities_and/or_GBV_risk-sensitive_programming" dataDxfId="610" totalsRowDxfId="609" dataCellStyle="Comma"/>
    <tableColumn id="29" xr3:uid="{188DECD9-B737-44F8-8B83-C03F5C2437BE}" name="#_of_sanitation_facilities_(HH_sanitation_devices)_distributed_following_risk-sensitive_programming_and_consultation_with_communities_and/or_GBV_risk-sensitive_programming" dataDxfId="608" totalsRowDxfId="607" dataCellStyle="Comma"/>
    <tableColumn id="30" xr3:uid="{B3909CF1-DA33-4766-AA2F-F5217F455B6F}" name="#_of_sanitation_facilities_(bathing_spaces)_built_following_risk-sensitive_programming_and_consultation_with_communities" dataDxfId="606" totalsRowDxfId="605" dataCellStyle="Comma"/>
    <tableColumn id="36" xr3:uid="{00000000-0010-0000-0000-000024000000}" name="%Equitable and continuous access to sufficient quantity of safe drinking water" dataDxfId="604" totalsRowDxfId="603" dataCellStyle="Percent">
      <calculatedColumnFormula>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calculatedColumnFormula>
    </tableColumn>
    <tableColumn id="89" xr3:uid="{00000000-0010-0000-0000-000059000000}" name="# people with equitable and continuous access to sufficient quantity of safe drinking water" dataDxfId="602" totalsRowDxfId="601">
      <calculatedColumnFormula>WWWW[[#This Row],[%Equitable and continuous access to sufficient quantity of safe drinking water]]*WWWW[[#This Row],[Total PoP ]]</calculatedColumnFormula>
    </tableColumn>
    <tableColumn id="37" xr3:uid="{00000000-0010-0000-0000-000025000000}" name="% Access to unimproved water points" dataDxfId="600" totalsRowDxfId="599" dataCellStyle="Percent">
      <calculatedColumnFormula>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calculatedColumnFormula>
    </tableColumn>
    <tableColumn id="16" xr3:uid="{00000000-0010-0000-0000-000010000000}" name="#People access to unimproved water sources" dataDxfId="598" totalsRowDxfId="597">
      <calculatedColumnFormula>WWWW[[#This Row],[% Access to unimproved water points]]*WWWW[[#This Row],[Total PoP ]]</calculatedColumnFormula>
    </tableColumn>
    <tableColumn id="41" xr3:uid="{00000000-0010-0000-0000-000029000000}" name="% Equitable and continuous access to sufficient quantity of domestic water" dataDxfId="596" totalsRowDxfId="595" dataCellStyle="Percent">
      <calculatedColumnFormula>IF(WWWW[[#This Row],[% Access to unimproved water points]]+WWWW[[#This Row],[%Equitable and continuous access to sufficient quantity of safe drinking water]]&gt;1,1,WWWW[[#This Row],[% Access to unimproved water points]]+WWWW[[#This Row],[%Equitable and continuous access to sufficient quantity of safe drinking water]])</calculatedColumnFormula>
    </tableColumn>
    <tableColumn id="42" xr3:uid="{00000000-0010-0000-0000-00002A000000}" name="HRP1" dataDxfId="594" totalsRowDxfId="593">
      <calculatedColumnFormula>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calculatedColumnFormula>
    </tableColumn>
    <tableColumn id="86" xr3:uid="{00000000-0010-0000-0000-000056000000}" name="#Water points coverage" dataDxfId="592" totalsRowDxfId="591">
      <calculatedColumnFormula>WWWW[[#This Row],[HRP1]]/250</calculatedColumnFormula>
    </tableColumn>
    <tableColumn id="85" xr3:uid="{00000000-0010-0000-0000-000055000000}" name="%equitable and continuous access to sufficient quantity of safe drinking and domestic water's GAP" dataDxfId="590" totalsRowDxfId="589">
      <calculatedColumnFormula>1-WWWW[[#This Row],[% Equitable and continuous access to sufficient quantity of domestic water]]</calculatedColumnFormula>
    </tableColumn>
    <tableColumn id="43" xr3:uid="{00000000-0010-0000-0000-00002B000000}" name="# people needs equitable and continuous access to sufficient quantity of safe drinking and domestic water GAP" dataDxfId="588" totalsRowDxfId="587">
      <calculatedColumnFormula>WWWW[[#This Row],[%equitable and continuous access to sufficient quantity of safe drinking and domestic water''s GAP]]*WWWW[[#This Row],[Total PoP ]]</calculatedColumnFormula>
    </tableColumn>
    <tableColumn id="44" xr3:uid="{00000000-0010-0000-0000-00002C000000}" name="#Potential required new water points" dataDxfId="586" totalsRowDxfId="585" dataCellStyle="Percent">
      <calculatedColumnFormula>IF(WWWW[[#This Row],[Total required water points]]-WWWW[[#This Row],['#Water points coverage]]&lt;0,0,WWWW[[#This Row],[Total required water points]]-WWWW[[#This Row],['#Water points coverage]])</calculatedColumnFormula>
    </tableColumn>
    <tableColumn id="78" xr3:uid="{00000000-0010-0000-0000-00004E000000}" name="Total required water points" dataDxfId="584" totalsRowDxfId="583" dataCellStyle="Percent">
      <calculatedColumnFormula>ROUND(IF(WWWW[[#This Row],[Total PoP ]]&lt;250,1,WWWW[[#This Row],[Total PoP ]]/250),0)</calculatedColumnFormula>
    </tableColumn>
    <tableColumn id="21" xr3:uid="{F4052D35-6786-4305-B493-888B73799200}" name="% people access to functioning Latrine" dataDxfId="582" totalsRowDxfId="581" dataCellStyle="Percent">
      <calculatedColumnFormula>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calculatedColumnFormula>
    </tableColumn>
    <tableColumn id="18" xr3:uid="{00000000-0010-0000-0000-000012000000}" name="HRP2" dataDxfId="580" totalsRowDxfId="579">
      <calculatedColumnFormula>WWWW[[#This Row],[% people access to functioning Latrine]]*WWWW[[#This Row],[Total PoP ]]</calculatedColumnFormula>
    </tableColumn>
    <tableColumn id="12" xr3:uid="{00000000-0010-0000-0000-00000C000000}" name="# students access to functioning school latrines" dataDxfId="578" totalsRowDxfId="577" dataCellStyle="Percent">
      <calculatedColumnFormula>WWWW[[#This Row],['#_of_Functioning_latrines_in_school]]*50</calculatedColumnFormula>
    </tableColumn>
    <tableColumn id="73" xr3:uid="{00000000-0010-0000-0000-000049000000}" name="Total required Latrines" dataDxfId="576" dataCellStyle="Percent">
      <calculatedColumnFormula>ROUND((WWWW[[#This Row],[Total PoP ]]/6),0)</calculatedColumnFormula>
    </tableColumn>
    <tableColumn id="49" xr3:uid="{00000000-0010-0000-0000-000031000000}" name="# potential required new latrines" dataDxfId="575" totalsRowDxfId="574" dataCellStyle="Percent">
      <calculatedColumnFormula>IF(WWWW[[#This Row],[Total required Latrines]]-(WWWW[[#This Row],['#_of_sanitary_fly-proof_HH_latrines]])&lt;0,0,WWWW[[#This Row],[Total required Latrines]]-(WWWW[[#This Row],['#_of_sanitary_fly-proof_HH_latrines]]))</calculatedColumnFormula>
    </tableColumn>
    <tableColumn id="48" xr3:uid="{00000000-0010-0000-0000-000030000000}" name="% of Latrine Gap" dataDxfId="573" totalsRowDxfId="572">
      <calculatedColumnFormula>1-WWWW[[#This Row],[% people access to functioning Latrine]]</calculatedColumnFormula>
    </tableColumn>
    <tableColumn id="54" xr3:uid="{00000000-0010-0000-0000-000036000000}" name="# people reached by regular dedicated hygiene promotion" dataDxfId="571" totalsRowDxfId="570">
      <calculatedColumnFormula>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calculatedColumnFormula>
    </tableColumn>
    <tableColumn id="11" xr3:uid="{CB7D9386-0326-4F24-9329-0B986D55248A}" name="# people access to functional handwashing facilities" dataDxfId="569" totalsRowDxfId="568">
      <calculatedColumnFormula>IF(WWWW[[#This Row],['#_of_functional_handwashing_facilities_at_HH_level]]*6&gt;WWWW[[#This Row],[Total PoP ]],WWWW[[#This Row],[Total PoP ]],WWWW[[#This Row],['#_of_functional_handwashing_facilities_at_HH_level]]*6)</calculatedColumnFormula>
    </tableColumn>
    <tableColumn id="68" xr3:uid="{00000000-0010-0000-0000-000044000000}" name="HRP3" dataDxfId="567" totalsRowDxfId="566" dataCellStyle="Percent">
      <calculatedColumnFormula>IF(WWWW[[#This Row],['# people reached by regular dedicated hygiene promotion]]&gt;WWWW[[#This Row],['# People received regular supply of hygiene items]],WWWW[[#This Row],['# people reached by regular dedicated hygiene promotion]],WWWW[[#This Row],['# People received regular supply of hygiene items]])</calculatedColumnFormula>
    </tableColumn>
    <tableColumn id="53" xr3:uid="{00000000-0010-0000-0000-000035000000}" name="Hygiene Coverage%" dataDxfId="565" totalsRowDxfId="564">
      <calculatedColumnFormula>IF(WWWW[[#This Row],[HRP3]]/WWWW[[#This Row],[Total PoP ]]&gt;100%,100%,WWWW[[#This Row],[HRP3]]/WWWW[[#This Row],[Total PoP ]])</calculatedColumnFormula>
    </tableColumn>
    <tableColumn id="72" xr3:uid="{00000000-0010-0000-0000-000048000000}" name="Hygiene Gap%" dataDxfId="563" totalsRowDxfId="562" dataCellStyle="Percent">
      <calculatedColumnFormula>1-WWWW[[#This Row],[Hygiene Coverage%]]</calculatedColumnFormula>
    </tableColumn>
    <tableColumn id="96" xr3:uid="{00000000-0010-0000-0000-000060000000}" name="%people reached by regular dedicated hygiene promotion" dataDxfId="561" totalsRowDxfId="560" dataCellStyle="Percent">
      <calculatedColumnFormula>WWWW[[#This Row],['# people reached by regular dedicated hygiene promotion]]/WWWW[[#This Row],[Total PoP ]]</calculatedColumnFormula>
    </tableColumn>
    <tableColumn id="20" xr3:uid="{97054BB8-0C2C-4D5C-B3B2-4EDC31DE5086}" name="# People with access to soap" dataDxfId="559" totalsRowDxfId="558" dataCellStyle="Percent">
      <calculatedColumnFormula>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calculatedColumnFormula>
    </tableColumn>
    <tableColumn id="26" xr3:uid="{E1521FC6-F9C8-4298-B682-5971B316C9C2}" name="# People with access to Sanity Pads" dataDxfId="557" totalsRowDxfId="556" dataCellStyle="Percent">
      <calculatedColumnFormula>WWWW[[#This Row],['#_of_affected_women_and_girls_receiving_a_sufficient_quantity_of_sanitary_pads]]</calculatedColumnFormula>
    </tableColumn>
    <tableColumn id="22" xr3:uid="{7C781812-EC40-4094-88AA-47B02EB7194B}" name="# People received regular supply of hygiene items" dataDxfId="555" totalsRowDxfId="554" dataCellStyle="Comma">
      <calculatedColumnFormula>IF(WWWW[[#This Row],['# People with access to soap]]&gt;WWWW[[#This Row],['# People with access to Sanity Pads]],WWWW[[#This Row],['# People with access to soap]],WWWW[[#This Row],['# People with access to Sanity Pads]])</calculatedColumnFormula>
    </tableColumn>
    <tableColumn id="31" xr3:uid="{FD8C69C6-3D27-4A27-BCF4-02830740C127}" name="Village with School" dataDxfId="553" totalsRowDxfId="552">
      <calculatedColumnFormula>IF(OR(WWWW[[#This Row],['#of students in school]]="",WWWW[[#This Row],['#of students in school]]=0),"No","Yes")</calculatedColumnFormula>
    </tableColumn>
    <tableColumn id="80" xr3:uid="{00000000-0010-0000-0000-000050000000}" name="Location Type 1" dataDxfId="551" totalsRowDxfId="550" dataCellStyle="Percent">
      <calculatedColumnFormula>VLOOKUP(WWWW[[#This Row],[Village  Name]],SiteDB6[[Site Name]:[Location Type 1]],9,FALSE)</calculatedColumnFormula>
    </tableColumn>
    <tableColumn id="45" xr3:uid="{00000000-0010-0000-0000-00002D000000}" name="Type of accommodation" dataDxfId="549" totalsRowDxfId="548" dataCellStyle="Percent">
      <calculatedColumnFormula>VLOOKUP(WWWW[[#This Row],[Village  Name]],SiteDB6[[Site Name]:[Type of Accommodation]],10,FALSE)</calculatedColumnFormula>
    </tableColumn>
    <tableColumn id="46" xr3:uid="{00000000-0010-0000-0000-00002E000000}" name="Ethnic or GCA/NGCA" dataDxfId="547" totalsRowDxfId="546" dataCellStyle="Percent">
      <calculatedColumnFormula>VLOOKUP(WWWW[[#This Row],[Village  Name]],SiteDB6[[Site Name]:[Ethnic or GCA/NGCA]],11,FALSE)</calculatedColumnFormula>
    </tableColumn>
    <tableColumn id="60" xr3:uid="{00000000-0010-0000-0000-00003C000000}" name="Lat" dataDxfId="545" totalsRowDxfId="544" dataCellStyle="Percent">
      <calculatedColumnFormula>VLOOKUP(WWWW[[#This Row],[Village  Name]],SiteDB6[[Site Name]:[Lat]],12,FALSE)</calculatedColumnFormula>
    </tableColumn>
    <tableColumn id="61" xr3:uid="{00000000-0010-0000-0000-00003D000000}" name="Long" dataDxfId="543" totalsRowDxfId="542" dataCellStyle="Percent">
      <calculatedColumnFormula>VLOOKUP(WWWW[[#This Row],[Village  Name]],SiteDB6[[Site Name]:[Long]],13,FALSE)</calculatedColumnFormula>
    </tableColumn>
    <tableColumn id="62" xr3:uid="{00000000-0010-0000-0000-00003E000000}" name="Pcode" dataDxfId="541" totalsRowDxfId="540" dataCellStyle="Percent">
      <calculatedColumnFormula>VLOOKUP(WWWW[[#This Row],[Village  Name]],SiteDB6[[Site Name]:[Pcode]],3,FALSE)</calculatedColumnFormula>
    </tableColumn>
    <tableColumn id="63" xr3:uid="{00000000-0010-0000-0000-00003F000000}" name="Covered" dataDxfId="539" totalsRowDxfId="538">
      <calculatedColumnFormula>IF(C7="none","Notcovered","Covered")</calculatedColumnFormula>
    </tableColumn>
    <tableColumn id="64" xr3:uid="{00000000-0010-0000-0000-000040000000}" name="Remark" dataDxfId="537" totalsRowDxfId="536"/>
  </tableColumns>
  <tableStyleInfo name="TableStyleMedium27"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SiteDB6" displayName="SiteDB6" ref="A2:W1373" totalsRowShown="0" headerRowDxfId="498" dataDxfId="497">
  <autoFilter ref="A2:W1373" xr:uid="{178B42BB-AB4B-43D9-822E-B4F8A08B64BF}"/>
  <sortState xmlns:xlrd2="http://schemas.microsoft.com/office/spreadsheetml/2017/richdata2" ref="A3:W1308">
    <sortCondition ref="A3:A1308"/>
    <sortCondition ref="B3:B1308"/>
    <sortCondition ref="C3:C1308"/>
  </sortState>
  <tableColumns count="23">
    <tableColumn id="13" xr3:uid="{00000000-0010-0000-0100-00000D000000}" name="State" dataDxfId="496"/>
    <tableColumn id="12" xr3:uid="{00000000-0010-0000-0100-00000C000000}" name="Township" dataDxfId="495"/>
    <tableColumn id="1" xr3:uid="{00000000-0010-0000-0100-000001000000}" name="Site Name" dataDxfId="494"/>
    <tableColumn id="26" xr3:uid="{00000000-0010-0000-0100-00001A000000}" name="open in cccm?" dataDxfId="493"/>
    <tableColumn id="2" xr3:uid="{00000000-0010-0000-0100-000002000000}" name="Pcode" dataDxfId="492"/>
    <tableColumn id="20" xr3:uid="{00000000-0010-0000-0100-000014000000}" name="Vtract" dataDxfId="491"/>
    <tableColumn id="21" xr3:uid="{00000000-0010-0000-0100-000015000000}" name="VillageWard" dataDxfId="490"/>
    <tableColumn id="3" xr3:uid="{00000000-0010-0000-0100-000003000000}" name="CCCM Management" dataDxfId="489"/>
    <tableColumn id="4" xr3:uid="{00000000-0010-0000-0100-000004000000}" name="CCCM Focal Agency" dataDxfId="488"/>
    <tableColumn id="5" xr3:uid="{00000000-0010-0000-0100-000005000000}" name="Location Type" dataDxfId="487"/>
    <tableColumn id="6" xr3:uid="{00000000-0010-0000-0100-000006000000}" name="Location Type 1" dataDxfId="486"/>
    <tableColumn id="7" xr3:uid="{00000000-0010-0000-0100-000007000000}" name="Type of Accommodation" dataDxfId="485"/>
    <tableColumn id="8" xr3:uid="{00000000-0010-0000-0100-000008000000}" name="Ethnic or GCA/NGCA" dataDxfId="484"/>
    <tableColumn id="10" xr3:uid="{00000000-0010-0000-0100-00000A000000}" name="Lat" dataDxfId="483"/>
    <tableColumn id="9" xr3:uid="{00000000-0010-0000-0100-000009000000}" name="Long" dataDxfId="482"/>
    <tableColumn id="11" xr3:uid="{00000000-0010-0000-0100-00000B000000}" name="HRP categories" dataDxfId="481"/>
    <tableColumn id="14" xr3:uid="{00000000-0010-0000-0100-00000E000000}" name="Current 4 W reported list" dataDxfId="480"/>
    <tableColumn id="15" xr3:uid="{00000000-0010-0000-0100-00000F000000}" name="HH_x000a_(Rakhine-CCCM as of 31st Jan 2019)_x000a_(Kachin/Shan-CCCM as of 31st March 2019)" dataDxfId="479"/>
    <tableColumn id="16" xr3:uid="{00000000-0010-0000-0100-000010000000}" name="Pop_x000a_(Rakhine-CCCM as of 31st Jan 2019)_x000a_(Kachin/Shan-CCCM as of 31st March 2019)" dataDxfId="478"/>
    <tableColumn id="17" xr3:uid="{00000000-0010-0000-0100-000011000000}" name="Updated Date" dataDxfId="477"/>
    <tableColumn id="18" xr3:uid="{00000000-0010-0000-0100-000012000000}" name="Remark" dataDxfId="476"/>
    <tableColumn id="19" xr3:uid="{00000000-0010-0000-0100-000013000000}" name="Site Name_(Old)" dataDxfId="475"/>
    <tableColumn id="24" xr3:uid="{00000000-0010-0000-0100-000018000000}" name="Comments form CCCM" dataDxfId="47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BA25316-493A-4DA2-BCCD-1E096A3A6F36}" name="Table6134" displayName="Table6134" ref="B60:G66" totalsRowShown="0" headerRowDxfId="41" dataDxfId="39" headerRowBorderDxfId="40" tableBorderDxfId="38" totalsRowBorderDxfId="37">
  <tableColumns count="6">
    <tableColumn id="1" xr3:uid="{9EAEFD8D-9E68-4EB6-8D83-A66E7E07EBA4}" name="Gap in active villages/ Township" dataDxfId="36"/>
    <tableColumn id="2" xr3:uid="{4E88414B-3AF7-4423-8E5C-218D0F09BCC5}" name="Partners " dataDxfId="35"/>
    <tableColumn id="3" xr3:uid="{1C6184D5-42C9-4ECE-A5F7-19BCA542B8BF}" name="Total population" dataDxfId="34"/>
    <tableColumn id="4" xr3:uid="{C05DAAB1-7047-4FC9-8374-48BFB4639C94}" name=" % People benefitting from safe/improved drinking water, meeting demand for domestic purposes" dataDxfId="33"/>
    <tableColumn id="5" xr3:uid="{1CF67F22-419E-4D02-AB06-B3165FA3FF83}" name=" % People benefitting from a functional excreta disposal system, reducing safety/public health/environmental risks" dataDxfId="32"/>
    <tableColumn id="6" xr3:uid="{0B426F89-9976-4D4A-8B6B-E345D402E9F4}" name=" %People benefitting from personal hygiene items and receiving appropriate hygiene message" dataDxfId="3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B3:AC84" totalsRowShown="0" headerRowDxfId="5" dataDxfId="3" headerRowBorderDxfId="4" tableBorderDxfId="2" dataCellStyle="Normal_Township">
  <autoFilter ref="AB3:AC84" xr:uid="{00000000-0009-0000-0100-000001000000}"/>
  <sortState xmlns:xlrd2="http://schemas.microsoft.com/office/spreadsheetml/2017/richdata2" ref="AB4:AC83">
    <sortCondition ref="AB4:AB83"/>
    <sortCondition ref="AC4:AC83"/>
  </sortState>
  <tableColumns count="2">
    <tableColumn id="1" xr3:uid="{00000000-0010-0000-0600-000001000000}" name="State_list" dataDxfId="1" dataCellStyle="Normal_Township"/>
    <tableColumn id="2" xr3:uid="{00000000-0010-0000-0600-000002000000}" name="TSps" dataDxfId="0" dataCellStyle="Normal_Township"/>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7.xml"/><Relationship Id="rId1" Type="http://schemas.openxmlformats.org/officeDocument/2006/relationships/pivotTable" Target="../pivotTables/pivotTable27.xml"/></Relationships>
</file>

<file path=xl/worksheets/_rels/sheet12.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8.xml"/><Relationship Id="rId1" Type="http://schemas.openxmlformats.org/officeDocument/2006/relationships/pivotTable" Target="../pivotTables/pivotTable2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8" Type="http://schemas.openxmlformats.org/officeDocument/2006/relationships/pivotTable" Target="../pivotTables/pivotTable10.xml"/><Relationship Id="rId13" Type="http://schemas.openxmlformats.org/officeDocument/2006/relationships/pivotTable" Target="../pivotTables/pivotTable15.xml"/><Relationship Id="rId18" Type="http://schemas.openxmlformats.org/officeDocument/2006/relationships/pivotTable" Target="../pivotTables/pivotTable20.xml"/><Relationship Id="rId26" Type="http://schemas.microsoft.com/office/2007/relationships/slicer" Target="../slicers/slicer1.xml"/><Relationship Id="rId3" Type="http://schemas.openxmlformats.org/officeDocument/2006/relationships/pivotTable" Target="../pivotTables/pivotTable5.xml"/><Relationship Id="rId21" Type="http://schemas.openxmlformats.org/officeDocument/2006/relationships/pivotTable" Target="../pivotTables/pivotTable23.xml"/><Relationship Id="rId7" Type="http://schemas.openxmlformats.org/officeDocument/2006/relationships/pivotTable" Target="../pivotTables/pivotTable9.xml"/><Relationship Id="rId12" Type="http://schemas.openxmlformats.org/officeDocument/2006/relationships/pivotTable" Target="../pivotTables/pivotTable14.xml"/><Relationship Id="rId17" Type="http://schemas.openxmlformats.org/officeDocument/2006/relationships/pivotTable" Target="../pivotTables/pivotTable19.xml"/><Relationship Id="rId25" Type="http://schemas.openxmlformats.org/officeDocument/2006/relationships/drawing" Target="../drawings/drawing3.xml"/><Relationship Id="rId2" Type="http://schemas.openxmlformats.org/officeDocument/2006/relationships/pivotTable" Target="../pivotTables/pivotTable4.xml"/><Relationship Id="rId16" Type="http://schemas.openxmlformats.org/officeDocument/2006/relationships/pivotTable" Target="../pivotTables/pivotTable18.xml"/><Relationship Id="rId20" Type="http://schemas.openxmlformats.org/officeDocument/2006/relationships/pivotTable" Target="../pivotTables/pivotTable22.xml"/><Relationship Id="rId1" Type="http://schemas.openxmlformats.org/officeDocument/2006/relationships/pivotTable" Target="../pivotTables/pivotTable3.xml"/><Relationship Id="rId6" Type="http://schemas.openxmlformats.org/officeDocument/2006/relationships/pivotTable" Target="../pivotTables/pivotTable8.xml"/><Relationship Id="rId11" Type="http://schemas.openxmlformats.org/officeDocument/2006/relationships/pivotTable" Target="../pivotTables/pivotTable13.xml"/><Relationship Id="rId24" Type="http://schemas.openxmlformats.org/officeDocument/2006/relationships/printerSettings" Target="../printerSettings/printerSettings8.bin"/><Relationship Id="rId5" Type="http://schemas.openxmlformats.org/officeDocument/2006/relationships/pivotTable" Target="../pivotTables/pivotTable7.xml"/><Relationship Id="rId15" Type="http://schemas.openxmlformats.org/officeDocument/2006/relationships/pivotTable" Target="../pivotTables/pivotTable17.xml"/><Relationship Id="rId23" Type="http://schemas.openxmlformats.org/officeDocument/2006/relationships/pivotTable" Target="../pivotTables/pivotTable25.xml"/><Relationship Id="rId10" Type="http://schemas.openxmlformats.org/officeDocument/2006/relationships/pivotTable" Target="../pivotTables/pivotTable12.xml"/><Relationship Id="rId19" Type="http://schemas.openxmlformats.org/officeDocument/2006/relationships/pivotTable" Target="../pivotTables/pivotTable21.xml"/><Relationship Id="rId4" Type="http://schemas.openxmlformats.org/officeDocument/2006/relationships/pivotTable" Target="../pivotTables/pivotTable6.xml"/><Relationship Id="rId9" Type="http://schemas.openxmlformats.org/officeDocument/2006/relationships/pivotTable" Target="../pivotTables/pivotTable11.xml"/><Relationship Id="rId14" Type="http://schemas.openxmlformats.org/officeDocument/2006/relationships/pivotTable" Target="../pivotTables/pivotTable16.xml"/><Relationship Id="rId22" Type="http://schemas.openxmlformats.org/officeDocument/2006/relationships/pivotTable" Target="../pivotTables/pivotTable24.xml"/></Relationships>
</file>

<file path=xl/worksheets/_rels/sheet9.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ivotTable" Target="../pivotTables/pivotTable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48"/>
  <sheetViews>
    <sheetView zoomScale="96" zoomScaleNormal="96" workbookViewId="0">
      <selection activeCell="Y15" sqref="Y15"/>
    </sheetView>
  </sheetViews>
  <sheetFormatPr defaultColWidth="7.69921875" defaultRowHeight="14.4"/>
  <cols>
    <col min="1" max="1" width="7.09765625" style="21" customWidth="1"/>
    <col min="2" max="2" width="2.19921875" style="21" customWidth="1"/>
    <col min="3" max="19" width="7.69921875" style="21"/>
    <col min="20" max="20" width="25.09765625" style="21" customWidth="1"/>
    <col min="21" max="16384" width="7.69921875" style="21"/>
  </cols>
  <sheetData>
    <row r="1" spans="2:20" ht="28.2" customHeight="1" thickBot="1"/>
    <row r="2" spans="2:20" s="22" customFormat="1" ht="35.700000000000003" customHeight="1" thickTop="1" thickBot="1">
      <c r="B2" s="840" t="s">
        <v>75</v>
      </c>
      <c r="C2" s="841"/>
      <c r="D2" s="841"/>
      <c r="E2" s="841"/>
      <c r="F2" s="841"/>
      <c r="G2" s="841"/>
      <c r="H2" s="841"/>
      <c r="I2" s="841"/>
      <c r="J2" s="841"/>
      <c r="K2" s="841"/>
      <c r="L2" s="841"/>
      <c r="M2" s="841"/>
      <c r="N2" s="841"/>
      <c r="O2" s="841"/>
      <c r="P2" s="841"/>
      <c r="Q2" s="841"/>
      <c r="R2" s="841"/>
      <c r="S2" s="841"/>
      <c r="T2" s="842"/>
    </row>
    <row r="3" spans="2:20" ht="15" thickTop="1">
      <c r="B3" s="23"/>
      <c r="C3" s="24"/>
      <c r="D3" s="24"/>
      <c r="E3" s="24"/>
      <c r="F3" s="24"/>
      <c r="G3" s="24"/>
      <c r="H3" s="24"/>
      <c r="I3" s="24"/>
      <c r="J3" s="24"/>
      <c r="K3" s="24"/>
      <c r="L3" s="24"/>
      <c r="M3" s="24"/>
      <c r="N3" s="24"/>
      <c r="O3" s="24"/>
      <c r="P3" s="24"/>
      <c r="Q3" s="24"/>
      <c r="R3" s="24"/>
      <c r="S3" s="24"/>
      <c r="T3" s="25"/>
    </row>
    <row r="4" spans="2:20">
      <c r="B4" s="23"/>
      <c r="C4" s="26" t="s">
        <v>76</v>
      </c>
      <c r="D4" s="24"/>
      <c r="E4" s="24"/>
      <c r="F4" s="24"/>
      <c r="G4" s="24"/>
      <c r="H4" s="24"/>
      <c r="I4" s="24"/>
      <c r="J4" s="24"/>
      <c r="K4" s="24"/>
      <c r="L4" s="24"/>
      <c r="M4" s="24"/>
      <c r="N4" s="24"/>
      <c r="O4" s="24"/>
      <c r="P4" s="24"/>
      <c r="Q4" s="24"/>
      <c r="R4" s="24"/>
      <c r="S4" s="24"/>
      <c r="T4" s="25"/>
    </row>
    <row r="5" spans="2:20">
      <c r="B5" s="23"/>
      <c r="C5" s="24"/>
      <c r="D5" s="24" t="s">
        <v>77</v>
      </c>
      <c r="E5" s="24"/>
      <c r="F5" s="24"/>
      <c r="G5" s="24"/>
      <c r="H5" s="24"/>
      <c r="I5" s="24"/>
      <c r="J5" s="24"/>
      <c r="K5" s="24"/>
      <c r="L5" s="24"/>
      <c r="M5" s="24"/>
      <c r="N5" s="24"/>
      <c r="O5" s="24"/>
      <c r="P5" s="24"/>
      <c r="Q5" s="24"/>
      <c r="R5" s="24"/>
      <c r="S5" s="24"/>
      <c r="T5" s="25"/>
    </row>
    <row r="6" spans="2:20">
      <c r="B6" s="23"/>
      <c r="C6" s="24"/>
      <c r="D6" s="24" t="s">
        <v>78</v>
      </c>
      <c r="E6" s="24"/>
      <c r="F6" s="24"/>
      <c r="G6" s="24"/>
      <c r="H6" s="24"/>
      <c r="I6" s="24"/>
      <c r="J6" s="24"/>
      <c r="K6" s="24"/>
      <c r="L6" s="24"/>
      <c r="M6" s="24"/>
      <c r="N6" s="24"/>
      <c r="O6" s="24"/>
      <c r="P6" s="24"/>
      <c r="Q6" s="24"/>
      <c r="R6" s="24"/>
      <c r="S6" s="24"/>
      <c r="T6" s="25"/>
    </row>
    <row r="7" spans="2:20">
      <c r="B7" s="23"/>
      <c r="C7" s="24"/>
      <c r="D7" s="24" t="s">
        <v>79</v>
      </c>
      <c r="E7" s="24"/>
      <c r="F7" s="24"/>
      <c r="G7" s="24"/>
      <c r="H7" s="24"/>
      <c r="I7" s="24"/>
      <c r="J7" s="24"/>
      <c r="K7" s="24"/>
      <c r="L7" s="24"/>
      <c r="M7" s="24"/>
      <c r="N7" s="24"/>
      <c r="O7" s="24"/>
      <c r="P7" s="24"/>
      <c r="Q7" s="24"/>
      <c r="R7" s="24"/>
      <c r="S7" s="24"/>
      <c r="T7" s="25"/>
    </row>
    <row r="8" spans="2:20">
      <c r="B8" s="23"/>
      <c r="C8" s="24"/>
      <c r="D8" s="24" t="s">
        <v>80</v>
      </c>
      <c r="E8" s="24"/>
      <c r="F8" s="24"/>
      <c r="G8" s="24"/>
      <c r="H8" s="24"/>
      <c r="I8" s="24"/>
      <c r="J8" s="24"/>
      <c r="K8" s="24"/>
      <c r="L8" s="24"/>
      <c r="M8" s="24"/>
      <c r="N8" s="24"/>
      <c r="O8" s="24"/>
      <c r="P8" s="24"/>
      <c r="Q8" s="24"/>
      <c r="R8" s="24"/>
      <c r="S8" s="24"/>
      <c r="T8" s="25"/>
    </row>
    <row r="9" spans="2:20">
      <c r="B9" s="23"/>
      <c r="C9" s="24"/>
      <c r="D9" s="24" t="s">
        <v>81</v>
      </c>
      <c r="E9" s="24"/>
      <c r="F9" s="24"/>
      <c r="G9" s="24"/>
      <c r="H9" s="24"/>
      <c r="I9" s="24"/>
      <c r="J9" s="24"/>
      <c r="K9" s="24"/>
      <c r="L9" s="24"/>
      <c r="M9" s="24"/>
      <c r="N9" s="24"/>
      <c r="O9" s="24"/>
      <c r="P9" s="24"/>
      <c r="Q9" s="24"/>
      <c r="R9" s="24"/>
      <c r="S9" s="24"/>
      <c r="T9" s="25"/>
    </row>
    <row r="10" spans="2:20">
      <c r="B10" s="23"/>
      <c r="C10" s="24"/>
      <c r="D10" s="24" t="s">
        <v>82</v>
      </c>
      <c r="E10" s="24"/>
      <c r="F10" s="24"/>
      <c r="G10" s="24"/>
      <c r="H10" s="24"/>
      <c r="I10" s="24"/>
      <c r="J10" s="24"/>
      <c r="K10" s="24"/>
      <c r="L10" s="24"/>
      <c r="M10" s="24"/>
      <c r="N10" s="24"/>
      <c r="O10" s="24"/>
      <c r="P10" s="24"/>
      <c r="Q10" s="24"/>
      <c r="R10" s="24"/>
      <c r="S10" s="24"/>
      <c r="T10" s="25"/>
    </row>
    <row r="11" spans="2:20">
      <c r="B11" s="23"/>
      <c r="C11" s="24"/>
      <c r="D11" s="24" t="s">
        <v>83</v>
      </c>
      <c r="E11" s="24"/>
      <c r="F11" s="24"/>
      <c r="G11" s="24"/>
      <c r="H11" s="24"/>
      <c r="I11" s="24"/>
      <c r="J11" s="24"/>
      <c r="K11" s="24"/>
      <c r="L11" s="24"/>
      <c r="M11" s="24"/>
      <c r="N11" s="24"/>
      <c r="O11" s="24"/>
      <c r="P11" s="24"/>
      <c r="Q11" s="24"/>
      <c r="R11" s="24"/>
      <c r="S11" s="24"/>
      <c r="T11" s="25"/>
    </row>
    <row r="12" spans="2:20">
      <c r="B12" s="23"/>
      <c r="C12" s="24"/>
      <c r="D12" s="24" t="s">
        <v>84</v>
      </c>
      <c r="E12" s="24"/>
      <c r="F12" s="24"/>
      <c r="G12" s="24"/>
      <c r="H12" s="24"/>
      <c r="I12" s="24"/>
      <c r="J12" s="24"/>
      <c r="K12" s="24"/>
      <c r="L12" s="24"/>
      <c r="M12" s="24"/>
      <c r="N12" s="24"/>
      <c r="O12" s="24"/>
      <c r="P12" s="24"/>
      <c r="Q12" s="24"/>
      <c r="R12" s="24"/>
      <c r="S12" s="24"/>
      <c r="T12" s="25"/>
    </row>
    <row r="13" spans="2:20">
      <c r="B13" s="23"/>
      <c r="C13" s="24"/>
      <c r="D13" s="24" t="s">
        <v>85</v>
      </c>
      <c r="E13" s="24"/>
      <c r="F13" s="24"/>
      <c r="G13" s="24"/>
      <c r="H13" s="24"/>
      <c r="I13" s="24"/>
      <c r="J13" s="24"/>
      <c r="K13" s="24"/>
      <c r="L13" s="24"/>
      <c r="M13" s="24"/>
      <c r="N13" s="24"/>
      <c r="O13" s="24"/>
      <c r="P13" s="24"/>
      <c r="Q13" s="24"/>
      <c r="R13" s="24"/>
      <c r="S13" s="24"/>
      <c r="T13" s="25"/>
    </row>
    <row r="14" spans="2:20">
      <c r="B14" s="23"/>
      <c r="C14" s="24"/>
      <c r="D14" s="24"/>
      <c r="E14" s="24"/>
      <c r="F14" s="24"/>
      <c r="G14" s="24"/>
      <c r="H14" s="24"/>
      <c r="I14" s="24"/>
      <c r="J14" s="24"/>
      <c r="K14" s="24"/>
      <c r="L14" s="24"/>
      <c r="M14" s="24"/>
      <c r="N14" s="24"/>
      <c r="O14" s="24"/>
      <c r="P14" s="24"/>
      <c r="Q14" s="24"/>
      <c r="R14" s="24"/>
      <c r="S14" s="24"/>
      <c r="T14" s="25"/>
    </row>
    <row r="15" spans="2:20">
      <c r="B15" s="23"/>
      <c r="C15" s="26" t="s">
        <v>86</v>
      </c>
      <c r="D15" s="24"/>
      <c r="E15" s="24"/>
      <c r="F15" s="24"/>
      <c r="G15" s="24"/>
      <c r="H15" s="24"/>
      <c r="I15" s="24"/>
      <c r="J15" s="24"/>
      <c r="K15" s="24"/>
      <c r="L15" s="24"/>
      <c r="M15" s="24"/>
      <c r="N15" s="24"/>
      <c r="O15" s="24"/>
      <c r="P15" s="24"/>
      <c r="Q15" s="24"/>
      <c r="R15" s="24"/>
      <c r="S15" s="24"/>
      <c r="T15" s="25"/>
    </row>
    <row r="16" spans="2:20">
      <c r="B16" s="23"/>
      <c r="C16" s="24"/>
      <c r="D16" s="24" t="s">
        <v>87</v>
      </c>
      <c r="E16" s="24"/>
      <c r="F16" s="24"/>
      <c r="G16" s="24"/>
      <c r="H16" s="24"/>
      <c r="I16" s="24"/>
      <c r="J16" s="24"/>
      <c r="K16" s="24"/>
      <c r="L16" s="24"/>
      <c r="M16" s="24"/>
      <c r="N16" s="24"/>
      <c r="O16" s="24"/>
      <c r="P16" s="24"/>
      <c r="Q16" s="24"/>
      <c r="R16" s="24"/>
      <c r="S16" s="24"/>
      <c r="T16" s="25"/>
    </row>
    <row r="17" spans="2:20">
      <c r="B17" s="23"/>
      <c r="C17" s="24"/>
      <c r="D17" s="24" t="s">
        <v>88</v>
      </c>
      <c r="E17" s="24"/>
      <c r="F17" s="24"/>
      <c r="G17" s="24"/>
      <c r="H17" s="24"/>
      <c r="I17" s="24"/>
      <c r="J17" s="24"/>
      <c r="K17" s="24"/>
      <c r="L17" s="24"/>
      <c r="M17" s="24"/>
      <c r="N17" s="24"/>
      <c r="O17" s="24"/>
      <c r="P17" s="24"/>
      <c r="Q17" s="24"/>
      <c r="R17" s="24"/>
      <c r="S17" s="24"/>
      <c r="T17" s="25"/>
    </row>
    <row r="18" spans="2:20">
      <c r="B18" s="23"/>
      <c r="C18" s="24"/>
      <c r="D18" s="24" t="s">
        <v>89</v>
      </c>
      <c r="E18" s="24"/>
      <c r="F18" s="24"/>
      <c r="G18" s="24"/>
      <c r="H18" s="24"/>
      <c r="I18" s="24"/>
      <c r="J18" s="24"/>
      <c r="K18" s="24"/>
      <c r="L18" s="24"/>
      <c r="M18" s="24"/>
      <c r="N18" s="24"/>
      <c r="O18" s="24"/>
      <c r="P18" s="24"/>
      <c r="Q18" s="24"/>
      <c r="R18" s="24"/>
      <c r="S18" s="24"/>
      <c r="T18" s="25"/>
    </row>
    <row r="19" spans="2:20">
      <c r="B19" s="23"/>
      <c r="C19" s="24"/>
      <c r="D19" s="24" t="s">
        <v>90</v>
      </c>
      <c r="E19" s="24"/>
      <c r="F19" s="24"/>
      <c r="G19" s="24"/>
      <c r="H19" s="24"/>
      <c r="I19" s="24"/>
      <c r="J19" s="24"/>
      <c r="K19" s="24"/>
      <c r="L19" s="24"/>
      <c r="M19" s="24"/>
      <c r="N19" s="24"/>
      <c r="O19" s="24"/>
      <c r="P19" s="24"/>
      <c r="Q19" s="24"/>
      <c r="R19" s="24"/>
      <c r="S19" s="24"/>
      <c r="T19" s="25"/>
    </row>
    <row r="20" spans="2:20">
      <c r="B20" s="23"/>
      <c r="C20" s="24"/>
      <c r="D20" s="24" t="s">
        <v>91</v>
      </c>
      <c r="E20" s="24"/>
      <c r="F20" s="24"/>
      <c r="G20" s="24"/>
      <c r="H20" s="24"/>
      <c r="I20" s="24"/>
      <c r="J20" s="24"/>
      <c r="K20" s="24"/>
      <c r="L20" s="24"/>
      <c r="M20" s="24"/>
      <c r="N20" s="24"/>
      <c r="O20" s="24"/>
      <c r="P20" s="24"/>
      <c r="Q20" s="24"/>
      <c r="R20" s="24"/>
      <c r="S20" s="24"/>
      <c r="T20" s="25"/>
    </row>
    <row r="21" spans="2:20">
      <c r="B21" s="23"/>
      <c r="C21" s="24"/>
      <c r="D21" s="24" t="s">
        <v>92</v>
      </c>
      <c r="E21" s="24"/>
      <c r="F21" s="24"/>
      <c r="G21" s="24"/>
      <c r="H21" s="24"/>
      <c r="I21" s="24"/>
      <c r="J21" s="24"/>
      <c r="K21" s="24"/>
      <c r="L21" s="24"/>
      <c r="M21" s="24"/>
      <c r="N21" s="24"/>
      <c r="O21" s="24"/>
      <c r="P21" s="24"/>
      <c r="Q21" s="24"/>
      <c r="R21" s="24"/>
      <c r="S21" s="24"/>
      <c r="T21" s="25"/>
    </row>
    <row r="22" spans="2:20">
      <c r="B22" s="23"/>
      <c r="C22" s="24"/>
      <c r="D22" s="24" t="s">
        <v>93</v>
      </c>
      <c r="E22" s="24"/>
      <c r="F22" s="24"/>
      <c r="G22" s="24"/>
      <c r="H22" s="24"/>
      <c r="I22" s="24"/>
      <c r="J22" s="24"/>
      <c r="K22" s="24"/>
      <c r="L22" s="24"/>
      <c r="M22" s="24"/>
      <c r="N22" s="24"/>
      <c r="O22" s="24"/>
      <c r="P22" s="24"/>
      <c r="Q22" s="24"/>
      <c r="R22" s="24"/>
      <c r="S22" s="24"/>
      <c r="T22" s="25"/>
    </row>
    <row r="23" spans="2:20">
      <c r="B23" s="23"/>
      <c r="C23" s="24"/>
      <c r="D23" s="24"/>
      <c r="E23" s="24"/>
      <c r="F23" s="24"/>
      <c r="G23" s="24"/>
      <c r="H23" s="24"/>
      <c r="I23" s="24"/>
      <c r="J23" s="24"/>
      <c r="K23" s="24"/>
      <c r="L23" s="24"/>
      <c r="M23" s="24"/>
      <c r="N23" s="24"/>
      <c r="O23" s="24"/>
      <c r="P23" s="24"/>
      <c r="Q23" s="24"/>
      <c r="R23" s="24"/>
      <c r="S23" s="24"/>
      <c r="T23" s="25"/>
    </row>
    <row r="24" spans="2:20">
      <c r="B24" s="23"/>
      <c r="C24" s="26" t="s">
        <v>94</v>
      </c>
      <c r="D24" s="24"/>
      <c r="E24" s="24"/>
      <c r="F24" s="24"/>
      <c r="G24" s="24"/>
      <c r="H24" s="24"/>
      <c r="I24" s="24"/>
      <c r="J24" s="24"/>
      <c r="K24" s="24"/>
      <c r="L24" s="24"/>
      <c r="M24" s="24"/>
      <c r="N24" s="24"/>
      <c r="O24" s="24"/>
      <c r="P24" s="24"/>
      <c r="Q24" s="24"/>
      <c r="R24" s="24"/>
      <c r="S24" s="24"/>
      <c r="T24" s="25"/>
    </row>
    <row r="25" spans="2:20">
      <c r="B25" s="23"/>
      <c r="C25" s="24"/>
      <c r="D25" s="24" t="s">
        <v>95</v>
      </c>
      <c r="E25" s="24"/>
      <c r="F25" s="24"/>
      <c r="G25" s="24"/>
      <c r="H25" s="24"/>
      <c r="I25" s="24"/>
      <c r="J25" s="24"/>
      <c r="K25" s="24"/>
      <c r="L25" s="24"/>
      <c r="M25" s="24"/>
      <c r="N25" s="24"/>
      <c r="O25" s="24"/>
      <c r="P25" s="24"/>
      <c r="Q25" s="24"/>
      <c r="R25" s="24"/>
      <c r="S25" s="24"/>
      <c r="T25" s="25"/>
    </row>
    <row r="26" spans="2:20" ht="27" customHeight="1">
      <c r="B26" s="23"/>
      <c r="C26" s="24"/>
      <c r="D26" s="843" t="s">
        <v>2713</v>
      </c>
      <c r="E26" s="844"/>
      <c r="F26" s="844"/>
      <c r="G26" s="844"/>
      <c r="H26" s="844"/>
      <c r="I26" s="844"/>
      <c r="J26" s="844"/>
      <c r="K26" s="844"/>
      <c r="L26" s="844"/>
      <c r="M26" s="844"/>
      <c r="N26" s="844"/>
      <c r="O26" s="844"/>
      <c r="P26" s="844"/>
      <c r="Q26" s="844"/>
      <c r="R26" s="844"/>
      <c r="S26" s="844"/>
      <c r="T26" s="845"/>
    </row>
    <row r="27" spans="2:20">
      <c r="B27" s="23"/>
      <c r="C27" s="24"/>
      <c r="D27" s="93" t="s">
        <v>1926</v>
      </c>
      <c r="E27" s="24"/>
      <c r="F27" s="24"/>
      <c r="G27" s="24"/>
      <c r="H27" s="24"/>
      <c r="I27" s="24"/>
      <c r="J27" s="24"/>
      <c r="K27" s="24"/>
      <c r="L27" s="24"/>
      <c r="M27" s="24"/>
      <c r="N27" s="24"/>
      <c r="O27" s="24"/>
      <c r="P27" s="24"/>
      <c r="Q27" s="24"/>
      <c r="R27" s="24"/>
      <c r="S27" s="24"/>
      <c r="T27" s="25"/>
    </row>
    <row r="28" spans="2:20">
      <c r="B28" s="23"/>
      <c r="C28" s="24"/>
      <c r="D28" s="24" t="s">
        <v>96</v>
      </c>
      <c r="E28" s="24"/>
      <c r="F28" s="24"/>
      <c r="G28" s="24"/>
      <c r="H28" s="24"/>
      <c r="I28" s="24"/>
      <c r="J28" s="24"/>
      <c r="K28" s="24"/>
      <c r="L28" s="24"/>
      <c r="M28" s="24"/>
      <c r="N28" s="24"/>
      <c r="O28" s="24"/>
      <c r="P28" s="24"/>
      <c r="Q28" s="24"/>
      <c r="R28" s="24"/>
      <c r="S28" s="24"/>
      <c r="T28" s="25"/>
    </row>
    <row r="29" spans="2:20">
      <c r="B29" s="23"/>
      <c r="C29" s="24"/>
      <c r="D29" s="458" t="s">
        <v>2714</v>
      </c>
      <c r="E29" s="24"/>
      <c r="F29" s="24"/>
      <c r="G29" s="24"/>
      <c r="H29" s="24"/>
      <c r="I29" s="24"/>
      <c r="J29" s="24"/>
      <c r="K29" s="24"/>
      <c r="L29" s="24"/>
      <c r="M29" s="24"/>
      <c r="N29" s="24"/>
      <c r="O29" s="24"/>
      <c r="P29" s="24"/>
      <c r="Q29" s="24"/>
      <c r="R29" s="24"/>
      <c r="S29" s="24"/>
      <c r="T29" s="25"/>
    </row>
    <row r="30" spans="2:20">
      <c r="B30" s="23"/>
      <c r="C30" s="24"/>
      <c r="D30" s="24" t="s">
        <v>97</v>
      </c>
      <c r="E30" s="24"/>
      <c r="F30" s="24"/>
      <c r="G30" s="24"/>
      <c r="H30" s="24"/>
      <c r="I30" s="24"/>
      <c r="J30" s="24"/>
      <c r="K30" s="24"/>
      <c r="L30" s="24"/>
      <c r="M30" s="24"/>
      <c r="N30" s="24"/>
      <c r="O30" s="24"/>
      <c r="P30" s="24"/>
      <c r="Q30" s="24"/>
      <c r="R30" s="24"/>
      <c r="S30" s="24"/>
      <c r="T30" s="25"/>
    </row>
    <row r="31" spans="2:20">
      <c r="B31" s="23"/>
      <c r="C31" s="24"/>
      <c r="D31" s="93" t="s">
        <v>1928</v>
      </c>
      <c r="E31" s="24"/>
      <c r="F31" s="24"/>
      <c r="G31" s="24"/>
      <c r="H31" s="24"/>
      <c r="I31" s="24"/>
      <c r="J31" s="24"/>
      <c r="K31" s="24"/>
      <c r="L31" s="24"/>
      <c r="M31" s="24"/>
      <c r="N31" s="24"/>
      <c r="O31" s="24"/>
      <c r="P31" s="24"/>
      <c r="Q31" s="24"/>
      <c r="R31" s="24"/>
      <c r="S31" s="24"/>
      <c r="T31" s="25"/>
    </row>
    <row r="32" spans="2:20">
      <c r="B32" s="23"/>
      <c r="C32" s="24"/>
      <c r="D32" s="24" t="s">
        <v>98</v>
      </c>
      <c r="E32" s="24"/>
      <c r="F32" s="24"/>
      <c r="G32" s="24"/>
      <c r="H32" s="24"/>
      <c r="I32" s="24"/>
      <c r="J32" s="24"/>
      <c r="K32" s="24"/>
      <c r="L32" s="24"/>
      <c r="M32" s="24"/>
      <c r="N32" s="24"/>
      <c r="O32" s="24"/>
      <c r="P32" s="24"/>
      <c r="Q32" s="24"/>
      <c r="R32" s="24"/>
      <c r="S32" s="24"/>
      <c r="T32" s="25"/>
    </row>
    <row r="33" spans="2:20">
      <c r="B33" s="23"/>
      <c r="C33" s="24"/>
      <c r="D33" s="24" t="s">
        <v>99</v>
      </c>
      <c r="E33" s="24"/>
      <c r="F33" s="24"/>
      <c r="G33" s="24"/>
      <c r="H33" s="24"/>
      <c r="I33" s="24"/>
      <c r="J33" s="24"/>
      <c r="K33" s="24"/>
      <c r="L33" s="24"/>
      <c r="M33" s="24"/>
      <c r="N33" s="24"/>
      <c r="O33" s="24"/>
      <c r="P33" s="24"/>
      <c r="Q33" s="24"/>
      <c r="R33" s="24"/>
      <c r="S33" s="24"/>
      <c r="T33" s="25"/>
    </row>
    <row r="34" spans="2:20">
      <c r="B34" s="23"/>
      <c r="C34" s="24"/>
      <c r="D34" s="24"/>
      <c r="E34" s="24"/>
      <c r="F34" s="24"/>
      <c r="G34" s="24"/>
      <c r="H34" s="24"/>
      <c r="I34" s="24"/>
      <c r="J34" s="24"/>
      <c r="K34" s="24"/>
      <c r="L34" s="24"/>
      <c r="M34" s="24"/>
      <c r="N34" s="24"/>
      <c r="O34" s="24"/>
      <c r="P34" s="24"/>
      <c r="Q34" s="24"/>
      <c r="R34" s="24"/>
      <c r="S34" s="24"/>
      <c r="T34" s="25"/>
    </row>
    <row r="35" spans="2:20">
      <c r="B35" s="23"/>
      <c r="C35" s="26" t="s">
        <v>100</v>
      </c>
      <c r="D35" s="24"/>
      <c r="E35" s="24"/>
      <c r="F35" s="24"/>
      <c r="G35" s="24"/>
      <c r="H35" s="24"/>
      <c r="I35" s="24"/>
      <c r="J35" s="24"/>
      <c r="K35" s="24"/>
      <c r="L35" s="24"/>
      <c r="M35" s="24"/>
      <c r="N35" s="24"/>
      <c r="O35" s="24"/>
      <c r="P35" s="24"/>
      <c r="Q35" s="24"/>
      <c r="R35" s="24"/>
      <c r="S35" s="24"/>
      <c r="T35" s="25"/>
    </row>
    <row r="36" spans="2:20">
      <c r="B36" s="23"/>
      <c r="C36" s="24"/>
      <c r="D36" s="24" t="s">
        <v>101</v>
      </c>
      <c r="E36" s="24"/>
      <c r="F36" s="24"/>
      <c r="G36" s="24"/>
      <c r="H36" s="24"/>
      <c r="I36" s="24"/>
      <c r="J36" s="24"/>
      <c r="K36" s="24"/>
      <c r="L36" s="24"/>
      <c r="M36" s="24"/>
      <c r="N36" s="24"/>
      <c r="O36" s="24"/>
      <c r="P36" s="24"/>
      <c r="Q36" s="24"/>
      <c r="R36" s="24"/>
      <c r="S36" s="24"/>
      <c r="T36" s="25"/>
    </row>
    <row r="37" spans="2:20">
      <c r="B37" s="23"/>
      <c r="C37" s="24"/>
      <c r="D37" s="24" t="s">
        <v>102</v>
      </c>
      <c r="E37" s="24"/>
      <c r="F37" s="24"/>
      <c r="G37" s="24"/>
      <c r="H37" s="24"/>
      <c r="I37" s="24"/>
      <c r="J37" s="24"/>
      <c r="K37" s="24"/>
      <c r="L37" s="24"/>
      <c r="M37" s="24"/>
      <c r="N37" s="24"/>
      <c r="O37" s="24"/>
      <c r="P37" s="24"/>
      <c r="Q37" s="24"/>
      <c r="R37" s="24"/>
      <c r="S37" s="24"/>
      <c r="T37" s="25"/>
    </row>
    <row r="38" spans="2:20">
      <c r="B38" s="23"/>
      <c r="C38" s="24"/>
      <c r="D38" s="24" t="s">
        <v>103</v>
      </c>
      <c r="E38" s="24"/>
      <c r="F38" s="24"/>
      <c r="G38" s="24"/>
      <c r="H38" s="24"/>
      <c r="I38" s="24"/>
      <c r="J38" s="24"/>
      <c r="K38" s="24"/>
      <c r="L38" s="24"/>
      <c r="M38" s="24"/>
      <c r="N38" s="24"/>
      <c r="O38" s="24"/>
      <c r="P38" s="24"/>
      <c r="Q38" s="24"/>
      <c r="R38" s="24"/>
      <c r="S38" s="24"/>
      <c r="T38" s="25"/>
    </row>
    <row r="39" spans="2:20">
      <c r="B39" s="23"/>
      <c r="C39" s="24"/>
      <c r="D39" s="24" t="s">
        <v>104</v>
      </c>
      <c r="E39" s="24"/>
      <c r="F39" s="24"/>
      <c r="G39" s="24"/>
      <c r="H39" s="24"/>
      <c r="I39" s="24"/>
      <c r="J39" s="24"/>
      <c r="K39" s="24"/>
      <c r="L39" s="24"/>
      <c r="M39" s="24"/>
      <c r="N39" s="24"/>
      <c r="O39" s="24"/>
      <c r="P39" s="24"/>
      <c r="Q39" s="24"/>
      <c r="R39" s="24"/>
      <c r="S39" s="24"/>
      <c r="T39" s="25"/>
    </row>
    <row r="40" spans="2:20">
      <c r="B40" s="23"/>
      <c r="C40" s="24"/>
      <c r="D40" s="24"/>
      <c r="E40" s="24"/>
      <c r="F40" s="24"/>
      <c r="G40" s="24"/>
      <c r="H40" s="24"/>
      <c r="I40" s="24"/>
      <c r="J40" s="24"/>
      <c r="K40" s="24"/>
      <c r="L40" s="24"/>
      <c r="M40" s="24"/>
      <c r="N40" s="24"/>
      <c r="O40" s="24"/>
      <c r="P40" s="24"/>
      <c r="Q40" s="24"/>
      <c r="R40" s="24"/>
      <c r="S40" s="24"/>
      <c r="T40" s="25"/>
    </row>
    <row r="41" spans="2:20">
      <c r="B41" s="23"/>
      <c r="C41" s="26" t="s">
        <v>105</v>
      </c>
      <c r="D41" s="24"/>
      <c r="E41" s="24"/>
      <c r="F41" s="24"/>
      <c r="G41" s="24"/>
      <c r="H41" s="24"/>
      <c r="I41" s="24"/>
      <c r="J41" s="24"/>
      <c r="K41" s="24"/>
      <c r="L41" s="24"/>
      <c r="M41" s="24"/>
      <c r="N41" s="24"/>
      <c r="O41" s="24"/>
      <c r="P41" s="24"/>
      <c r="Q41" s="24"/>
      <c r="R41" s="24"/>
      <c r="S41" s="24"/>
      <c r="T41" s="25"/>
    </row>
    <row r="42" spans="2:20">
      <c r="B42" s="23"/>
      <c r="C42" s="24"/>
      <c r="D42" s="24" t="s">
        <v>106</v>
      </c>
      <c r="E42" s="24"/>
      <c r="F42" s="24"/>
      <c r="G42" s="24"/>
      <c r="H42" s="24"/>
      <c r="I42" s="24"/>
      <c r="J42" s="24"/>
      <c r="K42" s="24"/>
      <c r="L42" s="24"/>
      <c r="M42" s="24"/>
      <c r="N42" s="24"/>
      <c r="O42" s="24"/>
      <c r="P42" s="24"/>
      <c r="Q42" s="24"/>
      <c r="R42" s="24"/>
      <c r="S42" s="24"/>
      <c r="T42" s="25"/>
    </row>
    <row r="43" spans="2:20">
      <c r="B43" s="23"/>
      <c r="C43" s="24"/>
      <c r="D43" s="24" t="s">
        <v>107</v>
      </c>
      <c r="E43" s="24"/>
      <c r="F43" s="24"/>
      <c r="G43" s="24"/>
      <c r="H43" s="24"/>
      <c r="I43" s="24"/>
      <c r="J43" s="24"/>
      <c r="K43" s="24"/>
      <c r="L43" s="24"/>
      <c r="M43" s="24"/>
      <c r="N43" s="24"/>
      <c r="O43" s="24"/>
      <c r="P43" s="24"/>
      <c r="Q43" s="24"/>
      <c r="R43" s="24"/>
      <c r="S43" s="24"/>
      <c r="T43" s="25"/>
    </row>
    <row r="44" spans="2:20">
      <c r="B44" s="23"/>
      <c r="C44" s="24"/>
      <c r="D44" s="24" t="s">
        <v>108</v>
      </c>
      <c r="E44" s="24"/>
      <c r="F44" s="24"/>
      <c r="G44" s="24"/>
      <c r="H44" s="24"/>
      <c r="I44" s="24"/>
      <c r="J44" s="24"/>
      <c r="K44" s="24"/>
      <c r="L44" s="24"/>
      <c r="M44" s="24"/>
      <c r="N44" s="24"/>
      <c r="O44" s="24"/>
      <c r="P44" s="24"/>
      <c r="Q44" s="24"/>
      <c r="R44" s="24"/>
      <c r="S44" s="24"/>
      <c r="T44" s="25"/>
    </row>
    <row r="45" spans="2:20">
      <c r="B45" s="23"/>
      <c r="C45" s="24"/>
      <c r="D45" s="24" t="s">
        <v>109</v>
      </c>
      <c r="E45" s="24"/>
      <c r="F45" s="24"/>
      <c r="G45" s="24"/>
      <c r="H45" s="24"/>
      <c r="I45" s="24"/>
      <c r="J45" s="24"/>
      <c r="K45" s="24"/>
      <c r="L45" s="24"/>
      <c r="M45" s="24"/>
      <c r="N45" s="24"/>
      <c r="O45" s="24"/>
      <c r="P45" s="24"/>
      <c r="Q45" s="24"/>
      <c r="R45" s="24"/>
      <c r="S45" s="24"/>
      <c r="T45" s="25"/>
    </row>
    <row r="46" spans="2:20">
      <c r="B46" s="23"/>
      <c r="C46" s="24"/>
      <c r="D46" s="24"/>
      <c r="E46" s="24"/>
      <c r="F46" s="24"/>
      <c r="G46" s="24"/>
      <c r="H46" s="24"/>
      <c r="I46" s="24"/>
      <c r="J46" s="24"/>
      <c r="K46" s="24"/>
      <c r="L46" s="24"/>
      <c r="M46" s="24"/>
      <c r="N46" s="24"/>
      <c r="O46" s="24"/>
      <c r="P46" s="24"/>
      <c r="Q46" s="24"/>
      <c r="R46" s="24"/>
      <c r="S46" s="24"/>
      <c r="T46" s="25"/>
    </row>
    <row r="47" spans="2:20" ht="15" thickBot="1">
      <c r="B47" s="27"/>
      <c r="C47" s="28"/>
      <c r="D47" s="28"/>
      <c r="E47" s="28"/>
      <c r="F47" s="28"/>
      <c r="G47" s="28"/>
      <c r="H47" s="28"/>
      <c r="I47" s="28"/>
      <c r="J47" s="28"/>
      <c r="K47" s="28"/>
      <c r="L47" s="28"/>
      <c r="M47" s="28"/>
      <c r="N47" s="28"/>
      <c r="O47" s="28"/>
      <c r="P47" s="28"/>
      <c r="Q47" s="28"/>
      <c r="R47" s="28"/>
      <c r="S47" s="28"/>
      <c r="T47" s="29"/>
    </row>
    <row r="48" spans="2:20" ht="15" thickTop="1"/>
  </sheetData>
  <mergeCells count="2">
    <mergeCell ref="B2:T2"/>
    <mergeCell ref="D26:T2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F6686-2FF9-4AF9-80F5-D9B52B63D405}">
  <sheetPr>
    <pageSetUpPr fitToPage="1"/>
  </sheetPr>
  <dimension ref="A1:AC128"/>
  <sheetViews>
    <sheetView showGridLines="0" view="pageBreakPreview" zoomScale="90" zoomScaleNormal="60" zoomScaleSheetLayoutView="90" zoomScalePageLayoutView="80" workbookViewId="0">
      <selection activeCell="V60" sqref="V60"/>
    </sheetView>
  </sheetViews>
  <sheetFormatPr defaultColWidth="9" defaultRowHeight="13.8"/>
  <cols>
    <col min="1" max="1" width="1.19921875" style="17" customWidth="1"/>
    <col min="2" max="2" width="11.69921875" style="17" customWidth="1"/>
    <col min="3" max="3" width="21.796875" style="17" customWidth="1"/>
    <col min="4" max="4" width="10.59765625" style="17" customWidth="1"/>
    <col min="5" max="5" width="14.59765625" style="17" customWidth="1"/>
    <col min="6" max="6" width="16.09765625" style="17" customWidth="1"/>
    <col min="7" max="7" width="14.69921875" style="17" customWidth="1"/>
    <col min="8" max="8" width="1.19921875" style="17" customWidth="1"/>
    <col min="9" max="9" width="10" style="17" customWidth="1"/>
    <col min="10" max="10" width="10.59765625" style="17" customWidth="1"/>
    <col min="11" max="11" width="9.59765625" style="17" customWidth="1"/>
    <col min="12" max="12" width="10.69921875" style="17" customWidth="1"/>
    <col min="13" max="13" width="8" style="17" customWidth="1"/>
    <col min="14" max="14" width="10.09765625" style="17" customWidth="1"/>
    <col min="15" max="15" width="10.69921875" style="17" customWidth="1"/>
    <col min="16" max="16" width="8" style="17" customWidth="1"/>
    <col min="17" max="17" width="21.5" style="17" customWidth="1"/>
    <col min="18" max="18" width="12" style="17" customWidth="1"/>
    <col min="19" max="19" width="4.59765625" style="17" customWidth="1"/>
    <col min="20" max="20" width="4.19921875" style="17" customWidth="1"/>
    <col min="21" max="21" width="8.09765625" style="17" customWidth="1"/>
    <col min="22" max="22" width="11.19921875" style="17" bestFit="1" customWidth="1"/>
    <col min="23" max="23" width="8.09765625" style="17" customWidth="1"/>
    <col min="24" max="24" width="3.69921875" style="17" customWidth="1"/>
    <col min="25" max="25" width="16.09765625" style="17" bestFit="1" customWidth="1"/>
    <col min="26" max="26" width="9" style="17"/>
    <col min="27" max="27" width="21.69921875" style="17" bestFit="1" customWidth="1"/>
    <col min="28" max="28" width="13.19921875" style="17" customWidth="1"/>
    <col min="29" max="16384" width="9" style="17"/>
  </cols>
  <sheetData>
    <row r="1" spans="1:29" ht="39" customHeight="1">
      <c r="A1" s="459"/>
      <c r="B1" s="911" t="s">
        <v>3312</v>
      </c>
      <c r="C1" s="911"/>
      <c r="D1" s="911"/>
      <c r="E1" s="911"/>
      <c r="F1" s="911"/>
      <c r="G1" s="911"/>
      <c r="H1" s="911"/>
      <c r="I1" s="911"/>
      <c r="J1" s="911"/>
      <c r="K1" s="911"/>
      <c r="L1" s="911"/>
      <c r="M1" s="911"/>
      <c r="N1" s="911"/>
      <c r="O1" s="911"/>
      <c r="P1" s="911"/>
      <c r="Q1" s="911"/>
      <c r="R1" s="619"/>
      <c r="S1" s="619"/>
      <c r="T1" s="619"/>
      <c r="U1" s="148"/>
      <c r="V1" s="148"/>
      <c r="W1" s="148"/>
      <c r="X1" s="148"/>
      <c r="Y1" s="148"/>
      <c r="Z1" s="148"/>
      <c r="AA1" s="148"/>
      <c r="AB1" s="148"/>
    </row>
    <row r="8" spans="1:29">
      <c r="AC8" s="17" t="s">
        <v>1925</v>
      </c>
    </row>
    <row r="41" ht="15" customHeight="1"/>
    <row r="43" ht="18" customHeight="1"/>
    <row r="50" spans="2:25" ht="15.6">
      <c r="U50" s="470"/>
    </row>
    <row r="51" spans="2:25" ht="15.6">
      <c r="U51" s="470"/>
      <c r="V51" s="470"/>
    </row>
    <row r="52" spans="2:25" ht="15.6">
      <c r="U52" s="470"/>
      <c r="V52" s="470"/>
    </row>
    <row r="53" spans="2:25" ht="15.6">
      <c r="U53" s="470"/>
      <c r="V53" s="470"/>
    </row>
    <row r="56" spans="2:25" ht="15.6">
      <c r="W56" s="470"/>
      <c r="X56" s="470"/>
    </row>
    <row r="57" spans="2:25" ht="15.75" customHeight="1">
      <c r="N57" s="92"/>
      <c r="O57" s="92"/>
      <c r="P57" s="92"/>
      <c r="Q57" s="92"/>
      <c r="R57" s="92"/>
      <c r="S57" s="92"/>
      <c r="T57" s="92"/>
      <c r="U57" s="158"/>
      <c r="V57" s="470"/>
      <c r="W57" s="470"/>
      <c r="X57" s="470"/>
      <c r="Y57" s="470"/>
    </row>
    <row r="58" spans="2:25" ht="53.25" customHeight="1">
      <c r="N58" s="92"/>
      <c r="O58" s="92"/>
      <c r="P58" s="92"/>
      <c r="Q58" s="92"/>
      <c r="R58" s="92"/>
      <c r="S58" s="92"/>
      <c r="T58" s="92"/>
      <c r="U58" s="470"/>
      <c r="V58" s="470"/>
      <c r="W58" s="470"/>
      <c r="X58" s="470"/>
      <c r="Y58" s="470"/>
    </row>
    <row r="59" spans="2:25" ht="10.5" customHeight="1">
      <c r="N59" s="92"/>
      <c r="O59" s="92"/>
      <c r="P59" s="92"/>
      <c r="Q59" s="92"/>
      <c r="R59" s="470"/>
      <c r="S59" s="470"/>
      <c r="T59" s="92"/>
      <c r="U59" s="470"/>
      <c r="V59" s="470"/>
      <c r="W59" s="470"/>
      <c r="X59" s="470"/>
      <c r="Y59" s="470"/>
    </row>
    <row r="60" spans="2:25" ht="140.4">
      <c r="B60" s="620" t="s">
        <v>2100</v>
      </c>
      <c r="C60" s="621" t="s">
        <v>1912</v>
      </c>
      <c r="D60" s="622" t="s">
        <v>1892</v>
      </c>
      <c r="E60" s="622" t="s">
        <v>3221</v>
      </c>
      <c r="F60" s="622" t="s">
        <v>3219</v>
      </c>
      <c r="G60" s="623" t="s">
        <v>3220</v>
      </c>
      <c r="S60" s="470"/>
      <c r="U60" s="470"/>
      <c r="V60" s="470"/>
      <c r="W60" s="470"/>
      <c r="X60" s="470"/>
      <c r="Y60" s="470"/>
    </row>
    <row r="61" spans="2:25" ht="15.6">
      <c r="B61" s="629" t="s">
        <v>302</v>
      </c>
      <c r="C61" s="625" t="s">
        <v>318</v>
      </c>
      <c r="D61" s="626">
        <v>10093</v>
      </c>
      <c r="E61" s="627">
        <v>0.737441791340533</v>
      </c>
      <c r="F61" s="627">
        <v>0.42851481224611115</v>
      </c>
      <c r="G61" s="628">
        <v>0</v>
      </c>
      <c r="S61" s="470"/>
      <c r="U61" s="470"/>
      <c r="V61" s="470"/>
      <c r="W61" s="470"/>
      <c r="X61" s="470"/>
      <c r="Y61" s="470"/>
    </row>
    <row r="62" spans="2:25" ht="15.6">
      <c r="B62" s="624" t="s">
        <v>312</v>
      </c>
      <c r="C62" s="625" t="s">
        <v>314</v>
      </c>
      <c r="D62" s="626">
        <v>24963</v>
      </c>
      <c r="E62" s="627">
        <v>1</v>
      </c>
      <c r="F62" s="627">
        <v>0.51311941673677042</v>
      </c>
      <c r="G62" s="628">
        <v>0</v>
      </c>
      <c r="S62" s="470"/>
      <c r="U62" s="470"/>
      <c r="V62" s="470"/>
      <c r="W62" s="470"/>
      <c r="X62" s="470"/>
      <c r="Y62" s="470"/>
    </row>
    <row r="63" spans="2:25" ht="15.6">
      <c r="B63" s="624" t="s">
        <v>399</v>
      </c>
      <c r="C63" s="625" t="s">
        <v>398</v>
      </c>
      <c r="D63" s="626">
        <v>217</v>
      </c>
      <c r="E63" s="627">
        <v>1</v>
      </c>
      <c r="F63" s="627">
        <v>1</v>
      </c>
      <c r="G63" s="628">
        <v>1</v>
      </c>
      <c r="S63" s="470"/>
      <c r="U63" s="470"/>
      <c r="V63" s="470"/>
      <c r="W63" s="470"/>
      <c r="X63" s="470"/>
      <c r="Y63" s="470"/>
    </row>
    <row r="64" spans="2:25" ht="15.6">
      <c r="B64" s="624" t="s">
        <v>402</v>
      </c>
      <c r="C64" s="625" t="s">
        <v>2705</v>
      </c>
      <c r="D64" s="626">
        <v>15380</v>
      </c>
      <c r="E64" s="627">
        <v>1</v>
      </c>
      <c r="F64" s="627">
        <v>0.12483745123537061</v>
      </c>
      <c r="G64" s="628">
        <v>0.27932379713914174</v>
      </c>
      <c r="S64" s="470"/>
      <c r="U64" s="470"/>
      <c r="V64" s="470"/>
      <c r="W64" s="470"/>
      <c r="X64" s="470"/>
      <c r="Y64" s="470"/>
    </row>
    <row r="65" spans="2:25" ht="29.4" thickBot="1">
      <c r="B65" s="624" t="s">
        <v>295</v>
      </c>
      <c r="C65" s="743" t="s">
        <v>3202</v>
      </c>
      <c r="D65" s="626">
        <v>90368</v>
      </c>
      <c r="E65" s="627">
        <v>0.70496193342776203</v>
      </c>
      <c r="F65" s="627">
        <v>0.28496813031161472</v>
      </c>
      <c r="G65" s="628">
        <v>0.28558781869688388</v>
      </c>
      <c r="S65" s="470"/>
      <c r="U65" s="470"/>
      <c r="V65" s="470"/>
      <c r="W65" s="470"/>
      <c r="X65" s="470"/>
      <c r="Y65" s="470"/>
    </row>
    <row r="66" spans="2:25" ht="24.75" customHeight="1" thickTop="1">
      <c r="B66" s="178" t="s">
        <v>1893</v>
      </c>
      <c r="C66" s="606" t="s">
        <v>2099</v>
      </c>
      <c r="D66" s="640">
        <f>SUBTOTAL(109,D61:D65)</f>
        <v>141021</v>
      </c>
      <c r="E66" s="179">
        <v>0.79214443238950227</v>
      </c>
      <c r="F66" s="179">
        <v>0.31926450670467521</v>
      </c>
      <c r="G66" s="180">
        <v>0.21501053034654413</v>
      </c>
      <c r="U66" s="470"/>
      <c r="V66" s="470"/>
      <c r="W66" s="470"/>
      <c r="X66" s="470"/>
      <c r="Y66" s="470"/>
    </row>
    <row r="67" spans="2:25" ht="15.6">
      <c r="U67" s="470"/>
      <c r="V67" s="470"/>
      <c r="W67" s="470"/>
      <c r="X67" s="470"/>
      <c r="Y67" s="470"/>
    </row>
    <row r="68" spans="2:25" ht="15.6">
      <c r="U68" s="470"/>
      <c r="V68" s="470"/>
      <c r="W68" s="470"/>
      <c r="X68" s="470"/>
      <c r="Y68" s="470"/>
    </row>
    <row r="69" spans="2:25" ht="15.6">
      <c r="U69" s="470"/>
      <c r="V69" s="470"/>
      <c r="W69" s="470"/>
      <c r="X69" s="470"/>
      <c r="Y69" s="470"/>
    </row>
    <row r="70" spans="2:25" ht="15.6">
      <c r="U70" s="470"/>
      <c r="V70" s="470"/>
      <c r="W70" s="470"/>
      <c r="X70" s="470"/>
      <c r="Y70" s="470"/>
    </row>
    <row r="71" spans="2:25" ht="15.6">
      <c r="U71" s="470"/>
      <c r="V71" s="470"/>
      <c r="W71" s="470"/>
      <c r="X71" s="470"/>
      <c r="Y71" s="470"/>
    </row>
    <row r="72" spans="2:25" ht="15.6">
      <c r="U72" s="470"/>
      <c r="V72" s="470"/>
      <c r="W72" s="470"/>
      <c r="X72" s="470"/>
      <c r="Y72" s="470"/>
    </row>
    <row r="73" spans="2:25" ht="15.6">
      <c r="U73" s="470"/>
      <c r="V73" s="470"/>
      <c r="W73" s="470"/>
      <c r="X73" s="470"/>
      <c r="Y73" s="470"/>
    </row>
    <row r="74" spans="2:25" ht="15.6">
      <c r="U74" s="470"/>
      <c r="V74" s="470"/>
      <c r="W74" s="470"/>
      <c r="X74" s="470"/>
      <c r="Y74" s="470"/>
    </row>
    <row r="75" spans="2:25" ht="15.6">
      <c r="U75" s="470"/>
      <c r="V75" s="470"/>
      <c r="W75" s="470"/>
      <c r="X75" s="470"/>
      <c r="Y75" s="470"/>
    </row>
    <row r="76" spans="2:25" ht="15.6">
      <c r="U76" s="470"/>
      <c r="V76" s="470"/>
      <c r="W76" s="470"/>
      <c r="X76" s="470"/>
      <c r="Y76" s="470"/>
    </row>
    <row r="77" spans="2:25" ht="15.6">
      <c r="U77" s="470"/>
      <c r="V77" s="763"/>
      <c r="W77" s="470"/>
      <c r="X77" s="470"/>
      <c r="Y77" s="470"/>
    </row>
    <row r="78" spans="2:25" ht="15.6">
      <c r="U78" s="470"/>
      <c r="V78" s="470"/>
      <c r="W78" s="470"/>
      <c r="X78" s="470"/>
      <c r="Y78" s="470"/>
    </row>
    <row r="79" spans="2:25" ht="15.6">
      <c r="U79" s="470"/>
      <c r="V79" s="470"/>
      <c r="W79" s="470"/>
      <c r="X79" s="470"/>
      <c r="Y79" s="470"/>
    </row>
    <row r="80" spans="2:25" ht="15.6">
      <c r="U80" s="470"/>
      <c r="V80" s="470"/>
      <c r="W80" s="470"/>
      <c r="X80" s="470"/>
      <c r="Y80" s="470"/>
    </row>
    <row r="81" spans="21:25" ht="15.6">
      <c r="U81" s="470"/>
      <c r="V81" s="470"/>
      <c r="W81" s="470"/>
      <c r="X81" s="470"/>
      <c r="Y81" s="470"/>
    </row>
    <row r="82" spans="21:25" ht="15.6">
      <c r="U82" s="470"/>
      <c r="V82" s="470"/>
      <c r="W82" s="470"/>
      <c r="X82" s="470"/>
      <c r="Y82" s="470"/>
    </row>
    <row r="83" spans="21:25" ht="15.6">
      <c r="U83" s="470"/>
      <c r="V83" s="470"/>
      <c r="W83" s="470"/>
      <c r="X83" s="470"/>
      <c r="Y83" s="470"/>
    </row>
    <row r="84" spans="21:25" ht="15.6">
      <c r="U84" s="470"/>
      <c r="V84" s="470"/>
      <c r="W84" s="470"/>
      <c r="X84" s="470"/>
      <c r="Y84" s="470"/>
    </row>
    <row r="85" spans="21:25" ht="15.6">
      <c r="U85" s="470"/>
      <c r="V85" s="470"/>
      <c r="W85" s="470"/>
      <c r="X85" s="470"/>
      <c r="Y85" s="470"/>
    </row>
    <row r="86" spans="21:25" ht="15.6">
      <c r="U86" s="470"/>
      <c r="V86" s="470"/>
      <c r="W86" s="470"/>
      <c r="X86" s="470"/>
      <c r="Y86" s="470"/>
    </row>
    <row r="87" spans="21:25" ht="15.6">
      <c r="U87" s="470"/>
      <c r="V87" s="470"/>
      <c r="W87" s="470"/>
      <c r="X87" s="470"/>
      <c r="Y87" s="470"/>
    </row>
    <row r="88" spans="21:25" ht="15.6">
      <c r="U88" s="470"/>
      <c r="V88" s="470"/>
      <c r="W88" s="470"/>
      <c r="X88" s="470"/>
      <c r="Y88" s="470"/>
    </row>
    <row r="89" spans="21:25" ht="15.6">
      <c r="U89" s="470"/>
      <c r="V89" s="470"/>
      <c r="W89" s="470"/>
      <c r="X89" s="470"/>
      <c r="Y89" s="470"/>
    </row>
    <row r="90" spans="21:25" ht="15.6">
      <c r="U90" s="470"/>
      <c r="V90" s="470"/>
      <c r="W90" s="470"/>
      <c r="X90" s="470"/>
      <c r="Y90" s="470"/>
    </row>
    <row r="91" spans="21:25" ht="15.6">
      <c r="U91" s="470"/>
      <c r="V91" s="470"/>
      <c r="W91" s="470"/>
      <c r="X91" s="470"/>
      <c r="Y91" s="470"/>
    </row>
    <row r="92" spans="21:25" ht="15.6">
      <c r="U92" s="470"/>
      <c r="V92" s="470"/>
      <c r="W92" s="470"/>
      <c r="X92" s="470"/>
      <c r="Y92" s="470"/>
    </row>
    <row r="93" spans="21:25" ht="15.6">
      <c r="U93" s="470"/>
      <c r="V93" s="470"/>
      <c r="W93" s="470"/>
      <c r="X93" s="470"/>
      <c r="Y93" s="470"/>
    </row>
    <row r="94" spans="21:25" ht="15.6">
      <c r="U94" s="470"/>
      <c r="V94" s="470"/>
      <c r="W94" s="470"/>
      <c r="X94" s="470"/>
      <c r="Y94" s="470"/>
    </row>
    <row r="95" spans="21:25" ht="15.6">
      <c r="W95" s="470"/>
      <c r="X95" s="470"/>
    </row>
    <row r="96" spans="21:25" ht="15.6">
      <c r="W96" s="470"/>
      <c r="X96" s="470"/>
    </row>
    <row r="97" spans="23:24" ht="15.6">
      <c r="W97" s="470"/>
      <c r="X97" s="470"/>
    </row>
    <row r="98" spans="23:24" ht="15.6">
      <c r="W98" s="470"/>
      <c r="X98" s="470"/>
    </row>
    <row r="99" spans="23:24" ht="15.6">
      <c r="W99" s="470"/>
      <c r="X99" s="470"/>
    </row>
    <row r="100" spans="23:24" ht="15.6">
      <c r="W100" s="470"/>
      <c r="X100" s="470"/>
    </row>
    <row r="101" spans="23:24" ht="15.6">
      <c r="W101" s="470"/>
      <c r="X101" s="470"/>
    </row>
    <row r="102" spans="23:24" ht="15.6">
      <c r="W102" s="470"/>
      <c r="X102" s="470"/>
    </row>
    <row r="103" spans="23:24" ht="15.6">
      <c r="W103" s="470"/>
      <c r="X103" s="470"/>
    </row>
    <row r="104" spans="23:24" ht="15.6">
      <c r="W104" s="470"/>
      <c r="X104" s="470"/>
    </row>
    <row r="105" spans="23:24" ht="15.6">
      <c r="W105" s="470"/>
      <c r="X105" s="470"/>
    </row>
    <row r="106" spans="23:24" ht="15.6">
      <c r="W106" s="470"/>
      <c r="X106" s="470"/>
    </row>
    <row r="107" spans="23:24" ht="15.6">
      <c r="W107" s="470"/>
      <c r="X107" s="470"/>
    </row>
    <row r="108" spans="23:24" ht="15.6">
      <c r="W108" s="470"/>
      <c r="X108" s="470"/>
    </row>
    <row r="109" spans="23:24" ht="15.6">
      <c r="W109" s="470"/>
      <c r="X109" s="470"/>
    </row>
    <row r="110" spans="23:24" ht="15.6">
      <c r="W110" s="470"/>
      <c r="X110" s="470"/>
    </row>
    <row r="111" spans="23:24" ht="15.6">
      <c r="W111" s="470"/>
      <c r="X111" s="470"/>
    </row>
    <row r="112" spans="23:24" ht="15.6">
      <c r="W112" s="470"/>
      <c r="X112" s="470"/>
    </row>
    <row r="113" spans="23:24" ht="15.6">
      <c r="W113" s="470"/>
      <c r="X113" s="470"/>
    </row>
    <row r="114" spans="23:24" ht="15.6">
      <c r="W114" s="470"/>
      <c r="X114" s="470"/>
    </row>
    <row r="115" spans="23:24" ht="15.6">
      <c r="W115" s="470"/>
      <c r="X115" s="470"/>
    </row>
    <row r="116" spans="23:24" ht="15.6">
      <c r="W116" s="470"/>
      <c r="X116" s="470"/>
    </row>
    <row r="117" spans="23:24" ht="15.6">
      <c r="W117" s="470"/>
      <c r="X117" s="470"/>
    </row>
    <row r="118" spans="23:24" ht="15.6">
      <c r="W118" s="470"/>
      <c r="X118" s="470"/>
    </row>
    <row r="119" spans="23:24" ht="15.6">
      <c r="W119" s="470"/>
      <c r="X119" s="470"/>
    </row>
    <row r="120" spans="23:24" ht="15.6">
      <c r="W120" s="470"/>
      <c r="X120" s="470"/>
    </row>
    <row r="121" spans="23:24" ht="15.6">
      <c r="W121" s="470"/>
      <c r="X121" s="470"/>
    </row>
    <row r="122" spans="23:24" ht="15.6">
      <c r="W122" s="470"/>
      <c r="X122" s="470"/>
    </row>
    <row r="123" spans="23:24" ht="15.6">
      <c r="W123" s="470"/>
      <c r="X123" s="470"/>
    </row>
    <row r="124" spans="23:24" ht="15.6">
      <c r="W124" s="470"/>
      <c r="X124" s="470"/>
    </row>
    <row r="125" spans="23:24" ht="15.6">
      <c r="W125" s="470"/>
      <c r="X125" s="470"/>
    </row>
    <row r="126" spans="23:24" ht="15.6">
      <c r="W126" s="470"/>
      <c r="X126" s="470"/>
    </row>
    <row r="127" spans="23:24" ht="15.6">
      <c r="W127" s="470"/>
      <c r="X127" s="470"/>
    </row>
    <row r="128" spans="23:24" ht="15.6">
      <c r="W128" s="470"/>
      <c r="X128" s="470"/>
    </row>
  </sheetData>
  <mergeCells count="1">
    <mergeCell ref="B1:Q1"/>
  </mergeCells>
  <conditionalFormatting sqref="E61:G66">
    <cfRule type="iconSet" priority="12542">
      <iconSet>
        <cfvo type="percent" val="0"/>
        <cfvo type="num" val="0.7" gte="0"/>
        <cfvo type="num" val="1"/>
      </iconSet>
    </cfRule>
  </conditionalFormatting>
  <printOptions horizontalCentered="1" verticalCentered="1"/>
  <pageMargins left="0" right="0" top="0" bottom="0" header="0.3" footer="0.3"/>
  <pageSetup paperSize="9" scale="50"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573"/>
  <sheetViews>
    <sheetView showGridLines="0" topLeftCell="F1" zoomScale="91" zoomScaleNormal="91" workbookViewId="0">
      <selection activeCell="A25" sqref="A1:E1048576"/>
    </sheetView>
  </sheetViews>
  <sheetFormatPr defaultColWidth="9" defaultRowHeight="15.6"/>
  <cols>
    <col min="1" max="1" width="25.19921875" style="58" hidden="1" customWidth="1"/>
    <col min="2" max="2" width="16.19921875" style="58" hidden="1" customWidth="1"/>
    <col min="3" max="3" width="58.09765625" style="58" hidden="1" customWidth="1"/>
    <col min="4" max="4" width="46.19921875" style="58" hidden="1" customWidth="1"/>
    <col min="5" max="5" width="73.5" style="58" hidden="1" customWidth="1"/>
    <col min="6" max="6" width="37.19921875" style="58" customWidth="1"/>
    <col min="7" max="7" width="59.19921875" style="58" customWidth="1"/>
    <col min="8" max="16384" width="9" style="58"/>
  </cols>
  <sheetData>
    <row r="1" spans="1:20" ht="25.8">
      <c r="A1" s="912" t="s">
        <v>3313</v>
      </c>
      <c r="B1" s="912"/>
      <c r="C1" s="912"/>
      <c r="D1" s="912"/>
      <c r="E1" s="912"/>
      <c r="F1" s="912"/>
      <c r="G1" s="912"/>
      <c r="H1" s="912"/>
      <c r="I1" s="912"/>
      <c r="J1" s="912"/>
      <c r="K1" s="912"/>
      <c r="L1" s="912"/>
      <c r="M1" s="912"/>
      <c r="N1" s="912"/>
      <c r="O1" s="912"/>
      <c r="P1" s="912"/>
      <c r="Q1" s="912"/>
      <c r="R1" s="912"/>
      <c r="S1" s="912"/>
      <c r="T1" s="912"/>
    </row>
    <row r="33" spans="1:7">
      <c r="A33"/>
      <c r="B33"/>
    </row>
    <row r="34" spans="1:7">
      <c r="A34" s="797" t="s">
        <v>18</v>
      </c>
      <c r="B34" s="798" t="s">
        <v>3199</v>
      </c>
    </row>
    <row r="35" spans="1:7">
      <c r="A35" s="834" t="s">
        <v>20</v>
      </c>
      <c r="B35" s="798" t="s">
        <v>295</v>
      </c>
    </row>
    <row r="36" spans="1:7">
      <c r="A36" s="834" t="s">
        <v>19</v>
      </c>
      <c r="B36" s="798" t="s">
        <v>2648</v>
      </c>
    </row>
    <row r="37" spans="1:7">
      <c r="C37" s="177"/>
      <c r="D37" s="177"/>
      <c r="E37" s="177"/>
    </row>
    <row r="38" spans="1:7" s="94" customFormat="1">
      <c r="A38" s="797" t="s">
        <v>2895</v>
      </c>
      <c r="B38" s="824" t="s">
        <v>1927</v>
      </c>
      <c r="C38" s="798" t="s">
        <v>2706</v>
      </c>
      <c r="D38" s="798" t="s">
        <v>2707</v>
      </c>
      <c r="E38" s="798" t="s">
        <v>2708</v>
      </c>
      <c r="F38"/>
      <c r="G38"/>
    </row>
    <row r="39" spans="1:7">
      <c r="A39" s="798" t="s">
        <v>1089</v>
      </c>
      <c r="B39" s="809">
        <v>1435</v>
      </c>
      <c r="C39" s="809">
        <v>0</v>
      </c>
      <c r="D39" s="809">
        <v>791.99999999999989</v>
      </c>
      <c r="E39" s="809">
        <v>1435</v>
      </c>
      <c r="F39"/>
      <c r="G39"/>
    </row>
    <row r="40" spans="1:7">
      <c r="A40" s="798" t="s">
        <v>2590</v>
      </c>
      <c r="B40" s="809">
        <v>4476</v>
      </c>
      <c r="C40" s="809">
        <v>0</v>
      </c>
      <c r="D40" s="809">
        <v>1302.0000000000002</v>
      </c>
      <c r="E40" s="809">
        <v>4476</v>
      </c>
      <c r="F40"/>
      <c r="G40"/>
    </row>
    <row r="41" spans="1:7">
      <c r="A41" s="798" t="s">
        <v>2577</v>
      </c>
      <c r="B41" s="809">
        <v>1083</v>
      </c>
      <c r="C41" s="809">
        <v>0</v>
      </c>
      <c r="D41" s="809">
        <v>672</v>
      </c>
      <c r="E41" s="809">
        <v>1083</v>
      </c>
      <c r="F41"/>
      <c r="G41"/>
    </row>
    <row r="42" spans="1:7">
      <c r="A42" s="798" t="s">
        <v>2591</v>
      </c>
      <c r="B42" s="809">
        <v>1867</v>
      </c>
      <c r="C42" s="809">
        <v>0</v>
      </c>
      <c r="D42" s="809">
        <v>1260</v>
      </c>
      <c r="E42" s="809">
        <v>1867</v>
      </c>
      <c r="F42"/>
      <c r="G42"/>
    </row>
    <row r="43" spans="1:7">
      <c r="A43" s="798" t="s">
        <v>1743</v>
      </c>
      <c r="B43" s="809">
        <v>3768</v>
      </c>
      <c r="C43" s="809">
        <v>0</v>
      </c>
      <c r="D43" s="809">
        <v>1194</v>
      </c>
      <c r="E43" s="809">
        <v>3768</v>
      </c>
      <c r="F43"/>
      <c r="G43"/>
    </row>
    <row r="44" spans="1:7">
      <c r="A44" s="798" t="s">
        <v>2578</v>
      </c>
      <c r="B44" s="809">
        <v>373</v>
      </c>
      <c r="C44" s="809">
        <v>0</v>
      </c>
      <c r="D44" s="809">
        <v>264</v>
      </c>
      <c r="E44" s="809">
        <v>373</v>
      </c>
      <c r="F44"/>
      <c r="G44"/>
    </row>
    <row r="45" spans="1:7">
      <c r="A45" s="798" t="s">
        <v>2579</v>
      </c>
      <c r="B45" s="809">
        <v>481</v>
      </c>
      <c r="C45" s="809">
        <v>0</v>
      </c>
      <c r="D45" s="809">
        <v>402</v>
      </c>
      <c r="E45" s="809">
        <v>481</v>
      </c>
      <c r="F45"/>
      <c r="G45"/>
    </row>
    <row r="46" spans="1:7">
      <c r="A46" s="798" t="s">
        <v>2006</v>
      </c>
      <c r="B46" s="809">
        <v>2168</v>
      </c>
      <c r="C46" s="809">
        <v>0</v>
      </c>
      <c r="D46" s="809">
        <v>1296</v>
      </c>
      <c r="E46" s="809">
        <v>2168</v>
      </c>
      <c r="F46"/>
      <c r="G46"/>
    </row>
    <row r="47" spans="1:7">
      <c r="A47" s="798" t="s">
        <v>2593</v>
      </c>
      <c r="B47" s="809">
        <v>715</v>
      </c>
      <c r="C47" s="809">
        <v>0</v>
      </c>
      <c r="D47" s="809">
        <v>715</v>
      </c>
      <c r="E47" s="809">
        <v>715</v>
      </c>
      <c r="F47"/>
      <c r="G47"/>
    </row>
    <row r="48" spans="1:7">
      <c r="A48" s="798" t="s">
        <v>2002</v>
      </c>
      <c r="B48" s="809">
        <v>656</v>
      </c>
      <c r="C48" s="809">
        <v>0</v>
      </c>
      <c r="D48" s="809">
        <v>468</v>
      </c>
      <c r="E48" s="809">
        <v>656</v>
      </c>
      <c r="F48"/>
      <c r="G48"/>
    </row>
    <row r="49" spans="1:7">
      <c r="A49" s="798" t="s">
        <v>2583</v>
      </c>
      <c r="B49" s="809">
        <v>1117</v>
      </c>
      <c r="C49" s="809">
        <v>0</v>
      </c>
      <c r="D49" s="809">
        <v>1117</v>
      </c>
      <c r="E49" s="809">
        <v>1117</v>
      </c>
      <c r="F49"/>
      <c r="G49"/>
    </row>
    <row r="50" spans="1:7">
      <c r="A50" s="798" t="s">
        <v>2582</v>
      </c>
      <c r="B50" s="809">
        <v>741</v>
      </c>
      <c r="C50" s="809">
        <v>0</v>
      </c>
      <c r="D50" s="809">
        <v>738</v>
      </c>
      <c r="E50" s="809">
        <v>741</v>
      </c>
      <c r="F50"/>
      <c r="G50"/>
    </row>
    <row r="51" spans="1:7">
      <c r="A51" s="798" t="s">
        <v>2581</v>
      </c>
      <c r="B51" s="809">
        <v>978</v>
      </c>
      <c r="C51" s="809">
        <v>0</v>
      </c>
      <c r="D51" s="809">
        <v>708</v>
      </c>
      <c r="E51" s="809">
        <v>978</v>
      </c>
      <c r="F51"/>
      <c r="G51"/>
    </row>
    <row r="52" spans="1:7">
      <c r="A52" s="798" t="s">
        <v>2586</v>
      </c>
      <c r="B52" s="809">
        <v>1027</v>
      </c>
      <c r="C52" s="809">
        <v>0</v>
      </c>
      <c r="D52" s="809">
        <v>396</v>
      </c>
      <c r="E52" s="809">
        <v>1027</v>
      </c>
      <c r="F52"/>
      <c r="G52"/>
    </row>
    <row r="53" spans="1:7">
      <c r="A53" s="798" t="s">
        <v>2588</v>
      </c>
      <c r="B53" s="809">
        <v>369</v>
      </c>
      <c r="C53" s="809">
        <v>0</v>
      </c>
      <c r="D53" s="809">
        <v>348</v>
      </c>
      <c r="E53" s="809">
        <v>369</v>
      </c>
      <c r="F53"/>
      <c r="G53"/>
    </row>
    <row r="54" spans="1:7">
      <c r="A54" s="798" t="s">
        <v>2587</v>
      </c>
      <c r="B54" s="809">
        <v>370</v>
      </c>
      <c r="C54" s="809">
        <v>0</v>
      </c>
      <c r="D54" s="809">
        <v>370</v>
      </c>
      <c r="E54" s="809">
        <v>370</v>
      </c>
      <c r="F54"/>
      <c r="G54"/>
    </row>
    <row r="55" spans="1:7">
      <c r="A55" s="798" t="s">
        <v>2589</v>
      </c>
      <c r="B55" s="809">
        <v>1369</v>
      </c>
      <c r="C55" s="809">
        <v>0</v>
      </c>
      <c r="D55" s="809">
        <v>1314</v>
      </c>
      <c r="E55" s="809">
        <v>1369</v>
      </c>
      <c r="F55"/>
      <c r="G55"/>
    </row>
    <row r="56" spans="1:7">
      <c r="A56" s="798" t="s">
        <v>2592</v>
      </c>
      <c r="B56" s="809">
        <v>1750</v>
      </c>
      <c r="C56" s="809">
        <v>0</v>
      </c>
      <c r="D56" s="809">
        <v>1188</v>
      </c>
      <c r="E56" s="809">
        <v>1750</v>
      </c>
      <c r="F56"/>
      <c r="G56"/>
    </row>
    <row r="57" spans="1:7">
      <c r="A57" s="798" t="s">
        <v>446</v>
      </c>
      <c r="B57" s="809">
        <v>658</v>
      </c>
      <c r="C57" s="809">
        <v>0</v>
      </c>
      <c r="D57" s="809">
        <v>588</v>
      </c>
      <c r="E57" s="809">
        <v>658</v>
      </c>
      <c r="F57"/>
      <c r="G57"/>
    </row>
    <row r="58" spans="1:7">
      <c r="A58" s="798" t="s">
        <v>2595</v>
      </c>
      <c r="B58" s="809">
        <v>12993</v>
      </c>
      <c r="C58" s="809">
        <v>0</v>
      </c>
      <c r="D58" s="809">
        <v>1308</v>
      </c>
      <c r="E58" s="809">
        <v>12993</v>
      </c>
      <c r="F58"/>
      <c r="G58"/>
    </row>
    <row r="59" spans="1:7">
      <c r="A59" s="798" t="s">
        <v>2226</v>
      </c>
      <c r="B59" s="809">
        <v>1901</v>
      </c>
      <c r="C59" s="809">
        <v>0</v>
      </c>
      <c r="D59" s="809">
        <v>0</v>
      </c>
      <c r="E59" s="809">
        <v>0</v>
      </c>
      <c r="F59"/>
      <c r="G59"/>
    </row>
    <row r="60" spans="1:7">
      <c r="A60" s="798" t="s">
        <v>874</v>
      </c>
      <c r="B60" s="809">
        <v>1574</v>
      </c>
      <c r="C60" s="809">
        <v>0</v>
      </c>
      <c r="D60" s="809">
        <v>816</v>
      </c>
      <c r="E60" s="809">
        <v>1574</v>
      </c>
      <c r="F60"/>
      <c r="G60"/>
    </row>
    <row r="61" spans="1:7">
      <c r="A61" s="798" t="s">
        <v>2580</v>
      </c>
      <c r="B61" s="809">
        <v>454</v>
      </c>
      <c r="C61" s="809">
        <v>0</v>
      </c>
      <c r="D61" s="809">
        <v>454</v>
      </c>
      <c r="E61" s="809">
        <v>454</v>
      </c>
      <c r="F61"/>
      <c r="G61"/>
    </row>
    <row r="62" spans="1:7">
      <c r="A62" s="798" t="s">
        <v>2005</v>
      </c>
      <c r="B62" s="809">
        <v>1529</v>
      </c>
      <c r="C62" s="809">
        <v>0</v>
      </c>
      <c r="D62" s="809">
        <v>1116</v>
      </c>
      <c r="E62" s="809">
        <v>1529</v>
      </c>
      <c r="F62"/>
      <c r="G62"/>
    </row>
    <row r="63" spans="1:7">
      <c r="A63" s="798" t="s">
        <v>669</v>
      </c>
      <c r="B63" s="809">
        <v>1473</v>
      </c>
      <c r="C63" s="809">
        <v>0</v>
      </c>
      <c r="D63" s="809">
        <v>474</v>
      </c>
      <c r="E63" s="809">
        <v>1473</v>
      </c>
      <c r="F63"/>
      <c r="G63"/>
    </row>
    <row r="64" spans="1:7">
      <c r="A64" s="798" t="s">
        <v>1639</v>
      </c>
      <c r="B64" s="809">
        <v>45325</v>
      </c>
      <c r="C64" s="809">
        <v>0</v>
      </c>
      <c r="D64" s="809">
        <v>19300</v>
      </c>
      <c r="E64" s="809">
        <v>43424</v>
      </c>
      <c r="F64"/>
      <c r="G64"/>
    </row>
    <row r="65" spans="1:7">
      <c r="A65"/>
      <c r="B65"/>
      <c r="C65"/>
      <c r="D65"/>
      <c r="E65"/>
      <c r="F65"/>
      <c r="G65"/>
    </row>
    <row r="66" spans="1:7">
      <c r="A66"/>
      <c r="B66"/>
      <c r="C66"/>
      <c r="D66"/>
      <c r="E66"/>
      <c r="F66"/>
      <c r="G66"/>
    </row>
    <row r="67" spans="1:7">
      <c r="A67"/>
      <c r="B67"/>
      <c r="C67"/>
      <c r="D67"/>
      <c r="E67"/>
      <c r="F67"/>
      <c r="G67"/>
    </row>
    <row r="68" spans="1:7">
      <c r="A68"/>
      <c r="B68"/>
      <c r="C68"/>
      <c r="D68"/>
      <c r="E68"/>
      <c r="F68"/>
      <c r="G68"/>
    </row>
    <row r="69" spans="1:7">
      <c r="A69"/>
      <c r="B69"/>
      <c r="C69"/>
      <c r="D69"/>
      <c r="E69"/>
      <c r="F69"/>
      <c r="G69"/>
    </row>
    <row r="70" spans="1:7">
      <c r="A70"/>
      <c r="B70"/>
      <c r="C70"/>
      <c r="D70"/>
      <c r="E70"/>
      <c r="F70"/>
      <c r="G70"/>
    </row>
    <row r="71" spans="1:7">
      <c r="A71"/>
      <c r="B71"/>
      <c r="C71"/>
      <c r="D71"/>
      <c r="E71"/>
      <c r="F71"/>
      <c r="G71"/>
    </row>
    <row r="72" spans="1:7">
      <c r="A72"/>
      <c r="B72"/>
      <c r="C72"/>
      <c r="D72"/>
      <c r="E72"/>
      <c r="F72"/>
      <c r="G72"/>
    </row>
    <row r="73" spans="1:7">
      <c r="A73"/>
      <c r="B73"/>
      <c r="C73"/>
      <c r="D73"/>
      <c r="E73"/>
      <c r="F73"/>
      <c r="G73"/>
    </row>
    <row r="74" spans="1:7">
      <c r="A74"/>
      <c r="B74"/>
      <c r="C74"/>
      <c r="D74"/>
      <c r="E74"/>
      <c r="F74"/>
      <c r="G74"/>
    </row>
    <row r="75" spans="1:7">
      <c r="A75"/>
      <c r="B75"/>
      <c r="C75"/>
      <c r="D75"/>
      <c r="E75"/>
      <c r="F75"/>
      <c r="G75"/>
    </row>
    <row r="76" spans="1:7">
      <c r="A76"/>
      <c r="B76"/>
      <c r="C76"/>
      <c r="D76"/>
      <c r="E76"/>
      <c r="F76"/>
      <c r="G76"/>
    </row>
    <row r="77" spans="1:7">
      <c r="A77"/>
      <c r="B77"/>
      <c r="C77"/>
      <c r="D77"/>
      <c r="E77"/>
      <c r="F77"/>
      <c r="G77"/>
    </row>
    <row r="78" spans="1:7">
      <c r="A78"/>
      <c r="B78"/>
      <c r="C78"/>
      <c r="D78"/>
      <c r="E78"/>
      <c r="F78"/>
      <c r="G78"/>
    </row>
    <row r="79" spans="1:7">
      <c r="A79"/>
      <c r="B79"/>
      <c r="C79"/>
      <c r="D79"/>
      <c r="E79"/>
      <c r="F79"/>
      <c r="G79"/>
    </row>
    <row r="80" spans="1:7">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row>
    <row r="173" spans="1:7">
      <c r="A173"/>
      <c r="B173"/>
      <c r="C173"/>
      <c r="D173"/>
      <c r="E173"/>
    </row>
    <row r="174" spans="1:7">
      <c r="A174"/>
      <c r="B174"/>
      <c r="C174"/>
      <c r="D174"/>
      <c r="E174"/>
    </row>
    <row r="175" spans="1:7">
      <c r="A175"/>
      <c r="B175"/>
      <c r="C175"/>
      <c r="D175"/>
      <c r="E175"/>
    </row>
    <row r="176" spans="1:7">
      <c r="A176"/>
      <c r="B176"/>
      <c r="C176"/>
      <c r="D176"/>
      <c r="E176"/>
    </row>
    <row r="177" spans="1:5">
      <c r="A177"/>
      <c r="B177"/>
      <c r="C177"/>
      <c r="D177"/>
      <c r="E177"/>
    </row>
    <row r="178" spans="1:5">
      <c r="A178"/>
      <c r="B178"/>
      <c r="C178"/>
      <c r="D178"/>
      <c r="E178"/>
    </row>
    <row r="179" spans="1:5">
      <c r="A179"/>
      <c r="B179"/>
      <c r="C179"/>
      <c r="D179"/>
      <c r="E179"/>
    </row>
    <row r="180" spans="1:5">
      <c r="A180"/>
      <c r="B180"/>
      <c r="C180"/>
      <c r="D180"/>
      <c r="E180"/>
    </row>
    <row r="181" spans="1:5">
      <c r="A181"/>
      <c r="B181"/>
      <c r="C181"/>
      <c r="D181"/>
      <c r="E181"/>
    </row>
    <row r="182" spans="1:5">
      <c r="A182"/>
      <c r="B182"/>
      <c r="C182"/>
      <c r="D182"/>
      <c r="E182"/>
    </row>
    <row r="183" spans="1:5">
      <c r="A183"/>
      <c r="B183"/>
      <c r="C183"/>
      <c r="D183"/>
      <c r="E183"/>
    </row>
    <row r="184" spans="1:5">
      <c r="A184"/>
      <c r="B184"/>
      <c r="C184"/>
      <c r="D184"/>
      <c r="E184"/>
    </row>
    <row r="185" spans="1:5">
      <c r="A185"/>
      <c r="B185"/>
      <c r="C185"/>
      <c r="D185"/>
      <c r="E185"/>
    </row>
    <row r="186" spans="1:5">
      <c r="A186"/>
      <c r="B186"/>
      <c r="C186"/>
      <c r="D186"/>
      <c r="E186"/>
    </row>
    <row r="187" spans="1:5">
      <c r="A187"/>
      <c r="B187"/>
      <c r="C187"/>
      <c r="D187"/>
      <c r="E187"/>
    </row>
    <row r="188" spans="1:5">
      <c r="A188"/>
      <c r="B188"/>
      <c r="C188"/>
      <c r="D188"/>
      <c r="E188"/>
    </row>
    <row r="189" spans="1:5">
      <c r="A189"/>
      <c r="B189"/>
      <c r="C189"/>
      <c r="D189"/>
      <c r="E189"/>
    </row>
    <row r="190" spans="1:5">
      <c r="A190"/>
      <c r="B190"/>
      <c r="C190"/>
      <c r="D190"/>
      <c r="E190"/>
    </row>
    <row r="191" spans="1:5">
      <c r="A191"/>
      <c r="B191"/>
      <c r="C191"/>
      <c r="D191"/>
      <c r="E191"/>
    </row>
    <row r="192" spans="1:5">
      <c r="A192"/>
      <c r="B192"/>
      <c r="C192"/>
      <c r="D192"/>
      <c r="E192"/>
    </row>
    <row r="193" spans="1:5">
      <c r="A193"/>
      <c r="B193"/>
      <c r="C193"/>
      <c r="D193"/>
      <c r="E193"/>
    </row>
    <row r="194" spans="1:5">
      <c r="A194"/>
      <c r="B194"/>
      <c r="C194"/>
      <c r="D194"/>
      <c r="E194"/>
    </row>
    <row r="195" spans="1:5">
      <c r="A195"/>
      <c r="B195"/>
      <c r="C195"/>
      <c r="D195"/>
      <c r="E195"/>
    </row>
    <row r="196" spans="1:5">
      <c r="A196"/>
      <c r="B196"/>
      <c r="C196"/>
      <c r="D196"/>
      <c r="E196"/>
    </row>
    <row r="197" spans="1:5">
      <c r="A197"/>
      <c r="B197"/>
      <c r="C197"/>
      <c r="D197"/>
      <c r="E197"/>
    </row>
    <row r="198" spans="1:5">
      <c r="A198"/>
      <c r="B198"/>
      <c r="C198"/>
      <c r="D198"/>
      <c r="E198"/>
    </row>
    <row r="199" spans="1:5">
      <c r="A199"/>
      <c r="B199"/>
      <c r="C199"/>
      <c r="D199"/>
      <c r="E199"/>
    </row>
    <row r="200" spans="1:5">
      <c r="A200"/>
      <c r="B200"/>
      <c r="C200"/>
      <c r="D200"/>
      <c r="E200"/>
    </row>
    <row r="201" spans="1:5">
      <c r="A201"/>
      <c r="B201"/>
      <c r="C201"/>
      <c r="D201"/>
      <c r="E201"/>
    </row>
    <row r="202" spans="1:5">
      <c r="A202"/>
      <c r="B202"/>
      <c r="C202"/>
      <c r="D202"/>
      <c r="E202"/>
    </row>
    <row r="203" spans="1:5">
      <c r="A203"/>
      <c r="B203"/>
      <c r="C203"/>
      <c r="D203"/>
      <c r="E203"/>
    </row>
    <row r="204" spans="1:5">
      <c r="A204"/>
      <c r="B204"/>
      <c r="C204"/>
      <c r="D204"/>
      <c r="E204"/>
    </row>
    <row r="205" spans="1:5">
      <c r="A205"/>
      <c r="B205"/>
      <c r="C205"/>
      <c r="D205"/>
      <c r="E205"/>
    </row>
    <row r="206" spans="1:5">
      <c r="A206"/>
      <c r="B206"/>
      <c r="C206"/>
      <c r="D206"/>
      <c r="E206"/>
    </row>
    <row r="207" spans="1:5">
      <c r="A207"/>
      <c r="B207"/>
      <c r="C207"/>
      <c r="D207"/>
      <c r="E207"/>
    </row>
    <row r="208" spans="1:5">
      <c r="A208"/>
      <c r="B208"/>
      <c r="C208"/>
      <c r="D208"/>
      <c r="E208"/>
    </row>
    <row r="209" spans="1:5">
      <c r="A209"/>
      <c r="B209"/>
      <c r="C209"/>
      <c r="D209"/>
      <c r="E209"/>
    </row>
    <row r="210" spans="1:5">
      <c r="A210"/>
      <c r="B210"/>
      <c r="C210"/>
      <c r="D210"/>
      <c r="E210"/>
    </row>
    <row r="211" spans="1:5">
      <c r="A211"/>
      <c r="B211"/>
      <c r="C211"/>
      <c r="D211"/>
      <c r="E211"/>
    </row>
    <row r="212" spans="1:5">
      <c r="A212"/>
      <c r="B212"/>
      <c r="C212"/>
      <c r="D212"/>
      <c r="E212"/>
    </row>
    <row r="213" spans="1:5">
      <c r="A213"/>
      <c r="B213"/>
      <c r="C213"/>
      <c r="D213"/>
      <c r="E213"/>
    </row>
    <row r="214" spans="1:5">
      <c r="A214"/>
      <c r="B214"/>
      <c r="C214"/>
      <c r="D214"/>
      <c r="E214"/>
    </row>
    <row r="215" spans="1:5">
      <c r="A215"/>
      <c r="B215"/>
      <c r="C215"/>
      <c r="D215"/>
      <c r="E215"/>
    </row>
    <row r="216" spans="1:5">
      <c r="A216"/>
      <c r="B216"/>
      <c r="C216"/>
      <c r="D216"/>
      <c r="E216"/>
    </row>
    <row r="217" spans="1:5">
      <c r="A217"/>
      <c r="B217"/>
      <c r="C217"/>
      <c r="D217"/>
      <c r="E217"/>
    </row>
    <row r="218" spans="1:5">
      <c r="A218"/>
      <c r="B218"/>
      <c r="C218"/>
      <c r="D218"/>
      <c r="E218"/>
    </row>
    <row r="219" spans="1:5">
      <c r="A219"/>
      <c r="B219"/>
      <c r="C219"/>
      <c r="D219"/>
      <c r="E219"/>
    </row>
    <row r="220" spans="1:5">
      <c r="A220"/>
      <c r="B220"/>
      <c r="C220"/>
      <c r="D220"/>
      <c r="E220"/>
    </row>
    <row r="221" spans="1:5">
      <c r="A221"/>
      <c r="B221"/>
      <c r="C221"/>
      <c r="D221"/>
      <c r="E221"/>
    </row>
    <row r="222" spans="1:5">
      <c r="A222"/>
      <c r="B222"/>
      <c r="C222"/>
      <c r="D222"/>
      <c r="E222"/>
    </row>
    <row r="223" spans="1:5">
      <c r="A223"/>
      <c r="B223"/>
      <c r="C223"/>
      <c r="D223"/>
      <c r="E223"/>
    </row>
    <row r="224" spans="1:5">
      <c r="A224"/>
      <c r="B224"/>
      <c r="C224"/>
      <c r="D224"/>
      <c r="E224"/>
    </row>
    <row r="225" spans="1:5">
      <c r="A225"/>
      <c r="B225"/>
      <c r="C225"/>
      <c r="D225"/>
      <c r="E225"/>
    </row>
    <row r="226" spans="1:5">
      <c r="A226"/>
      <c r="B226"/>
      <c r="C226"/>
      <c r="D226"/>
      <c r="E226"/>
    </row>
    <row r="227" spans="1:5">
      <c r="A227"/>
      <c r="B227"/>
      <c r="C227"/>
      <c r="D227"/>
      <c r="E227"/>
    </row>
    <row r="228" spans="1:5">
      <c r="A228"/>
      <c r="B228"/>
      <c r="C228"/>
      <c r="D228"/>
      <c r="E228"/>
    </row>
    <row r="229" spans="1:5">
      <c r="A229"/>
      <c r="B229"/>
      <c r="C229"/>
      <c r="D229"/>
      <c r="E229"/>
    </row>
    <row r="230" spans="1:5">
      <c r="A230"/>
      <c r="B230"/>
      <c r="C230"/>
      <c r="D230"/>
      <c r="E230"/>
    </row>
    <row r="231" spans="1:5">
      <c r="A231"/>
      <c r="B231"/>
      <c r="C231"/>
      <c r="D231"/>
      <c r="E231"/>
    </row>
    <row r="232" spans="1:5">
      <c r="A232"/>
      <c r="B232"/>
      <c r="C232"/>
      <c r="D232"/>
      <c r="E232"/>
    </row>
    <row r="233" spans="1:5">
      <c r="A233"/>
      <c r="B233"/>
      <c r="C233"/>
      <c r="D233"/>
      <c r="E233"/>
    </row>
    <row r="234" spans="1:5">
      <c r="A234"/>
      <c r="B234"/>
      <c r="C234"/>
      <c r="D234"/>
      <c r="E234"/>
    </row>
    <row r="235" spans="1:5">
      <c r="A235"/>
      <c r="B235"/>
      <c r="C235"/>
      <c r="D235"/>
      <c r="E235"/>
    </row>
    <row r="236" spans="1:5">
      <c r="A236"/>
      <c r="B236"/>
      <c r="C236"/>
      <c r="D236"/>
      <c r="E236"/>
    </row>
    <row r="237" spans="1:5">
      <c r="A237"/>
      <c r="B237"/>
      <c r="C237"/>
      <c r="D237"/>
      <c r="E237"/>
    </row>
    <row r="238" spans="1:5">
      <c r="A238"/>
      <c r="B238"/>
      <c r="C238"/>
      <c r="D238"/>
      <c r="E238"/>
    </row>
    <row r="239" spans="1:5">
      <c r="A239"/>
      <c r="B239"/>
      <c r="C239"/>
      <c r="D239"/>
      <c r="E239"/>
    </row>
    <row r="240" spans="1:5">
      <c r="A240"/>
      <c r="B240"/>
      <c r="C240"/>
      <c r="D240"/>
      <c r="E240"/>
    </row>
    <row r="241" spans="1:5">
      <c r="A241"/>
      <c r="B241"/>
      <c r="C241"/>
      <c r="D241"/>
      <c r="E241"/>
    </row>
    <row r="242" spans="1:5">
      <c r="A242"/>
      <c r="B242"/>
      <c r="C242"/>
      <c r="D242"/>
      <c r="E242"/>
    </row>
    <row r="243" spans="1:5">
      <c r="A243"/>
      <c r="B243"/>
      <c r="C243"/>
      <c r="D243"/>
      <c r="E243"/>
    </row>
    <row r="244" spans="1:5">
      <c r="A244"/>
      <c r="B244"/>
      <c r="C244"/>
      <c r="D244"/>
      <c r="E244"/>
    </row>
    <row r="245" spans="1:5">
      <c r="A245"/>
      <c r="B245"/>
      <c r="C245"/>
      <c r="D245"/>
      <c r="E245"/>
    </row>
    <row r="246" spans="1:5">
      <c r="A246"/>
      <c r="B246"/>
      <c r="C246"/>
      <c r="D246"/>
      <c r="E246"/>
    </row>
    <row r="247" spans="1:5">
      <c r="A247"/>
      <c r="B247"/>
      <c r="C247"/>
      <c r="D247"/>
      <c r="E247"/>
    </row>
    <row r="248" spans="1:5">
      <c r="A248"/>
      <c r="B248"/>
      <c r="C248"/>
      <c r="D248"/>
      <c r="E248"/>
    </row>
    <row r="249" spans="1:5">
      <c r="A249"/>
      <c r="B249"/>
      <c r="C249"/>
      <c r="D249"/>
      <c r="E249"/>
    </row>
    <row r="250" spans="1:5">
      <c r="A250"/>
      <c r="B250"/>
      <c r="C250"/>
      <c r="D250"/>
      <c r="E250"/>
    </row>
    <row r="251" spans="1:5">
      <c r="A251"/>
      <c r="B251"/>
      <c r="C251"/>
      <c r="D251"/>
      <c r="E251"/>
    </row>
    <row r="252" spans="1:5">
      <c r="A252"/>
      <c r="B252"/>
      <c r="C252"/>
      <c r="D252"/>
      <c r="E252"/>
    </row>
    <row r="253" spans="1:5">
      <c r="A253"/>
      <c r="B253"/>
      <c r="C253"/>
      <c r="D253"/>
      <c r="E253"/>
    </row>
    <row r="254" spans="1:5">
      <c r="A254"/>
      <c r="B254"/>
      <c r="C254"/>
      <c r="D254"/>
      <c r="E254"/>
    </row>
    <row r="255" spans="1:5">
      <c r="A255"/>
      <c r="B255"/>
      <c r="C255"/>
      <c r="D255"/>
      <c r="E255"/>
    </row>
    <row r="256" spans="1:5">
      <c r="A256"/>
      <c r="B256"/>
      <c r="C256"/>
      <c r="D256"/>
      <c r="E256"/>
    </row>
    <row r="257" spans="1:5">
      <c r="A257"/>
      <c r="B257"/>
      <c r="C257"/>
      <c r="D257"/>
      <c r="E257"/>
    </row>
    <row r="258" spans="1:5">
      <c r="A258"/>
      <c r="B258"/>
      <c r="C258"/>
      <c r="D258"/>
      <c r="E258"/>
    </row>
    <row r="259" spans="1:5">
      <c r="A259"/>
      <c r="B259"/>
      <c r="C259"/>
      <c r="D259"/>
      <c r="E259"/>
    </row>
    <row r="260" spans="1:5">
      <c r="A260"/>
      <c r="B260"/>
      <c r="C260"/>
      <c r="D260"/>
      <c r="E260"/>
    </row>
    <row r="261" spans="1:5">
      <c r="A261"/>
      <c r="B261"/>
      <c r="C261"/>
      <c r="D261"/>
      <c r="E261"/>
    </row>
    <row r="262" spans="1:5">
      <c r="A262"/>
      <c r="B262"/>
      <c r="C262"/>
      <c r="D262"/>
      <c r="E262"/>
    </row>
    <row r="263" spans="1:5">
      <c r="A263"/>
      <c r="B263"/>
      <c r="C263"/>
      <c r="D263"/>
      <c r="E263"/>
    </row>
    <row r="264" spans="1:5">
      <c r="A264"/>
      <c r="B264"/>
      <c r="C264"/>
      <c r="D264"/>
      <c r="E264"/>
    </row>
    <row r="265" spans="1:5">
      <c r="A265"/>
      <c r="B265"/>
      <c r="C265"/>
      <c r="D265"/>
      <c r="E265"/>
    </row>
    <row r="266" spans="1:5">
      <c r="A266"/>
      <c r="B266"/>
      <c r="C266"/>
      <c r="D266"/>
      <c r="E266"/>
    </row>
    <row r="267" spans="1:5">
      <c r="A267"/>
      <c r="B267"/>
      <c r="C267"/>
      <c r="D267"/>
      <c r="E267"/>
    </row>
    <row r="268" spans="1:5">
      <c r="A268"/>
      <c r="B268"/>
      <c r="C268"/>
      <c r="D268"/>
      <c r="E268"/>
    </row>
    <row r="269" spans="1:5">
      <c r="A269"/>
      <c r="B269"/>
      <c r="C269"/>
      <c r="D269"/>
      <c r="E269"/>
    </row>
    <row r="270" spans="1:5">
      <c r="A270"/>
      <c r="B270"/>
      <c r="C270"/>
      <c r="D270"/>
      <c r="E270"/>
    </row>
    <row r="271" spans="1:5">
      <c r="A271"/>
      <c r="B271"/>
      <c r="C271"/>
      <c r="D271"/>
      <c r="E271"/>
    </row>
    <row r="272" spans="1:5">
      <c r="A272"/>
      <c r="B272"/>
      <c r="C272"/>
      <c r="D272"/>
      <c r="E272"/>
    </row>
    <row r="273" spans="1:5">
      <c r="A273"/>
      <c r="B273"/>
      <c r="C273"/>
      <c r="D273"/>
      <c r="E273"/>
    </row>
    <row r="274" spans="1:5">
      <c r="A274"/>
      <c r="B274"/>
      <c r="C274"/>
      <c r="D274"/>
      <c r="E274"/>
    </row>
    <row r="275" spans="1:5">
      <c r="A275"/>
      <c r="B275"/>
      <c r="C275"/>
      <c r="D275"/>
      <c r="E275"/>
    </row>
    <row r="276" spans="1:5">
      <c r="A276"/>
      <c r="B276"/>
      <c r="C276"/>
      <c r="D276"/>
      <c r="E276"/>
    </row>
    <row r="277" spans="1:5">
      <c r="A277"/>
      <c r="B277"/>
      <c r="C277"/>
      <c r="D277"/>
      <c r="E277"/>
    </row>
    <row r="278" spans="1:5">
      <c r="A278"/>
      <c r="B278"/>
      <c r="C278"/>
      <c r="D278"/>
      <c r="E278"/>
    </row>
    <row r="279" spans="1:5">
      <c r="A279"/>
      <c r="B279"/>
      <c r="C279"/>
      <c r="D279"/>
      <c r="E279"/>
    </row>
    <row r="280" spans="1:5">
      <c r="A280"/>
      <c r="B280"/>
      <c r="C280"/>
      <c r="D280"/>
      <c r="E280"/>
    </row>
    <row r="281" spans="1:5">
      <c r="A281"/>
      <c r="B281"/>
      <c r="C281"/>
      <c r="D281"/>
      <c r="E281"/>
    </row>
    <row r="282" spans="1:5">
      <c r="A282"/>
      <c r="B282"/>
      <c r="C282"/>
      <c r="D282"/>
      <c r="E282"/>
    </row>
    <row r="283" spans="1:5">
      <c r="A283"/>
      <c r="B283"/>
      <c r="C283"/>
      <c r="D283"/>
      <c r="E283"/>
    </row>
    <row r="284" spans="1:5">
      <c r="A284"/>
      <c r="B284"/>
      <c r="C284"/>
      <c r="D284"/>
      <c r="E284"/>
    </row>
    <row r="285" spans="1:5">
      <c r="A285"/>
      <c r="B285"/>
      <c r="C285"/>
      <c r="D285"/>
      <c r="E285"/>
    </row>
    <row r="286" spans="1:5">
      <c r="A286"/>
      <c r="B286"/>
      <c r="C286"/>
      <c r="D286"/>
      <c r="E286"/>
    </row>
    <row r="287" spans="1:5">
      <c r="A287"/>
      <c r="B287"/>
      <c r="C287"/>
      <c r="D287"/>
      <c r="E287"/>
    </row>
    <row r="288" spans="1:5">
      <c r="A288"/>
      <c r="B288"/>
      <c r="C288"/>
      <c r="D288"/>
      <c r="E288"/>
    </row>
    <row r="289" spans="1:5">
      <c r="A289"/>
      <c r="B289"/>
      <c r="C289"/>
      <c r="D289"/>
      <c r="E289"/>
    </row>
    <row r="290" spans="1:5">
      <c r="A290"/>
      <c r="B290"/>
      <c r="C290"/>
      <c r="D290"/>
      <c r="E290"/>
    </row>
    <row r="291" spans="1:5">
      <c r="A291"/>
      <c r="B291"/>
      <c r="C291"/>
      <c r="D291"/>
      <c r="E291"/>
    </row>
    <row r="292" spans="1:5">
      <c r="A292"/>
      <c r="B292"/>
      <c r="C292"/>
      <c r="D292"/>
      <c r="E292"/>
    </row>
    <row r="293" spans="1:5">
      <c r="A293"/>
      <c r="B293"/>
      <c r="C293"/>
      <c r="D293"/>
      <c r="E293"/>
    </row>
    <row r="294" spans="1:5">
      <c r="A294"/>
      <c r="B294"/>
      <c r="C294"/>
      <c r="D294"/>
      <c r="E294"/>
    </row>
    <row r="295" spans="1:5">
      <c r="A295"/>
      <c r="B295"/>
      <c r="C295"/>
      <c r="D295"/>
      <c r="E295"/>
    </row>
    <row r="296" spans="1:5">
      <c r="A296"/>
      <c r="B296"/>
      <c r="C296"/>
      <c r="D296"/>
      <c r="E296"/>
    </row>
    <row r="297" spans="1:5">
      <c r="A297"/>
      <c r="B297"/>
      <c r="C297"/>
      <c r="D297"/>
      <c r="E297"/>
    </row>
    <row r="298" spans="1:5">
      <c r="A298"/>
      <c r="B298"/>
      <c r="C298"/>
      <c r="D298"/>
      <c r="E298"/>
    </row>
    <row r="299" spans="1:5">
      <c r="A299"/>
      <c r="B299"/>
      <c r="C299"/>
      <c r="D299"/>
      <c r="E299"/>
    </row>
    <row r="300" spans="1:5">
      <c r="A300"/>
      <c r="B300"/>
      <c r="C300"/>
      <c r="D300"/>
      <c r="E300"/>
    </row>
    <row r="301" spans="1:5">
      <c r="A301"/>
      <c r="B301"/>
      <c r="C301"/>
      <c r="D301"/>
      <c r="E301"/>
    </row>
    <row r="302" spans="1:5">
      <c r="A302"/>
      <c r="B302"/>
      <c r="C302"/>
      <c r="D302"/>
      <c r="E302"/>
    </row>
    <row r="303" spans="1:5">
      <c r="A303"/>
      <c r="B303"/>
      <c r="C303"/>
      <c r="D303"/>
      <c r="E303"/>
    </row>
    <row r="304" spans="1:5">
      <c r="A304"/>
      <c r="B304"/>
      <c r="C304"/>
      <c r="D304"/>
      <c r="E304"/>
    </row>
    <row r="305" spans="1:5">
      <c r="A305"/>
      <c r="B305"/>
      <c r="C305"/>
      <c r="D305"/>
      <c r="E305"/>
    </row>
    <row r="306" spans="1:5">
      <c r="A306"/>
      <c r="B306"/>
      <c r="C306"/>
      <c r="D306"/>
      <c r="E306"/>
    </row>
    <row r="307" spans="1:5">
      <c r="A307"/>
      <c r="B307"/>
      <c r="C307"/>
      <c r="D307"/>
      <c r="E307"/>
    </row>
    <row r="308" spans="1:5">
      <c r="A308"/>
      <c r="B308"/>
      <c r="C308"/>
      <c r="D308"/>
      <c r="E308"/>
    </row>
    <row r="309" spans="1:5">
      <c r="A309"/>
      <c r="B309"/>
      <c r="C309"/>
      <c r="D309"/>
      <c r="E309"/>
    </row>
    <row r="310" spans="1:5">
      <c r="A310"/>
      <c r="B310"/>
      <c r="C310"/>
      <c r="D310"/>
      <c r="E310"/>
    </row>
    <row r="311" spans="1:5">
      <c r="A311"/>
      <c r="B311"/>
      <c r="C311"/>
      <c r="D311"/>
      <c r="E311"/>
    </row>
    <row r="312" spans="1:5">
      <c r="A312"/>
      <c r="B312"/>
      <c r="C312"/>
      <c r="D312"/>
      <c r="E312"/>
    </row>
    <row r="313" spans="1:5">
      <c r="A313"/>
      <c r="B313"/>
      <c r="C313"/>
      <c r="D313"/>
      <c r="E313"/>
    </row>
    <row r="314" spans="1:5">
      <c r="A314"/>
      <c r="B314"/>
      <c r="C314"/>
      <c r="D314"/>
      <c r="E314"/>
    </row>
    <row r="315" spans="1:5">
      <c r="A315"/>
      <c r="B315"/>
      <c r="C315"/>
      <c r="D315"/>
      <c r="E315"/>
    </row>
    <row r="316" spans="1:5">
      <c r="A316"/>
      <c r="B316"/>
      <c r="C316"/>
      <c r="D316"/>
      <c r="E316"/>
    </row>
    <row r="317" spans="1:5">
      <c r="A317"/>
      <c r="B317"/>
      <c r="C317"/>
      <c r="D317"/>
      <c r="E317"/>
    </row>
    <row r="318" spans="1:5">
      <c r="A318"/>
      <c r="B318"/>
      <c r="C318"/>
      <c r="D318"/>
      <c r="E318"/>
    </row>
    <row r="319" spans="1:5">
      <c r="A319"/>
      <c r="B319"/>
      <c r="C319"/>
      <c r="D319"/>
      <c r="E319"/>
    </row>
    <row r="320" spans="1:5">
      <c r="A320"/>
      <c r="B320"/>
      <c r="C320"/>
      <c r="D320"/>
      <c r="E320"/>
    </row>
    <row r="321" spans="1:5">
      <c r="A321"/>
      <c r="B321"/>
      <c r="C321"/>
      <c r="D321"/>
      <c r="E321"/>
    </row>
    <row r="322" spans="1:5">
      <c r="A322"/>
      <c r="B322"/>
      <c r="C322"/>
      <c r="D322"/>
      <c r="E322"/>
    </row>
    <row r="323" spans="1:5">
      <c r="A323"/>
      <c r="B323"/>
      <c r="C323"/>
      <c r="D323"/>
      <c r="E323"/>
    </row>
    <row r="324" spans="1:5">
      <c r="A324"/>
      <c r="B324"/>
      <c r="C324"/>
      <c r="D324"/>
      <c r="E324"/>
    </row>
    <row r="325" spans="1:5">
      <c r="A325"/>
      <c r="B325"/>
      <c r="C325"/>
      <c r="D325"/>
      <c r="E325"/>
    </row>
    <row r="326" spans="1:5">
      <c r="A326"/>
      <c r="B326"/>
      <c r="C326"/>
      <c r="D326"/>
      <c r="E326"/>
    </row>
    <row r="327" spans="1:5">
      <c r="A327"/>
      <c r="B327"/>
      <c r="C327"/>
      <c r="D327"/>
      <c r="E327"/>
    </row>
    <row r="328" spans="1:5">
      <c r="A328"/>
      <c r="B328"/>
      <c r="C328"/>
      <c r="D328"/>
      <c r="E328"/>
    </row>
    <row r="329" spans="1:5">
      <c r="A329"/>
      <c r="B329"/>
      <c r="C329"/>
      <c r="D329"/>
      <c r="E329"/>
    </row>
    <row r="330" spans="1:5">
      <c r="A330"/>
      <c r="B330"/>
      <c r="C330"/>
      <c r="D330"/>
      <c r="E330"/>
    </row>
    <row r="331" spans="1:5">
      <c r="A331"/>
      <c r="B331"/>
      <c r="C331"/>
      <c r="D331"/>
      <c r="E331"/>
    </row>
    <row r="332" spans="1:5">
      <c r="A332"/>
      <c r="B332"/>
      <c r="C332"/>
      <c r="D332"/>
      <c r="E332"/>
    </row>
    <row r="333" spans="1:5">
      <c r="A333"/>
      <c r="B333"/>
      <c r="C333"/>
      <c r="D333"/>
      <c r="E333"/>
    </row>
    <row r="334" spans="1:5">
      <c r="A334"/>
      <c r="B334"/>
      <c r="C334"/>
      <c r="D334"/>
      <c r="E334"/>
    </row>
    <row r="335" spans="1:5">
      <c r="A335"/>
      <c r="B335"/>
      <c r="C335"/>
      <c r="D335"/>
      <c r="E335"/>
    </row>
    <row r="336" spans="1:5">
      <c r="A336"/>
      <c r="B336"/>
      <c r="C336"/>
      <c r="D336"/>
      <c r="E336"/>
    </row>
    <row r="337" spans="1:5">
      <c r="A337"/>
      <c r="B337"/>
      <c r="C337"/>
      <c r="D337"/>
      <c r="E337"/>
    </row>
    <row r="338" spans="1:5">
      <c r="A338"/>
      <c r="B338"/>
      <c r="C338"/>
      <c r="D338"/>
      <c r="E338"/>
    </row>
    <row r="339" spans="1:5">
      <c r="A339"/>
      <c r="B339"/>
      <c r="C339"/>
      <c r="D339"/>
      <c r="E339"/>
    </row>
    <row r="340" spans="1:5">
      <c r="A340"/>
      <c r="B340"/>
      <c r="C340"/>
      <c r="D340"/>
      <c r="E340"/>
    </row>
    <row r="341" spans="1:5">
      <c r="A341"/>
      <c r="B341"/>
      <c r="C341"/>
      <c r="D341"/>
      <c r="E341"/>
    </row>
    <row r="342" spans="1:5">
      <c r="A342"/>
      <c r="B342"/>
      <c r="C342"/>
      <c r="D342"/>
      <c r="E342"/>
    </row>
    <row r="343" spans="1:5">
      <c r="A343"/>
      <c r="B343"/>
      <c r="C343"/>
      <c r="D343"/>
      <c r="E343"/>
    </row>
    <row r="344" spans="1:5">
      <c r="A344"/>
      <c r="B344"/>
      <c r="C344"/>
      <c r="D344"/>
      <c r="E344"/>
    </row>
    <row r="345" spans="1:5">
      <c r="A345"/>
      <c r="B345"/>
      <c r="C345"/>
      <c r="D345"/>
      <c r="E345"/>
    </row>
    <row r="346" spans="1:5">
      <c r="A346"/>
      <c r="B346"/>
      <c r="C346"/>
      <c r="D346"/>
      <c r="E346"/>
    </row>
    <row r="347" spans="1:5">
      <c r="A347"/>
      <c r="B347"/>
      <c r="C347"/>
      <c r="D347"/>
      <c r="E347"/>
    </row>
    <row r="348" spans="1:5">
      <c r="A348"/>
      <c r="B348"/>
      <c r="C348"/>
      <c r="D348"/>
      <c r="E348"/>
    </row>
    <row r="349" spans="1:5">
      <c r="A349"/>
      <c r="B349"/>
      <c r="C349"/>
      <c r="D349"/>
      <c r="E349"/>
    </row>
    <row r="350" spans="1:5">
      <c r="A350"/>
      <c r="B350"/>
      <c r="C350"/>
      <c r="D350"/>
      <c r="E350"/>
    </row>
    <row r="351" spans="1:5">
      <c r="A351"/>
      <c r="B351"/>
      <c r="C351"/>
      <c r="D351"/>
      <c r="E351"/>
    </row>
    <row r="352" spans="1:5">
      <c r="A352"/>
      <c r="B352"/>
      <c r="C352"/>
      <c r="D352"/>
      <c r="E352"/>
    </row>
    <row r="353" spans="1:5">
      <c r="A353"/>
      <c r="B353"/>
      <c r="C353"/>
      <c r="D353"/>
      <c r="E353"/>
    </row>
    <row r="354" spans="1:5">
      <c r="A354"/>
      <c r="B354"/>
      <c r="C354"/>
      <c r="D354"/>
      <c r="E354"/>
    </row>
    <row r="355" spans="1:5">
      <c r="A355"/>
      <c r="B355"/>
      <c r="C355"/>
      <c r="D355"/>
      <c r="E355"/>
    </row>
    <row r="356" spans="1:5">
      <c r="A356"/>
      <c r="B356"/>
      <c r="C356"/>
      <c r="D356"/>
      <c r="E356"/>
    </row>
    <row r="357" spans="1:5">
      <c r="A357"/>
      <c r="B357"/>
      <c r="C357"/>
      <c r="D357"/>
      <c r="E357"/>
    </row>
    <row r="358" spans="1:5">
      <c r="A358"/>
      <c r="B358"/>
      <c r="C358"/>
      <c r="D358"/>
      <c r="E358"/>
    </row>
    <row r="359" spans="1:5">
      <c r="A359"/>
      <c r="B359"/>
      <c r="C359"/>
      <c r="D359"/>
      <c r="E359"/>
    </row>
    <row r="360" spans="1:5">
      <c r="A360"/>
      <c r="B360"/>
      <c r="C360"/>
      <c r="D360"/>
      <c r="E360"/>
    </row>
    <row r="361" spans="1:5">
      <c r="A361"/>
      <c r="B361"/>
      <c r="C361"/>
      <c r="D361"/>
      <c r="E361"/>
    </row>
    <row r="362" spans="1:5">
      <c r="A362"/>
      <c r="B362"/>
      <c r="C362"/>
      <c r="D362"/>
      <c r="E362"/>
    </row>
    <row r="363" spans="1:5">
      <c r="A363"/>
      <c r="B363"/>
      <c r="C363"/>
      <c r="D363"/>
      <c r="E363"/>
    </row>
    <row r="364" spans="1:5">
      <c r="A364"/>
      <c r="B364"/>
      <c r="C364"/>
      <c r="D364"/>
      <c r="E364"/>
    </row>
    <row r="365" spans="1:5">
      <c r="A365"/>
      <c r="B365"/>
      <c r="C365"/>
      <c r="D365"/>
      <c r="E365"/>
    </row>
    <row r="366" spans="1:5">
      <c r="A366"/>
      <c r="B366"/>
      <c r="C366"/>
      <c r="D366"/>
      <c r="E366"/>
    </row>
    <row r="367" spans="1:5">
      <c r="A367"/>
      <c r="B367"/>
      <c r="C367"/>
      <c r="D367"/>
      <c r="E367"/>
    </row>
    <row r="368" spans="1:5">
      <c r="A368"/>
      <c r="B368"/>
      <c r="C368"/>
      <c r="D368"/>
      <c r="E368"/>
    </row>
    <row r="369" spans="1:5">
      <c r="A369"/>
      <c r="B369"/>
      <c r="C369"/>
      <c r="D369"/>
      <c r="E369"/>
    </row>
    <row r="370" spans="1:5">
      <c r="A370"/>
      <c r="B370"/>
      <c r="C370"/>
      <c r="D370"/>
      <c r="E370"/>
    </row>
    <row r="371" spans="1:5">
      <c r="A371"/>
      <c r="B371"/>
      <c r="C371"/>
      <c r="D371"/>
      <c r="E371"/>
    </row>
    <row r="372" spans="1:5">
      <c r="A372"/>
      <c r="B372"/>
      <c r="C372"/>
      <c r="D372"/>
      <c r="E372"/>
    </row>
    <row r="373" spans="1:5">
      <c r="A373"/>
      <c r="B373"/>
      <c r="C373"/>
      <c r="D373"/>
      <c r="E373"/>
    </row>
    <row r="374" spans="1:5">
      <c r="A374"/>
      <c r="B374"/>
      <c r="C374"/>
      <c r="D374"/>
      <c r="E374"/>
    </row>
    <row r="375" spans="1:5">
      <c r="A375"/>
      <c r="B375"/>
      <c r="C375"/>
      <c r="D375"/>
      <c r="E375"/>
    </row>
    <row r="376" spans="1:5">
      <c r="A376"/>
      <c r="B376"/>
      <c r="C376"/>
      <c r="D376"/>
      <c r="E376"/>
    </row>
    <row r="377" spans="1:5">
      <c r="A377"/>
      <c r="B377"/>
      <c r="C377"/>
      <c r="D377"/>
      <c r="E377"/>
    </row>
    <row r="378" spans="1:5">
      <c r="A378"/>
      <c r="B378"/>
      <c r="C378"/>
      <c r="D378"/>
      <c r="E378"/>
    </row>
    <row r="379" spans="1:5">
      <c r="A379"/>
      <c r="B379"/>
      <c r="C379"/>
      <c r="D379"/>
      <c r="E379"/>
    </row>
    <row r="380" spans="1:5">
      <c r="A380"/>
      <c r="B380"/>
      <c r="C380"/>
      <c r="D380"/>
      <c r="E380"/>
    </row>
    <row r="381" spans="1:5">
      <c r="A381"/>
      <c r="B381"/>
      <c r="C381"/>
      <c r="D381"/>
      <c r="E381"/>
    </row>
    <row r="382" spans="1:5">
      <c r="A382"/>
      <c r="B382"/>
      <c r="C382"/>
      <c r="D382"/>
      <c r="E382"/>
    </row>
    <row r="383" spans="1:5">
      <c r="A383"/>
      <c r="B383"/>
      <c r="C383"/>
      <c r="D383"/>
      <c r="E383"/>
    </row>
    <row r="384" spans="1:5">
      <c r="A384"/>
      <c r="B384"/>
      <c r="C384"/>
      <c r="D384"/>
      <c r="E384"/>
    </row>
    <row r="385" spans="1:5">
      <c r="A385"/>
      <c r="B385"/>
      <c r="C385"/>
      <c r="D385"/>
      <c r="E385"/>
    </row>
    <row r="386" spans="1:5">
      <c r="A386"/>
      <c r="B386"/>
      <c r="C386"/>
      <c r="D386"/>
      <c r="E386"/>
    </row>
    <row r="387" spans="1:5">
      <c r="A387"/>
      <c r="B387"/>
      <c r="C387"/>
      <c r="D387"/>
      <c r="E387"/>
    </row>
    <row r="388" spans="1:5">
      <c r="A388"/>
      <c r="B388"/>
      <c r="C388"/>
      <c r="D388"/>
      <c r="E388"/>
    </row>
    <row r="389" spans="1:5">
      <c r="A389"/>
      <c r="B389"/>
      <c r="C389"/>
      <c r="D389"/>
      <c r="E389"/>
    </row>
    <row r="390" spans="1:5">
      <c r="A390"/>
      <c r="B390"/>
      <c r="C390"/>
      <c r="D390"/>
      <c r="E390"/>
    </row>
    <row r="391" spans="1:5">
      <c r="A391"/>
      <c r="B391"/>
      <c r="C391"/>
      <c r="D391"/>
      <c r="E391"/>
    </row>
    <row r="392" spans="1:5">
      <c r="A392"/>
      <c r="B392"/>
      <c r="C392"/>
      <c r="D392"/>
      <c r="E392"/>
    </row>
    <row r="393" spans="1:5">
      <c r="A393"/>
      <c r="B393"/>
      <c r="C393"/>
      <c r="D393"/>
      <c r="E393"/>
    </row>
    <row r="394" spans="1:5">
      <c r="A394"/>
      <c r="B394"/>
      <c r="C394"/>
      <c r="D394"/>
      <c r="E394"/>
    </row>
    <row r="395" spans="1:5">
      <c r="A395"/>
      <c r="B395"/>
      <c r="C395"/>
      <c r="D395"/>
      <c r="E395"/>
    </row>
    <row r="396" spans="1:5">
      <c r="A396"/>
      <c r="B396"/>
      <c r="C396"/>
      <c r="D396"/>
      <c r="E396"/>
    </row>
    <row r="397" spans="1:5">
      <c r="A397"/>
      <c r="B397"/>
      <c r="C397"/>
      <c r="D397"/>
      <c r="E397"/>
    </row>
    <row r="398" spans="1:5">
      <c r="A398"/>
      <c r="B398"/>
      <c r="C398"/>
      <c r="D398"/>
      <c r="E398"/>
    </row>
    <row r="399" spans="1:5">
      <c r="A399"/>
      <c r="B399"/>
      <c r="C399"/>
      <c r="D399"/>
      <c r="E399"/>
    </row>
    <row r="400" spans="1:5">
      <c r="A400"/>
      <c r="B400"/>
      <c r="C400"/>
      <c r="D400"/>
      <c r="E400"/>
    </row>
    <row r="401" spans="1:5">
      <c r="A401"/>
      <c r="B401"/>
      <c r="C401"/>
      <c r="D401"/>
      <c r="E401"/>
    </row>
    <row r="402" spans="1:5">
      <c r="A402"/>
      <c r="B402"/>
      <c r="C402"/>
      <c r="D402"/>
      <c r="E402"/>
    </row>
    <row r="403" spans="1:5">
      <c r="A403"/>
      <c r="B403"/>
      <c r="C403"/>
      <c r="D403"/>
      <c r="E403"/>
    </row>
    <row r="404" spans="1:5">
      <c r="A404"/>
      <c r="B404"/>
      <c r="C404"/>
      <c r="D404"/>
      <c r="E404"/>
    </row>
    <row r="405" spans="1:5">
      <c r="A405"/>
      <c r="B405"/>
      <c r="C405"/>
      <c r="D405"/>
      <c r="E405"/>
    </row>
    <row r="406" spans="1:5">
      <c r="A406"/>
      <c r="B406"/>
      <c r="C406"/>
      <c r="D406"/>
      <c r="E406"/>
    </row>
    <row r="407" spans="1:5">
      <c r="A407"/>
      <c r="B407"/>
      <c r="C407"/>
      <c r="D407"/>
      <c r="E407"/>
    </row>
    <row r="408" spans="1:5">
      <c r="A408"/>
      <c r="B408"/>
      <c r="C408"/>
      <c r="D408"/>
      <c r="E408"/>
    </row>
    <row r="409" spans="1:5">
      <c r="A409"/>
      <c r="B409"/>
      <c r="C409"/>
      <c r="D409"/>
      <c r="E409"/>
    </row>
    <row r="410" spans="1:5">
      <c r="A410"/>
      <c r="B410"/>
      <c r="C410"/>
      <c r="D410"/>
      <c r="E410"/>
    </row>
    <row r="411" spans="1:5">
      <c r="A411"/>
      <c r="B411"/>
      <c r="C411"/>
      <c r="D411"/>
      <c r="E411"/>
    </row>
    <row r="412" spans="1:5">
      <c r="A412"/>
      <c r="B412"/>
      <c r="C412"/>
      <c r="D412"/>
      <c r="E412"/>
    </row>
    <row r="413" spans="1:5">
      <c r="A413"/>
      <c r="B413"/>
      <c r="C413"/>
      <c r="D413"/>
      <c r="E413"/>
    </row>
    <row r="414" spans="1:5">
      <c r="A414"/>
      <c r="B414"/>
      <c r="C414"/>
      <c r="D414"/>
      <c r="E414"/>
    </row>
    <row r="415" spans="1:5">
      <c r="A415"/>
      <c r="B415"/>
      <c r="C415"/>
      <c r="D415"/>
      <c r="E415"/>
    </row>
    <row r="416" spans="1:5">
      <c r="A416"/>
      <c r="B416"/>
      <c r="C416"/>
      <c r="D416"/>
      <c r="E416"/>
    </row>
    <row r="417" spans="1:5">
      <c r="A417"/>
      <c r="B417"/>
      <c r="C417"/>
      <c r="D417"/>
      <c r="E417"/>
    </row>
    <row r="418" spans="1:5">
      <c r="A418"/>
      <c r="B418"/>
      <c r="C418"/>
      <c r="D418"/>
      <c r="E418"/>
    </row>
    <row r="419" spans="1:5">
      <c r="A419"/>
      <c r="B419"/>
      <c r="C419"/>
      <c r="D419"/>
      <c r="E419"/>
    </row>
    <row r="420" spans="1:5">
      <c r="A420"/>
      <c r="B420"/>
      <c r="C420"/>
      <c r="D420"/>
      <c r="E420"/>
    </row>
    <row r="421" spans="1:5">
      <c r="A421"/>
      <c r="B421"/>
      <c r="C421"/>
      <c r="D421"/>
      <c r="E421"/>
    </row>
    <row r="422" spans="1:5">
      <c r="A422"/>
      <c r="B422"/>
      <c r="C422"/>
      <c r="D422"/>
      <c r="E422"/>
    </row>
    <row r="423" spans="1:5">
      <c r="A423"/>
      <c r="B423"/>
      <c r="C423"/>
      <c r="D423"/>
      <c r="E423"/>
    </row>
    <row r="424" spans="1:5">
      <c r="A424"/>
      <c r="B424"/>
      <c r="C424"/>
      <c r="D424"/>
      <c r="E424"/>
    </row>
    <row r="425" spans="1:5">
      <c r="A425"/>
      <c r="B425"/>
      <c r="C425"/>
      <c r="D425"/>
      <c r="E425"/>
    </row>
    <row r="426" spans="1:5">
      <c r="A426"/>
      <c r="B426"/>
      <c r="C426"/>
      <c r="D426"/>
      <c r="E426"/>
    </row>
    <row r="427" spans="1:5">
      <c r="A427"/>
      <c r="B427"/>
      <c r="C427"/>
      <c r="D427"/>
      <c r="E427"/>
    </row>
    <row r="428" spans="1:5">
      <c r="A428"/>
      <c r="B428"/>
      <c r="C428"/>
      <c r="D428"/>
      <c r="E428"/>
    </row>
    <row r="429" spans="1:5">
      <c r="A429"/>
      <c r="B429"/>
      <c r="C429"/>
      <c r="D429"/>
      <c r="E429"/>
    </row>
    <row r="430" spans="1:5">
      <c r="A430"/>
      <c r="B430"/>
      <c r="C430"/>
      <c r="D430"/>
      <c r="E430"/>
    </row>
    <row r="431" spans="1:5">
      <c r="A431"/>
      <c r="B431"/>
      <c r="C431"/>
      <c r="D431"/>
      <c r="E431"/>
    </row>
    <row r="432" spans="1:5">
      <c r="A432"/>
      <c r="B432"/>
      <c r="C432"/>
      <c r="D432"/>
      <c r="E432"/>
    </row>
    <row r="433" spans="1:5">
      <c r="A433"/>
      <c r="B433"/>
      <c r="C433"/>
      <c r="D433"/>
      <c r="E433"/>
    </row>
    <row r="434" spans="1:5">
      <c r="A434"/>
      <c r="B434"/>
      <c r="C434"/>
      <c r="D434"/>
      <c r="E434"/>
    </row>
    <row r="435" spans="1:5">
      <c r="A435"/>
      <c r="B435"/>
      <c r="C435"/>
      <c r="D435"/>
      <c r="E435"/>
    </row>
    <row r="436" spans="1:5">
      <c r="A436"/>
      <c r="B436"/>
      <c r="C436"/>
      <c r="D436"/>
      <c r="E436"/>
    </row>
    <row r="437" spans="1:5">
      <c r="A437"/>
      <c r="B437"/>
      <c r="C437"/>
      <c r="D437"/>
      <c r="E437"/>
    </row>
    <row r="438" spans="1:5">
      <c r="A438"/>
      <c r="B438"/>
      <c r="C438"/>
      <c r="D438"/>
      <c r="E438"/>
    </row>
    <row r="439" spans="1:5">
      <c r="A439"/>
      <c r="B439"/>
      <c r="C439"/>
      <c r="D439"/>
      <c r="E439"/>
    </row>
    <row r="440" spans="1:5">
      <c r="A440"/>
      <c r="B440"/>
      <c r="C440"/>
      <c r="D440"/>
      <c r="E440"/>
    </row>
    <row r="441" spans="1:5">
      <c r="A441"/>
      <c r="B441"/>
      <c r="C441"/>
      <c r="D441"/>
      <c r="E441"/>
    </row>
    <row r="442" spans="1:5">
      <c r="A442"/>
      <c r="B442"/>
      <c r="C442"/>
      <c r="D442"/>
      <c r="E442"/>
    </row>
    <row r="443" spans="1:5">
      <c r="A443"/>
      <c r="B443"/>
      <c r="C443"/>
      <c r="D443"/>
      <c r="E443"/>
    </row>
    <row r="444" spans="1:5">
      <c r="A444"/>
      <c r="B444"/>
      <c r="C444"/>
      <c r="D444"/>
      <c r="E444"/>
    </row>
    <row r="445" spans="1:5">
      <c r="A445"/>
      <c r="B445"/>
      <c r="C445"/>
      <c r="D445"/>
      <c r="E445"/>
    </row>
    <row r="446" spans="1:5">
      <c r="A446"/>
      <c r="B446"/>
      <c r="C446"/>
      <c r="D446"/>
      <c r="E446"/>
    </row>
    <row r="447" spans="1:5">
      <c r="A447"/>
      <c r="B447"/>
      <c r="C447"/>
      <c r="D447"/>
      <c r="E447"/>
    </row>
    <row r="448" spans="1:5">
      <c r="A448"/>
      <c r="B448"/>
      <c r="C448"/>
      <c r="D448"/>
      <c r="E448"/>
    </row>
    <row r="449" spans="1:5">
      <c r="A449"/>
      <c r="B449"/>
      <c r="C449"/>
      <c r="D449"/>
      <c r="E449"/>
    </row>
    <row r="450" spans="1:5">
      <c r="A450"/>
      <c r="B450"/>
      <c r="C450"/>
      <c r="D450"/>
      <c r="E450"/>
    </row>
    <row r="451" spans="1:5">
      <c r="A451"/>
      <c r="B451"/>
      <c r="C451"/>
      <c r="D451"/>
      <c r="E451"/>
    </row>
    <row r="452" spans="1:5">
      <c r="A452"/>
      <c r="B452"/>
      <c r="C452"/>
      <c r="D452"/>
      <c r="E452"/>
    </row>
    <row r="453" spans="1:5">
      <c r="A453"/>
      <c r="B453"/>
      <c r="C453"/>
      <c r="D453"/>
      <c r="E453"/>
    </row>
    <row r="454" spans="1:5">
      <c r="A454"/>
      <c r="B454"/>
      <c r="C454"/>
      <c r="D454"/>
      <c r="E454"/>
    </row>
    <row r="455" spans="1:5">
      <c r="A455"/>
      <c r="B455"/>
      <c r="C455"/>
      <c r="D455"/>
      <c r="E455"/>
    </row>
    <row r="456" spans="1:5">
      <c r="A456"/>
      <c r="B456"/>
      <c r="C456"/>
      <c r="D456"/>
      <c r="E456"/>
    </row>
    <row r="457" spans="1:5">
      <c r="A457"/>
      <c r="B457"/>
      <c r="C457"/>
      <c r="D457"/>
      <c r="E457"/>
    </row>
    <row r="458" spans="1:5">
      <c r="A458"/>
      <c r="B458"/>
      <c r="C458"/>
      <c r="D458"/>
      <c r="E458"/>
    </row>
    <row r="459" spans="1:5">
      <c r="A459"/>
      <c r="B459"/>
      <c r="C459"/>
      <c r="D459"/>
      <c r="E459"/>
    </row>
    <row r="460" spans="1:5">
      <c r="A460"/>
      <c r="B460"/>
      <c r="C460"/>
      <c r="D460"/>
      <c r="E460"/>
    </row>
    <row r="461" spans="1:5">
      <c r="A461"/>
      <c r="B461"/>
      <c r="C461"/>
      <c r="D461"/>
      <c r="E461"/>
    </row>
    <row r="462" spans="1:5">
      <c r="A462"/>
      <c r="B462"/>
      <c r="C462"/>
      <c r="D462"/>
      <c r="E462"/>
    </row>
    <row r="463" spans="1:5">
      <c r="A463"/>
      <c r="B463"/>
      <c r="C463"/>
      <c r="D463"/>
      <c r="E463"/>
    </row>
    <row r="464" spans="1:5">
      <c r="A464"/>
      <c r="B464"/>
      <c r="C464"/>
      <c r="D464"/>
      <c r="E464"/>
    </row>
    <row r="465" spans="1:5">
      <c r="A465"/>
      <c r="B465"/>
      <c r="C465"/>
      <c r="D465"/>
      <c r="E465"/>
    </row>
    <row r="466" spans="1:5">
      <c r="A466"/>
      <c r="B466"/>
      <c r="C466"/>
      <c r="D466"/>
      <c r="E466"/>
    </row>
    <row r="467" spans="1:5">
      <c r="A467"/>
      <c r="B467"/>
      <c r="C467"/>
      <c r="D467"/>
      <c r="E467"/>
    </row>
    <row r="468" spans="1:5">
      <c r="A468"/>
      <c r="B468"/>
      <c r="C468"/>
      <c r="D468"/>
      <c r="E468"/>
    </row>
    <row r="469" spans="1:5">
      <c r="A469"/>
      <c r="B469"/>
      <c r="C469"/>
      <c r="D469"/>
      <c r="E469"/>
    </row>
    <row r="470" spans="1:5">
      <c r="A470"/>
      <c r="B470"/>
      <c r="C470"/>
      <c r="D470"/>
      <c r="E470"/>
    </row>
    <row r="471" spans="1:5">
      <c r="A471"/>
      <c r="B471"/>
      <c r="C471"/>
      <c r="D471"/>
      <c r="E471"/>
    </row>
    <row r="472" spans="1:5">
      <c r="A472"/>
      <c r="B472"/>
      <c r="C472"/>
      <c r="D472"/>
      <c r="E472"/>
    </row>
    <row r="473" spans="1:5">
      <c r="A473"/>
      <c r="B473"/>
      <c r="C473"/>
      <c r="D473"/>
      <c r="E473"/>
    </row>
    <row r="474" spans="1:5">
      <c r="A474"/>
      <c r="B474"/>
      <c r="C474"/>
      <c r="D474"/>
      <c r="E474"/>
    </row>
    <row r="475" spans="1:5">
      <c r="A475"/>
      <c r="B475"/>
      <c r="C475"/>
      <c r="D475"/>
      <c r="E475"/>
    </row>
    <row r="476" spans="1:5">
      <c r="A476"/>
      <c r="B476"/>
      <c r="C476"/>
      <c r="D476"/>
      <c r="E476"/>
    </row>
    <row r="477" spans="1:5">
      <c r="A477"/>
      <c r="B477"/>
      <c r="C477"/>
      <c r="D477"/>
      <c r="E477"/>
    </row>
    <row r="478" spans="1:5">
      <c r="A478"/>
      <c r="B478"/>
      <c r="C478"/>
      <c r="D478"/>
      <c r="E478"/>
    </row>
    <row r="479" spans="1:5">
      <c r="A479"/>
      <c r="B479"/>
      <c r="C479"/>
      <c r="D479"/>
      <c r="E479"/>
    </row>
    <row r="480" spans="1:5">
      <c r="A480"/>
      <c r="B480"/>
      <c r="C480"/>
      <c r="D480"/>
      <c r="E480"/>
    </row>
    <row r="481" spans="1:5">
      <c r="A481"/>
      <c r="B481"/>
      <c r="C481"/>
      <c r="D481"/>
      <c r="E481"/>
    </row>
    <row r="482" spans="1:5">
      <c r="A482"/>
      <c r="B482"/>
      <c r="C482"/>
      <c r="D482"/>
      <c r="E482"/>
    </row>
    <row r="483" spans="1:5">
      <c r="A483"/>
      <c r="B483"/>
      <c r="C483"/>
      <c r="D483"/>
      <c r="E483"/>
    </row>
    <row r="484" spans="1:5">
      <c r="A484"/>
      <c r="B484"/>
      <c r="C484"/>
      <c r="D484"/>
      <c r="E484"/>
    </row>
    <row r="485" spans="1:5">
      <c r="A485"/>
      <c r="B485"/>
      <c r="C485"/>
      <c r="D485"/>
      <c r="E485"/>
    </row>
    <row r="486" spans="1:5">
      <c r="A486"/>
      <c r="B486"/>
      <c r="C486"/>
      <c r="D486"/>
      <c r="E486"/>
    </row>
    <row r="487" spans="1:5">
      <c r="A487"/>
      <c r="B487"/>
      <c r="C487"/>
      <c r="D487"/>
      <c r="E487"/>
    </row>
    <row r="488" spans="1:5">
      <c r="A488"/>
      <c r="B488"/>
      <c r="C488"/>
      <c r="D488"/>
      <c r="E488"/>
    </row>
    <row r="489" spans="1:5">
      <c r="A489"/>
      <c r="B489"/>
      <c r="C489"/>
      <c r="D489"/>
      <c r="E489"/>
    </row>
    <row r="490" spans="1:5">
      <c r="A490"/>
      <c r="B490"/>
      <c r="C490"/>
      <c r="D490"/>
      <c r="E490"/>
    </row>
    <row r="491" spans="1:5">
      <c r="A491"/>
      <c r="B491"/>
      <c r="C491"/>
      <c r="D491"/>
      <c r="E491"/>
    </row>
    <row r="492" spans="1:5">
      <c r="A492"/>
      <c r="B492"/>
      <c r="C492"/>
      <c r="D492"/>
      <c r="E492"/>
    </row>
    <row r="493" spans="1:5">
      <c r="A493"/>
      <c r="B493"/>
      <c r="C493"/>
      <c r="D493"/>
      <c r="E493"/>
    </row>
    <row r="494" spans="1:5">
      <c r="A494"/>
      <c r="B494"/>
      <c r="C494"/>
      <c r="D494"/>
      <c r="E494"/>
    </row>
    <row r="495" spans="1:5">
      <c r="A495"/>
      <c r="B495"/>
      <c r="C495"/>
      <c r="D495"/>
      <c r="E495"/>
    </row>
    <row r="496" spans="1:5">
      <c r="A496"/>
      <c r="B496"/>
      <c r="C496"/>
      <c r="D496"/>
      <c r="E496"/>
    </row>
    <row r="497" spans="1:5">
      <c r="A497"/>
      <c r="B497"/>
      <c r="C497"/>
      <c r="D497"/>
      <c r="E497"/>
    </row>
    <row r="498" spans="1:5">
      <c r="A498"/>
      <c r="B498"/>
      <c r="C498"/>
      <c r="D498"/>
      <c r="E498"/>
    </row>
    <row r="499" spans="1:5">
      <c r="A499"/>
      <c r="B499"/>
      <c r="C499"/>
      <c r="D499"/>
      <c r="E499"/>
    </row>
    <row r="500" spans="1:5">
      <c r="A500"/>
      <c r="B500"/>
      <c r="C500"/>
      <c r="D500"/>
      <c r="E500"/>
    </row>
    <row r="501" spans="1:5">
      <c r="A501"/>
      <c r="B501"/>
      <c r="C501"/>
      <c r="D501"/>
      <c r="E501"/>
    </row>
    <row r="502" spans="1:5">
      <c r="A502"/>
      <c r="B502"/>
      <c r="C502"/>
      <c r="D502"/>
      <c r="E502"/>
    </row>
    <row r="503" spans="1:5">
      <c r="A503"/>
      <c r="B503"/>
      <c r="C503"/>
      <c r="D503"/>
      <c r="E503"/>
    </row>
    <row r="504" spans="1:5">
      <c r="A504"/>
      <c r="B504"/>
      <c r="C504"/>
      <c r="D504"/>
      <c r="E504"/>
    </row>
    <row r="505" spans="1:5">
      <c r="A505"/>
      <c r="B505"/>
      <c r="C505"/>
      <c r="D505"/>
      <c r="E505"/>
    </row>
    <row r="506" spans="1:5">
      <c r="A506"/>
      <c r="B506"/>
      <c r="C506"/>
      <c r="D506"/>
      <c r="E506"/>
    </row>
    <row r="507" spans="1:5">
      <c r="A507"/>
      <c r="B507"/>
      <c r="C507"/>
      <c r="D507"/>
      <c r="E507"/>
    </row>
    <row r="508" spans="1:5">
      <c r="A508"/>
      <c r="B508"/>
      <c r="C508"/>
      <c r="D508"/>
      <c r="E508"/>
    </row>
    <row r="509" spans="1:5">
      <c r="A509"/>
      <c r="B509"/>
      <c r="C509"/>
      <c r="D509"/>
      <c r="E509"/>
    </row>
    <row r="510" spans="1:5">
      <c r="A510"/>
      <c r="B510"/>
      <c r="C510"/>
      <c r="D510"/>
      <c r="E510"/>
    </row>
    <row r="511" spans="1:5">
      <c r="A511"/>
      <c r="B511"/>
      <c r="C511"/>
      <c r="D511"/>
      <c r="E511"/>
    </row>
    <row r="512" spans="1:5">
      <c r="A512"/>
      <c r="B512"/>
      <c r="C512"/>
      <c r="D512"/>
      <c r="E512"/>
    </row>
    <row r="513" spans="1:5">
      <c r="A513"/>
      <c r="B513"/>
      <c r="C513"/>
      <c r="D513"/>
      <c r="E513"/>
    </row>
    <row r="514" spans="1:5">
      <c r="A514"/>
      <c r="B514"/>
      <c r="C514"/>
      <c r="D514"/>
      <c r="E514"/>
    </row>
    <row r="515" spans="1:5">
      <c r="A515"/>
      <c r="B515"/>
      <c r="C515"/>
      <c r="D515"/>
      <c r="E515"/>
    </row>
    <row r="516" spans="1:5">
      <c r="A516"/>
      <c r="B516"/>
      <c r="C516"/>
      <c r="D516"/>
      <c r="E516"/>
    </row>
    <row r="517" spans="1:5">
      <c r="A517"/>
      <c r="B517"/>
      <c r="C517"/>
      <c r="D517"/>
      <c r="E517"/>
    </row>
    <row r="518" spans="1:5">
      <c r="A518"/>
      <c r="B518"/>
      <c r="C518"/>
      <c r="D518"/>
      <c r="E518"/>
    </row>
    <row r="519" spans="1:5">
      <c r="A519"/>
      <c r="B519"/>
      <c r="C519"/>
      <c r="D519"/>
      <c r="E519"/>
    </row>
    <row r="520" spans="1:5">
      <c r="A520"/>
      <c r="B520"/>
      <c r="C520"/>
      <c r="D520"/>
      <c r="E520"/>
    </row>
    <row r="521" spans="1:5">
      <c r="A521"/>
      <c r="B521"/>
      <c r="C521"/>
      <c r="D521"/>
      <c r="E521"/>
    </row>
    <row r="522" spans="1:5">
      <c r="A522"/>
      <c r="B522"/>
      <c r="C522"/>
      <c r="D522"/>
      <c r="E522"/>
    </row>
    <row r="523" spans="1:5">
      <c r="A523"/>
      <c r="B523"/>
      <c r="C523"/>
      <c r="D523"/>
      <c r="E523"/>
    </row>
    <row r="524" spans="1:5">
      <c r="A524"/>
      <c r="B524"/>
      <c r="C524"/>
      <c r="D524"/>
      <c r="E524"/>
    </row>
    <row r="525" spans="1:5">
      <c r="A525"/>
      <c r="B525"/>
      <c r="C525"/>
      <c r="D525"/>
      <c r="E525"/>
    </row>
    <row r="526" spans="1:5">
      <c r="A526"/>
      <c r="B526"/>
      <c r="C526"/>
      <c r="D526"/>
      <c r="E526"/>
    </row>
    <row r="527" spans="1:5">
      <c r="A527"/>
      <c r="B527"/>
      <c r="C527"/>
      <c r="D527"/>
      <c r="E527"/>
    </row>
    <row r="528" spans="1:5">
      <c r="A528"/>
      <c r="B528"/>
      <c r="C528"/>
      <c r="D528"/>
      <c r="E528"/>
    </row>
    <row r="529" spans="1:5">
      <c r="A529"/>
      <c r="B529"/>
      <c r="C529"/>
      <c r="D529"/>
      <c r="E529"/>
    </row>
    <row r="530" spans="1:5">
      <c r="A530"/>
      <c r="B530"/>
      <c r="C530"/>
      <c r="D530"/>
      <c r="E530"/>
    </row>
    <row r="531" spans="1:5">
      <c r="A531"/>
      <c r="B531"/>
      <c r="C531"/>
      <c r="D531"/>
      <c r="E531"/>
    </row>
    <row r="532" spans="1:5">
      <c r="A532"/>
      <c r="B532"/>
      <c r="C532"/>
      <c r="D532"/>
      <c r="E532"/>
    </row>
    <row r="533" spans="1:5">
      <c r="A533"/>
      <c r="B533"/>
      <c r="C533"/>
      <c r="D533"/>
      <c r="E533"/>
    </row>
    <row r="534" spans="1:5">
      <c r="A534"/>
      <c r="B534"/>
      <c r="C534"/>
      <c r="D534"/>
      <c r="E534"/>
    </row>
    <row r="535" spans="1:5">
      <c r="A535"/>
      <c r="B535"/>
      <c r="C535"/>
      <c r="D535"/>
      <c r="E535"/>
    </row>
    <row r="536" spans="1:5">
      <c r="A536"/>
      <c r="B536"/>
      <c r="C536"/>
      <c r="D536"/>
      <c r="E536"/>
    </row>
    <row r="537" spans="1:5">
      <c r="A537"/>
      <c r="B537"/>
      <c r="C537"/>
      <c r="D537"/>
      <c r="E537"/>
    </row>
    <row r="538" spans="1:5">
      <c r="A538"/>
      <c r="B538"/>
      <c r="C538"/>
      <c r="D538"/>
      <c r="E538"/>
    </row>
    <row r="539" spans="1:5">
      <c r="A539"/>
      <c r="B539"/>
      <c r="C539"/>
      <c r="D539"/>
      <c r="E539"/>
    </row>
    <row r="540" spans="1:5">
      <c r="A540"/>
      <c r="B540"/>
      <c r="C540"/>
      <c r="D540"/>
      <c r="E540"/>
    </row>
    <row r="541" spans="1:5">
      <c r="A541"/>
      <c r="B541"/>
      <c r="C541"/>
      <c r="D541"/>
      <c r="E541"/>
    </row>
    <row r="542" spans="1:5">
      <c r="A542"/>
      <c r="B542"/>
      <c r="C542"/>
      <c r="D542"/>
      <c r="E542"/>
    </row>
    <row r="543" spans="1:5">
      <c r="A543"/>
      <c r="B543"/>
      <c r="C543"/>
      <c r="D543"/>
      <c r="E543"/>
    </row>
    <row r="544" spans="1:5">
      <c r="A544"/>
      <c r="B544"/>
      <c r="C544"/>
      <c r="D544"/>
      <c r="E544"/>
    </row>
    <row r="545" spans="1:5">
      <c r="A545"/>
      <c r="B545"/>
      <c r="C545"/>
      <c r="D545"/>
      <c r="E545"/>
    </row>
    <row r="546" spans="1:5">
      <c r="A546"/>
      <c r="B546"/>
      <c r="C546"/>
      <c r="D546"/>
      <c r="E546"/>
    </row>
    <row r="547" spans="1:5">
      <c r="A547"/>
      <c r="B547"/>
      <c r="C547"/>
      <c r="D547"/>
      <c r="E547"/>
    </row>
    <row r="548" spans="1:5">
      <c r="A548"/>
      <c r="B548"/>
      <c r="C548"/>
      <c r="D548"/>
      <c r="E548"/>
    </row>
    <row r="549" spans="1:5">
      <c r="A549"/>
      <c r="B549"/>
      <c r="C549"/>
      <c r="D549"/>
      <c r="E549"/>
    </row>
    <row r="550" spans="1:5">
      <c r="A550"/>
      <c r="B550"/>
      <c r="C550"/>
      <c r="D550"/>
      <c r="E550"/>
    </row>
    <row r="551" spans="1:5">
      <c r="A551"/>
      <c r="B551"/>
      <c r="C551"/>
      <c r="D551"/>
      <c r="E551"/>
    </row>
    <row r="552" spans="1:5">
      <c r="A552"/>
      <c r="B552"/>
      <c r="C552"/>
      <c r="D552"/>
      <c r="E552"/>
    </row>
    <row r="553" spans="1:5">
      <c r="A553"/>
      <c r="B553"/>
      <c r="C553"/>
      <c r="D553"/>
      <c r="E553"/>
    </row>
    <row r="554" spans="1:5">
      <c r="A554"/>
      <c r="B554"/>
      <c r="C554"/>
      <c r="D554"/>
      <c r="E554"/>
    </row>
    <row r="555" spans="1:5">
      <c r="A555"/>
      <c r="B555"/>
      <c r="C555"/>
      <c r="D555"/>
      <c r="E555"/>
    </row>
    <row r="556" spans="1:5">
      <c r="A556"/>
      <c r="B556"/>
      <c r="C556"/>
      <c r="D556"/>
      <c r="E556"/>
    </row>
    <row r="557" spans="1:5">
      <c r="A557"/>
      <c r="B557"/>
      <c r="C557"/>
      <c r="D557"/>
      <c r="E557"/>
    </row>
    <row r="558" spans="1:5">
      <c r="A558"/>
      <c r="B558"/>
      <c r="C558"/>
      <c r="D558"/>
      <c r="E558"/>
    </row>
    <row r="559" spans="1:5">
      <c r="A559"/>
      <c r="B559"/>
      <c r="C559"/>
      <c r="D559"/>
      <c r="E559"/>
    </row>
    <row r="560" spans="1:5">
      <c r="A560"/>
      <c r="B560"/>
      <c r="C560"/>
      <c r="D560"/>
      <c r="E560"/>
    </row>
    <row r="561" spans="1:5">
      <c r="A561"/>
      <c r="B561"/>
      <c r="C561"/>
      <c r="D561"/>
      <c r="E561"/>
    </row>
    <row r="562" spans="1:5">
      <c r="A562"/>
      <c r="B562"/>
      <c r="C562"/>
      <c r="D562"/>
      <c r="E562"/>
    </row>
    <row r="563" spans="1:5">
      <c r="A563"/>
      <c r="B563"/>
      <c r="C563"/>
      <c r="D563"/>
      <c r="E563"/>
    </row>
    <row r="564" spans="1:5">
      <c r="A564"/>
      <c r="B564"/>
      <c r="C564"/>
      <c r="D564"/>
      <c r="E564"/>
    </row>
    <row r="565" spans="1:5">
      <c r="A565"/>
      <c r="B565"/>
      <c r="C565"/>
      <c r="D565"/>
      <c r="E565"/>
    </row>
    <row r="566" spans="1:5">
      <c r="A566"/>
      <c r="B566"/>
      <c r="C566"/>
      <c r="D566"/>
      <c r="E566"/>
    </row>
    <row r="567" spans="1:5">
      <c r="A567"/>
      <c r="B567"/>
      <c r="C567"/>
      <c r="D567"/>
      <c r="E567"/>
    </row>
    <row r="568" spans="1:5">
      <c r="A568"/>
      <c r="B568"/>
      <c r="C568"/>
      <c r="D568"/>
      <c r="E568"/>
    </row>
    <row r="569" spans="1:5">
      <c r="A569"/>
      <c r="B569"/>
      <c r="C569"/>
      <c r="D569"/>
      <c r="E569"/>
    </row>
    <row r="570" spans="1:5">
      <c r="A570"/>
      <c r="B570"/>
      <c r="C570"/>
      <c r="D570"/>
      <c r="E570"/>
    </row>
    <row r="571" spans="1:5">
      <c r="A571"/>
      <c r="B571"/>
      <c r="C571"/>
      <c r="D571"/>
      <c r="E571"/>
    </row>
    <row r="572" spans="1:5">
      <c r="A572"/>
      <c r="B572"/>
      <c r="C572"/>
      <c r="D572"/>
      <c r="E572"/>
    </row>
    <row r="573" spans="1:5">
      <c r="A573"/>
      <c r="B573"/>
      <c r="C573"/>
      <c r="D573"/>
      <c r="E573"/>
    </row>
  </sheetData>
  <mergeCells count="1">
    <mergeCell ref="A1:T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L2:P7"/>
  <sheetViews>
    <sheetView showGridLines="0" zoomScale="70" zoomScaleNormal="70" workbookViewId="0">
      <selection activeCell="R27" sqref="R27"/>
    </sheetView>
  </sheetViews>
  <sheetFormatPr defaultColWidth="14" defaultRowHeight="15.6"/>
  <cols>
    <col min="9" max="9" width="22.59765625" customWidth="1"/>
    <col min="10" max="10" width="24.69921875" customWidth="1"/>
    <col min="11" max="11" width="42.5" customWidth="1"/>
    <col min="12" max="12" width="17.19921875" hidden="1" customWidth="1"/>
    <col min="13" max="13" width="15.69921875" hidden="1" customWidth="1"/>
    <col min="14" max="14" width="57" hidden="1" customWidth="1"/>
    <col min="15" max="15" width="45.19921875" hidden="1" customWidth="1"/>
    <col min="16" max="16" width="71.69921875" hidden="1" customWidth="1"/>
  </cols>
  <sheetData>
    <row r="2" spans="12:16">
      <c r="L2" s="481" t="s">
        <v>32</v>
      </c>
      <c r="M2" s="763" t="s">
        <v>32</v>
      </c>
    </row>
    <row r="3" spans="12:16">
      <c r="N3" s="393"/>
      <c r="O3" s="393"/>
      <c r="P3" s="393"/>
    </row>
    <row r="4" spans="12:16">
      <c r="L4" s="481" t="s">
        <v>18</v>
      </c>
      <c r="M4" s="763" t="s">
        <v>2926</v>
      </c>
      <c r="N4" s="763" t="s">
        <v>2706</v>
      </c>
      <c r="O4" s="763" t="s">
        <v>2707</v>
      </c>
      <c r="P4" s="763" t="s">
        <v>2708</v>
      </c>
    </row>
    <row r="5" spans="12:16">
      <c r="L5" s="763" t="s">
        <v>3150</v>
      </c>
      <c r="M5" s="469">
        <v>14096</v>
      </c>
      <c r="N5" s="469">
        <v>1275</v>
      </c>
      <c r="O5" s="469">
        <v>2529</v>
      </c>
      <c r="P5" s="469">
        <v>0</v>
      </c>
    </row>
    <row r="6" spans="12:16">
      <c r="L6" s="763" t="s">
        <v>3199</v>
      </c>
      <c r="M6" s="469">
        <v>5926</v>
      </c>
      <c r="N6" s="469">
        <v>1044</v>
      </c>
      <c r="O6" s="469">
        <v>2394</v>
      </c>
      <c r="P6" s="469">
        <v>3054</v>
      </c>
    </row>
    <row r="7" spans="12:16">
      <c r="L7" s="763" t="s">
        <v>1639</v>
      </c>
      <c r="M7" s="469">
        <v>20022</v>
      </c>
      <c r="N7" s="469">
        <v>2319</v>
      </c>
      <c r="O7" s="469">
        <v>4923</v>
      </c>
      <c r="P7" s="469">
        <v>3054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3330"/>
  <sheetViews>
    <sheetView topLeftCell="G4" workbookViewId="0">
      <selection activeCell="AC89" sqref="AC89"/>
    </sheetView>
  </sheetViews>
  <sheetFormatPr defaultColWidth="9" defaultRowHeight="13.8"/>
  <cols>
    <col min="1" max="3" width="9" style="18"/>
    <col min="4" max="4" width="9" style="66"/>
    <col min="5" max="5" width="15.69921875" style="65" customWidth="1"/>
    <col min="6" max="14" width="9" style="18"/>
    <col min="15" max="15" width="15.69921875" style="18" customWidth="1"/>
    <col min="16" max="27" width="9" style="18"/>
    <col min="28" max="28" width="13" style="61" customWidth="1"/>
    <col min="29" max="29" width="16.69921875" style="61" customWidth="1"/>
    <col min="30" max="16384" width="9" style="18"/>
  </cols>
  <sheetData>
    <row r="1" spans="1:29" ht="15" thickTop="1" thickBot="1">
      <c r="A1" s="1" t="s">
        <v>0</v>
      </c>
      <c r="B1" s="1" t="s">
        <v>1</v>
      </c>
      <c r="C1" s="1" t="s">
        <v>2</v>
      </c>
      <c r="D1" s="48" t="s">
        <v>3</v>
      </c>
      <c r="E1" s="48" t="s">
        <v>4</v>
      </c>
      <c r="F1" s="1" t="s">
        <v>1150</v>
      </c>
      <c r="G1" s="1" t="s">
        <v>5</v>
      </c>
      <c r="H1" s="1" t="s">
        <v>6</v>
      </c>
      <c r="I1" s="1" t="s">
        <v>49</v>
      </c>
      <c r="J1" s="1" t="s">
        <v>50</v>
      </c>
      <c r="K1" s="1" t="s">
        <v>53</v>
      </c>
      <c r="L1" s="2" t="s">
        <v>55</v>
      </c>
      <c r="M1" s="2" t="s">
        <v>57</v>
      </c>
      <c r="N1" s="2" t="s">
        <v>110</v>
      </c>
      <c r="O1" s="2" t="s">
        <v>111</v>
      </c>
      <c r="P1" s="2" t="s">
        <v>59</v>
      </c>
      <c r="Q1" s="2" t="s">
        <v>58</v>
      </c>
      <c r="R1" s="3" t="s">
        <v>60</v>
      </c>
      <c r="S1" s="3" t="s">
        <v>1151</v>
      </c>
      <c r="T1" s="4" t="s">
        <v>62</v>
      </c>
      <c r="U1" s="3" t="s">
        <v>63</v>
      </c>
      <c r="V1" s="3" t="s">
        <v>64</v>
      </c>
      <c r="W1" s="5" t="s">
        <v>65</v>
      </c>
      <c r="X1" s="5"/>
      <c r="Y1" s="5" t="s">
        <v>1152</v>
      </c>
      <c r="Z1" s="5" t="s">
        <v>66</v>
      </c>
      <c r="AA1" s="46" t="s">
        <v>67</v>
      </c>
      <c r="AB1" s="61" t="s">
        <v>1153</v>
      </c>
    </row>
    <row r="2" spans="1:29" ht="14.4" thickBot="1">
      <c r="A2" s="11" t="s">
        <v>14</v>
      </c>
      <c r="B2" s="12" t="s">
        <v>14</v>
      </c>
      <c r="C2" s="11" t="s">
        <v>14</v>
      </c>
      <c r="D2" s="52" t="s">
        <v>14</v>
      </c>
      <c r="E2" s="49" t="s">
        <v>14</v>
      </c>
      <c r="F2" s="12" t="s">
        <v>15</v>
      </c>
      <c r="G2" s="11" t="s">
        <v>15</v>
      </c>
      <c r="H2" s="12" t="s">
        <v>52</v>
      </c>
      <c r="I2" s="11" t="s">
        <v>14</v>
      </c>
      <c r="J2" s="12" t="s">
        <v>17</v>
      </c>
      <c r="K2" s="11" t="s">
        <v>54</v>
      </c>
      <c r="L2" s="12" t="s">
        <v>15</v>
      </c>
      <c r="M2" s="11" t="s">
        <v>15</v>
      </c>
      <c r="N2" s="12" t="s">
        <v>15</v>
      </c>
      <c r="O2" s="11" t="s">
        <v>15</v>
      </c>
      <c r="P2" s="12" t="s">
        <v>54</v>
      </c>
      <c r="Q2" s="11" t="s">
        <v>15</v>
      </c>
      <c r="R2" s="12" t="s">
        <v>15</v>
      </c>
      <c r="S2" s="11" t="s">
        <v>15</v>
      </c>
      <c r="T2" s="12" t="s">
        <v>15</v>
      </c>
      <c r="U2" s="11" t="s">
        <v>1154</v>
      </c>
      <c r="V2" s="12" t="s">
        <v>1154</v>
      </c>
      <c r="W2" s="11" t="s">
        <v>15</v>
      </c>
      <c r="X2" s="11"/>
      <c r="Y2" s="12" t="s">
        <v>15</v>
      </c>
      <c r="Z2" s="11" t="s">
        <v>15</v>
      </c>
      <c r="AA2" s="47" t="s">
        <v>15</v>
      </c>
    </row>
    <row r="3" spans="1:29" ht="139.19999999999999" thickTop="1" thickBot="1">
      <c r="A3" s="14" t="s">
        <v>18</v>
      </c>
      <c r="B3" s="13" t="s">
        <v>1155</v>
      </c>
      <c r="C3" s="14" t="s">
        <v>19</v>
      </c>
      <c r="D3" s="53" t="s">
        <v>20</v>
      </c>
      <c r="E3" s="50" t="s">
        <v>21</v>
      </c>
      <c r="F3" s="13" t="s">
        <v>23</v>
      </c>
      <c r="G3" s="14" t="s">
        <v>1156</v>
      </c>
      <c r="H3" s="13" t="s">
        <v>1157</v>
      </c>
      <c r="I3" s="14" t="s">
        <v>1158</v>
      </c>
      <c r="J3" s="13" t="s">
        <v>1159</v>
      </c>
      <c r="K3" s="14" t="s">
        <v>1160</v>
      </c>
      <c r="L3" s="13" t="s">
        <v>1161</v>
      </c>
      <c r="M3" s="14" t="s">
        <v>1162</v>
      </c>
      <c r="N3" s="13" t="s">
        <v>1163</v>
      </c>
      <c r="O3" s="14" t="s">
        <v>1164</v>
      </c>
      <c r="P3" s="13" t="s">
        <v>1165</v>
      </c>
      <c r="Q3" s="14" t="s">
        <v>1166</v>
      </c>
      <c r="R3" s="13" t="s">
        <v>1167</v>
      </c>
      <c r="S3" s="14" t="s">
        <v>1168</v>
      </c>
      <c r="T3" s="13" t="s">
        <v>1169</v>
      </c>
      <c r="U3" s="14" t="s">
        <v>1170</v>
      </c>
      <c r="V3" s="13" t="s">
        <v>1171</v>
      </c>
      <c r="W3" s="16" t="s">
        <v>1172</v>
      </c>
      <c r="X3" s="16" t="s">
        <v>1173</v>
      </c>
      <c r="Y3" s="13" t="s">
        <v>1174</v>
      </c>
      <c r="Z3" s="14" t="s">
        <v>1175</v>
      </c>
      <c r="AA3" s="56" t="s">
        <v>1176</v>
      </c>
      <c r="AB3" s="62" t="s">
        <v>1177</v>
      </c>
      <c r="AC3" s="62" t="s">
        <v>1178</v>
      </c>
    </row>
    <row r="4" spans="1:29" ht="15" thickTop="1" thickBot="1">
      <c r="A4" s="10" t="s">
        <v>1179</v>
      </c>
      <c r="B4" s="10" t="s">
        <v>1180</v>
      </c>
      <c r="C4" s="8" t="s">
        <v>36</v>
      </c>
      <c r="D4" s="51" t="s">
        <v>325</v>
      </c>
      <c r="E4" s="51" t="s">
        <v>627</v>
      </c>
      <c r="F4" s="7"/>
      <c r="G4" s="8"/>
      <c r="H4" s="7" t="s">
        <v>40</v>
      </c>
      <c r="I4" s="40" t="s">
        <v>310</v>
      </c>
      <c r="J4" s="7"/>
      <c r="K4" s="15">
        <v>0</v>
      </c>
      <c r="L4" s="7"/>
      <c r="M4" s="8"/>
      <c r="N4" s="7"/>
      <c r="O4" s="8"/>
      <c r="P4" s="7"/>
      <c r="Q4" s="7"/>
      <c r="R4" s="8"/>
      <c r="S4" s="7"/>
      <c r="T4" s="9"/>
      <c r="U4" s="7" t="s">
        <v>127</v>
      </c>
      <c r="V4" s="7" t="s">
        <v>127</v>
      </c>
      <c r="W4" s="7"/>
      <c r="X4" s="7" t="s">
        <v>128</v>
      </c>
      <c r="Y4" s="8"/>
      <c r="Z4" s="7"/>
      <c r="AA4" s="57"/>
      <c r="AB4" s="61" t="s">
        <v>2648</v>
      </c>
      <c r="AC4" s="61" t="s">
        <v>357</v>
      </c>
    </row>
    <row r="5" spans="1:29" ht="15" thickTop="1" thickBot="1">
      <c r="A5" s="10" t="s">
        <v>1181</v>
      </c>
      <c r="B5" s="10" t="s">
        <v>314</v>
      </c>
      <c r="C5" s="8" t="s">
        <v>294</v>
      </c>
      <c r="D5" s="51" t="s">
        <v>185</v>
      </c>
      <c r="E5" s="51" t="s">
        <v>540</v>
      </c>
      <c r="F5" s="7"/>
      <c r="G5" s="8"/>
      <c r="H5" s="7" t="s">
        <v>126</v>
      </c>
      <c r="I5" s="40" t="s">
        <v>140</v>
      </c>
      <c r="J5" s="7"/>
      <c r="K5" s="15">
        <v>0.1</v>
      </c>
      <c r="L5" s="7"/>
      <c r="M5" s="8"/>
      <c r="N5" s="7"/>
      <c r="O5" s="8"/>
      <c r="P5" s="7"/>
      <c r="Q5" s="7"/>
      <c r="R5" s="8"/>
      <c r="S5" s="7"/>
      <c r="T5" s="9"/>
      <c r="U5" s="7" t="s">
        <v>1182</v>
      </c>
      <c r="V5" s="7" t="s">
        <v>141</v>
      </c>
      <c r="W5" s="7"/>
      <c r="X5" s="7" t="s">
        <v>219</v>
      </c>
      <c r="Y5" s="8"/>
      <c r="Z5" s="7"/>
      <c r="AA5" s="57"/>
      <c r="AB5" s="61" t="s">
        <v>2648</v>
      </c>
      <c r="AC5" s="61" t="s">
        <v>302</v>
      </c>
    </row>
    <row r="6" spans="1:29" ht="15" thickTop="1" thickBot="1">
      <c r="A6" s="10" t="s">
        <v>1183</v>
      </c>
      <c r="B6" s="10" t="s">
        <v>1184</v>
      </c>
      <c r="C6" s="8" t="s">
        <v>698</v>
      </c>
      <c r="D6" s="51" t="s">
        <v>319</v>
      </c>
      <c r="E6" s="51" t="s">
        <v>661</v>
      </c>
      <c r="F6" s="7"/>
      <c r="G6" s="8"/>
      <c r="H6" s="7" t="s">
        <v>283</v>
      </c>
      <c r="I6" s="6" t="s">
        <v>1185</v>
      </c>
      <c r="J6" s="7"/>
      <c r="K6" s="15">
        <v>0.2</v>
      </c>
      <c r="L6" s="7"/>
      <c r="M6" s="8"/>
      <c r="N6" s="7"/>
      <c r="O6" s="8"/>
      <c r="P6" s="7"/>
      <c r="Q6" s="7"/>
      <c r="R6" s="8"/>
      <c r="S6" s="7"/>
      <c r="T6" s="9"/>
      <c r="U6" s="7" t="s">
        <v>176</v>
      </c>
      <c r="V6" s="7" t="s">
        <v>176</v>
      </c>
      <c r="W6" s="7"/>
      <c r="X6" s="7" t="s">
        <v>135</v>
      </c>
      <c r="Y6" s="8"/>
      <c r="Z6" s="7"/>
      <c r="AA6" s="57"/>
      <c r="AB6" s="61" t="s">
        <v>2648</v>
      </c>
      <c r="AC6" s="61" t="s">
        <v>312</v>
      </c>
    </row>
    <row r="7" spans="1:29" ht="15" thickTop="1" thickBot="1">
      <c r="A7" s="10" t="s">
        <v>1186</v>
      </c>
      <c r="B7" s="10" t="s">
        <v>1187</v>
      </c>
      <c r="D7" s="51" t="s">
        <v>136</v>
      </c>
      <c r="E7" s="51" t="s">
        <v>579</v>
      </c>
      <c r="F7" s="7"/>
      <c r="G7" s="8"/>
      <c r="H7" s="7"/>
      <c r="I7" s="40" t="s">
        <v>327</v>
      </c>
      <c r="J7" s="7"/>
      <c r="K7" s="15">
        <v>0.3</v>
      </c>
      <c r="L7" s="7"/>
      <c r="M7" s="8"/>
      <c r="N7" s="7"/>
      <c r="O7" s="8"/>
      <c r="P7" s="7"/>
      <c r="Q7" s="7"/>
      <c r="R7" s="8"/>
      <c r="S7" s="7"/>
      <c r="T7" s="9"/>
      <c r="U7" s="7" t="s">
        <v>130</v>
      </c>
      <c r="V7" s="7" t="s">
        <v>130</v>
      </c>
      <c r="W7" s="7"/>
      <c r="X7" s="7"/>
      <c r="Y7" s="8"/>
      <c r="Z7" s="7"/>
      <c r="AA7" s="57"/>
      <c r="AB7" s="61" t="s">
        <v>2648</v>
      </c>
      <c r="AC7" s="61" t="s">
        <v>471</v>
      </c>
    </row>
    <row r="8" spans="1:29" ht="15" thickTop="1" thickBot="1">
      <c r="A8" s="10" t="s">
        <v>1188</v>
      </c>
      <c r="B8" s="10" t="s">
        <v>1189</v>
      </c>
      <c r="D8" s="51" t="s">
        <v>138</v>
      </c>
      <c r="E8" s="51" t="s">
        <v>601</v>
      </c>
      <c r="F8" s="7"/>
      <c r="G8" s="8"/>
      <c r="H8" s="7"/>
      <c r="I8" s="54" t="s">
        <v>1190</v>
      </c>
      <c r="J8" s="7"/>
      <c r="K8" s="15">
        <v>0.4</v>
      </c>
      <c r="L8" s="7"/>
      <c r="M8" s="8"/>
      <c r="N8" s="7"/>
      <c r="O8" s="8"/>
      <c r="P8" s="7"/>
      <c r="Q8" s="7"/>
      <c r="R8" s="8"/>
      <c r="S8" s="7"/>
      <c r="T8" s="9"/>
      <c r="U8" s="64"/>
      <c r="V8" s="64"/>
      <c r="W8" s="7"/>
      <c r="X8" s="7"/>
      <c r="Y8" s="8"/>
      <c r="Z8" s="7"/>
      <c r="AA8" s="57"/>
      <c r="AB8" s="61" t="s">
        <v>2648</v>
      </c>
      <c r="AC8" s="61" t="s">
        <v>399</v>
      </c>
    </row>
    <row r="9" spans="1:29" ht="14.4" thickBot="1">
      <c r="A9" s="10" t="s">
        <v>1191</v>
      </c>
      <c r="B9" s="10" t="s">
        <v>2269</v>
      </c>
      <c r="D9" s="51" t="s">
        <v>717</v>
      </c>
      <c r="E9" s="51" t="s">
        <v>648</v>
      </c>
      <c r="F9" s="7"/>
      <c r="G9" s="8"/>
      <c r="H9" s="7"/>
      <c r="I9" s="39" t="s">
        <v>1192</v>
      </c>
      <c r="J9" s="7"/>
      <c r="K9" s="15">
        <v>0.5</v>
      </c>
      <c r="L9" s="7"/>
      <c r="M9" s="8"/>
      <c r="N9" s="7"/>
      <c r="O9" s="8"/>
      <c r="P9" s="7"/>
      <c r="Q9" s="7"/>
      <c r="R9" s="8"/>
      <c r="S9" s="7"/>
      <c r="T9" s="9"/>
      <c r="U9" s="7"/>
      <c r="V9" s="8"/>
      <c r="W9" s="7"/>
      <c r="X9" s="7"/>
      <c r="Y9" s="8"/>
      <c r="Z9" s="7"/>
      <c r="AA9" s="57"/>
      <c r="AB9" s="61" t="s">
        <v>2648</v>
      </c>
      <c r="AC9" s="61" t="s">
        <v>402</v>
      </c>
    </row>
    <row r="10" spans="1:29" ht="14.4" thickBot="1">
      <c r="A10" s="10" t="s">
        <v>1193</v>
      </c>
      <c r="B10" s="10" t="s">
        <v>304</v>
      </c>
      <c r="D10" s="51" t="s">
        <v>739</v>
      </c>
      <c r="E10" s="51" t="s">
        <v>936</v>
      </c>
      <c r="F10" s="7"/>
      <c r="G10" s="8"/>
      <c r="H10" s="7"/>
      <c r="I10" s="39" t="s">
        <v>1195</v>
      </c>
      <c r="J10" s="7"/>
      <c r="K10" s="15">
        <v>0.6</v>
      </c>
      <c r="L10" s="7"/>
      <c r="M10" s="8"/>
      <c r="N10" s="7"/>
      <c r="O10" s="8"/>
      <c r="P10" s="7"/>
      <c r="Q10" s="7"/>
      <c r="R10" s="8"/>
      <c r="S10" s="7"/>
      <c r="T10" s="9"/>
      <c r="U10" s="7"/>
      <c r="V10" s="8"/>
      <c r="W10" s="7"/>
      <c r="X10" s="7"/>
      <c r="Y10" s="8"/>
      <c r="Z10" s="7"/>
      <c r="AA10" s="57"/>
      <c r="AB10" s="61" t="s">
        <v>2648</v>
      </c>
      <c r="AC10" s="61" t="s">
        <v>452</v>
      </c>
    </row>
    <row r="11" spans="1:29" ht="14.4" thickBot="1">
      <c r="A11" s="10" t="s">
        <v>1193</v>
      </c>
      <c r="B11" s="10" t="s">
        <v>1194</v>
      </c>
      <c r="D11" s="51" t="s">
        <v>771</v>
      </c>
      <c r="E11" s="51" t="s">
        <v>538</v>
      </c>
      <c r="F11" s="7"/>
      <c r="G11" s="8"/>
      <c r="H11" s="7"/>
      <c r="I11" s="30" t="s">
        <v>297</v>
      </c>
      <c r="J11" s="7"/>
      <c r="K11" s="15">
        <v>0.7</v>
      </c>
      <c r="L11" s="7"/>
      <c r="M11" s="8"/>
      <c r="N11" s="7"/>
      <c r="O11" s="8"/>
      <c r="P11" s="7"/>
      <c r="Q11" s="7"/>
      <c r="R11" s="8"/>
      <c r="S11" s="7"/>
      <c r="T11" s="9"/>
      <c r="U11" s="7"/>
      <c r="V11" s="8"/>
      <c r="W11" s="7"/>
      <c r="X11" s="7"/>
      <c r="Y11" s="8"/>
      <c r="Z11" s="7"/>
      <c r="AA11" s="57"/>
      <c r="AB11" s="61" t="s">
        <v>2648</v>
      </c>
      <c r="AC11" s="61" t="s">
        <v>354</v>
      </c>
    </row>
    <row r="12" spans="1:29" ht="14.4" thickBot="1">
      <c r="A12" s="10" t="s">
        <v>1196</v>
      </c>
      <c r="B12" s="10" t="s">
        <v>318</v>
      </c>
      <c r="D12" s="51" t="s">
        <v>1069</v>
      </c>
      <c r="E12" s="51" t="s">
        <v>567</v>
      </c>
      <c r="F12" s="7"/>
      <c r="G12" s="8"/>
      <c r="H12" s="7"/>
      <c r="I12" s="30" t="s">
        <v>218</v>
      </c>
      <c r="J12" s="7"/>
      <c r="K12" s="15">
        <v>0.8</v>
      </c>
      <c r="L12" s="7"/>
      <c r="M12" s="8"/>
      <c r="N12" s="7"/>
      <c r="O12" s="8"/>
      <c r="P12" s="7"/>
      <c r="Q12" s="7"/>
      <c r="R12" s="8"/>
      <c r="S12" s="7"/>
      <c r="T12" s="9"/>
      <c r="U12" s="7"/>
      <c r="V12" s="8"/>
      <c r="W12" s="7"/>
      <c r="X12" s="7"/>
      <c r="Y12" s="8"/>
      <c r="Z12" s="7"/>
      <c r="AA12" s="57"/>
      <c r="AB12" s="61" t="s">
        <v>2648</v>
      </c>
      <c r="AC12" s="61" t="s">
        <v>295</v>
      </c>
    </row>
    <row r="13" spans="1:29" ht="14.4" thickBot="1">
      <c r="A13" s="10" t="s">
        <v>1198</v>
      </c>
      <c r="B13" s="10" t="s">
        <v>1197</v>
      </c>
      <c r="C13" s="64"/>
      <c r="D13" s="51" t="s">
        <v>702</v>
      </c>
      <c r="E13" s="51" t="s">
        <v>589</v>
      </c>
      <c r="F13" s="7"/>
      <c r="G13" s="8"/>
      <c r="H13" s="7"/>
      <c r="I13" s="30" t="s">
        <v>39</v>
      </c>
      <c r="J13" s="7"/>
      <c r="K13" s="15">
        <v>0.9</v>
      </c>
      <c r="L13" s="7"/>
      <c r="M13" s="8"/>
      <c r="N13" s="7"/>
      <c r="O13" s="8"/>
      <c r="P13" s="7"/>
      <c r="Q13" s="7"/>
      <c r="R13" s="8"/>
      <c r="S13" s="7"/>
      <c r="T13" s="9"/>
      <c r="U13" s="7"/>
      <c r="V13" s="8"/>
      <c r="W13" s="7"/>
      <c r="X13" s="7"/>
      <c r="Y13" s="8"/>
      <c r="Z13" s="7"/>
      <c r="AA13" s="57"/>
      <c r="AB13" s="61" t="s">
        <v>36</v>
      </c>
      <c r="AC13" s="61" t="s">
        <v>185</v>
      </c>
    </row>
    <row r="14" spans="1:29" ht="14.4" thickBot="1">
      <c r="A14" s="10" t="s">
        <v>1200</v>
      </c>
      <c r="B14" s="10" t="s">
        <v>1199</v>
      </c>
      <c r="D14" s="51" t="s">
        <v>357</v>
      </c>
      <c r="E14" s="51" t="s">
        <v>581</v>
      </c>
      <c r="F14" s="7"/>
      <c r="G14" s="8"/>
      <c r="H14" s="7"/>
      <c r="I14" s="45" t="s">
        <v>216</v>
      </c>
      <c r="J14" s="7"/>
      <c r="K14" s="15">
        <v>1</v>
      </c>
      <c r="L14" s="7"/>
      <c r="M14" s="8"/>
      <c r="N14" s="7"/>
      <c r="O14" s="8"/>
      <c r="P14" s="7"/>
      <c r="Q14" s="7"/>
      <c r="R14" s="8"/>
      <c r="S14" s="7"/>
      <c r="T14" s="9"/>
      <c r="U14" s="7"/>
      <c r="V14" s="8"/>
      <c r="W14" s="7"/>
      <c r="X14" s="7"/>
      <c r="Y14" s="8"/>
      <c r="Z14" s="7"/>
      <c r="AA14" s="57"/>
      <c r="AB14" s="61" t="s">
        <v>36</v>
      </c>
      <c r="AC14" s="61" t="s">
        <v>136</v>
      </c>
    </row>
    <row r="15" spans="1:29" ht="14.4" thickBot="1">
      <c r="A15" s="10" t="s">
        <v>1202</v>
      </c>
      <c r="B15" s="10" t="s">
        <v>1201</v>
      </c>
      <c r="D15" s="51" t="s">
        <v>302</v>
      </c>
      <c r="E15" s="51" t="s">
        <v>550</v>
      </c>
      <c r="F15" s="7"/>
      <c r="G15" s="8"/>
      <c r="H15" s="7"/>
      <c r="I15" s="30" t="s">
        <v>282</v>
      </c>
      <c r="J15" s="7"/>
      <c r="K15" s="8"/>
      <c r="L15" s="7"/>
      <c r="M15" s="8"/>
      <c r="N15" s="7"/>
      <c r="O15" s="8"/>
      <c r="P15" s="7"/>
      <c r="Q15" s="7"/>
      <c r="R15" s="8"/>
      <c r="S15" s="7"/>
      <c r="T15" s="9"/>
      <c r="U15" s="7"/>
      <c r="V15" s="8"/>
      <c r="W15" s="7"/>
      <c r="X15" s="7"/>
      <c r="Y15" s="8"/>
      <c r="Z15" s="7"/>
      <c r="AA15" s="57"/>
      <c r="AB15" s="61" t="s">
        <v>36</v>
      </c>
      <c r="AC15" s="61" t="s">
        <v>138</v>
      </c>
    </row>
    <row r="16" spans="1:29" ht="14.4" thickBot="1">
      <c r="A16" s="10" t="s">
        <v>1205</v>
      </c>
      <c r="B16" s="10" t="s">
        <v>1203</v>
      </c>
      <c r="D16" s="51" t="s">
        <v>1074</v>
      </c>
      <c r="E16" s="51" t="s">
        <v>551</v>
      </c>
      <c r="F16" s="7"/>
      <c r="G16" s="8"/>
      <c r="H16" s="7"/>
      <c r="I16" s="30" t="s">
        <v>701</v>
      </c>
      <c r="J16" s="7"/>
      <c r="K16" s="8"/>
      <c r="L16" s="7"/>
      <c r="M16" s="8"/>
      <c r="N16" s="7"/>
      <c r="O16" s="8"/>
      <c r="P16" s="7"/>
      <c r="Q16" s="7"/>
      <c r="R16" s="8"/>
      <c r="S16" s="7"/>
      <c r="T16" s="9"/>
      <c r="U16" s="7"/>
      <c r="V16" s="8"/>
      <c r="W16" s="7"/>
      <c r="X16" s="7"/>
      <c r="Y16" s="8"/>
      <c r="Z16" s="7"/>
      <c r="AA16" s="57"/>
      <c r="AB16" s="61" t="s">
        <v>36</v>
      </c>
      <c r="AC16" s="61" t="s">
        <v>771</v>
      </c>
    </row>
    <row r="17" spans="1:29" ht="14.4" thickBot="1">
      <c r="A17" s="10" t="s">
        <v>1206</v>
      </c>
      <c r="B17" s="10" t="s">
        <v>409</v>
      </c>
      <c r="D17" s="51" t="s">
        <v>37</v>
      </c>
      <c r="E17" s="51" t="s">
        <v>529</v>
      </c>
      <c r="F17" s="7"/>
      <c r="G17" s="8"/>
      <c r="H17" s="7"/>
      <c r="I17" s="30" t="s">
        <v>275</v>
      </c>
      <c r="J17" s="7"/>
      <c r="K17" s="8"/>
      <c r="L17" s="7"/>
      <c r="M17" s="8"/>
      <c r="N17" s="7"/>
      <c r="O17" s="8"/>
      <c r="P17" s="7"/>
      <c r="Q17" s="7"/>
      <c r="R17" s="8"/>
      <c r="S17" s="7"/>
      <c r="T17" s="9"/>
      <c r="U17" s="7"/>
      <c r="V17" s="8"/>
      <c r="W17" s="7"/>
      <c r="X17" s="7"/>
      <c r="Y17" s="8"/>
      <c r="Z17" s="7"/>
      <c r="AA17" s="57"/>
      <c r="AB17" s="61" t="s">
        <v>36</v>
      </c>
      <c r="AC17" s="61" t="s">
        <v>1069</v>
      </c>
    </row>
    <row r="18" spans="1:29" ht="14.4" thickBot="1">
      <c r="A18" s="41" t="s">
        <v>1208</v>
      </c>
      <c r="B18" s="10" t="s">
        <v>1207</v>
      </c>
      <c r="D18" s="51" t="s">
        <v>705</v>
      </c>
      <c r="E18" s="51" t="s">
        <v>664</v>
      </c>
      <c r="F18" s="7"/>
      <c r="G18" s="8"/>
      <c r="H18" s="7"/>
      <c r="I18" s="30" t="s">
        <v>268</v>
      </c>
      <c r="J18" s="7"/>
      <c r="K18" s="8"/>
      <c r="L18" s="7"/>
      <c r="M18" s="8"/>
      <c r="N18" s="7"/>
      <c r="O18" s="8"/>
      <c r="P18" s="7"/>
      <c r="Q18" s="7"/>
      <c r="R18" s="8"/>
      <c r="S18" s="7"/>
      <c r="T18" s="9"/>
      <c r="U18" s="7"/>
      <c r="V18" s="8"/>
      <c r="W18" s="7"/>
      <c r="X18" s="7"/>
      <c r="Y18" s="8"/>
      <c r="Z18" s="7"/>
      <c r="AA18" s="57"/>
      <c r="AB18" s="61" t="s">
        <v>36</v>
      </c>
      <c r="AC18" s="61" t="s">
        <v>1074</v>
      </c>
    </row>
    <row r="19" spans="1:29" ht="14.4" thickBot="1">
      <c r="A19" s="41" t="s">
        <v>1210</v>
      </c>
      <c r="B19" s="10" t="s">
        <v>1209</v>
      </c>
      <c r="D19" s="51" t="s">
        <v>305</v>
      </c>
      <c r="E19" s="51" t="s">
        <v>663</v>
      </c>
      <c r="F19" s="7"/>
      <c r="G19" s="8"/>
      <c r="H19" s="7"/>
      <c r="I19" s="30" t="s">
        <v>307</v>
      </c>
      <c r="J19" s="7"/>
      <c r="K19" s="8"/>
      <c r="L19" s="7"/>
      <c r="M19" s="8"/>
      <c r="N19" s="7"/>
      <c r="O19" s="8"/>
      <c r="P19" s="7"/>
      <c r="Q19" s="7"/>
      <c r="R19" s="8"/>
      <c r="S19" s="7"/>
      <c r="T19" s="9"/>
      <c r="U19" s="7"/>
      <c r="V19" s="8"/>
      <c r="W19" s="7"/>
      <c r="X19" s="7"/>
      <c r="Y19" s="8"/>
      <c r="Z19" s="7"/>
      <c r="AA19" s="57"/>
      <c r="AB19" s="61" t="s">
        <v>36</v>
      </c>
      <c r="AC19" s="61" t="s">
        <v>1315</v>
      </c>
    </row>
    <row r="20" spans="1:29" ht="14.4" thickBot="1">
      <c r="A20" s="41" t="s">
        <v>34</v>
      </c>
      <c r="B20" s="10" t="s">
        <v>131</v>
      </c>
      <c r="D20" s="51" t="s">
        <v>312</v>
      </c>
      <c r="E20" s="51" t="s">
        <v>640</v>
      </c>
      <c r="F20" s="7"/>
      <c r="G20" s="8"/>
      <c r="H20" s="7"/>
      <c r="I20" s="30" t="s">
        <v>316</v>
      </c>
      <c r="J20" s="7"/>
      <c r="K20" s="8"/>
      <c r="L20" s="7"/>
      <c r="M20" s="8"/>
      <c r="N20" s="7"/>
      <c r="O20" s="8"/>
      <c r="P20" s="7"/>
      <c r="Q20" s="7"/>
      <c r="R20" s="8"/>
      <c r="S20" s="7"/>
      <c r="T20" s="9"/>
      <c r="U20" s="7"/>
      <c r="V20" s="8"/>
      <c r="W20" s="7"/>
      <c r="X20" s="7"/>
      <c r="Y20" s="8"/>
      <c r="Z20" s="7"/>
      <c r="AA20" s="57"/>
      <c r="AB20" s="61" t="s">
        <v>36</v>
      </c>
      <c r="AC20" s="61" t="s">
        <v>37</v>
      </c>
    </row>
    <row r="21" spans="1:29" ht="14.4" thickBot="1">
      <c r="A21" s="41" t="s">
        <v>1212</v>
      </c>
      <c r="B21" s="10" t="s">
        <v>35</v>
      </c>
      <c r="D21" s="51" t="s">
        <v>142</v>
      </c>
      <c r="E21" s="51" t="s">
        <v>578</v>
      </c>
      <c r="F21" s="7"/>
      <c r="G21" s="8"/>
      <c r="H21" s="7"/>
      <c r="I21" s="39" t="s">
        <v>1214</v>
      </c>
      <c r="J21" s="7"/>
      <c r="K21" s="8"/>
      <c r="L21" s="7"/>
      <c r="M21" s="8"/>
      <c r="N21" s="7"/>
      <c r="O21" s="8"/>
      <c r="P21" s="7"/>
      <c r="Q21" s="7"/>
      <c r="R21" s="8"/>
      <c r="S21" s="7"/>
      <c r="T21" s="9"/>
      <c r="U21" s="7"/>
      <c r="V21" s="8"/>
      <c r="W21" s="7"/>
      <c r="X21" s="7"/>
      <c r="Y21" s="8"/>
      <c r="Z21" s="7"/>
      <c r="AA21" s="57"/>
      <c r="AB21" s="61" t="s">
        <v>36</v>
      </c>
      <c r="AC21" s="61" t="s">
        <v>142</v>
      </c>
    </row>
    <row r="22" spans="1:29" ht="14.4" thickBot="1">
      <c r="A22" s="41" t="s">
        <v>1968</v>
      </c>
      <c r="B22" s="10" t="s">
        <v>1213</v>
      </c>
      <c r="D22" s="51" t="s">
        <v>147</v>
      </c>
      <c r="E22" s="51" t="s">
        <v>541</v>
      </c>
      <c r="F22" s="7"/>
      <c r="G22" s="8"/>
      <c r="H22" s="7"/>
      <c r="I22" s="39" t="s">
        <v>1216</v>
      </c>
      <c r="J22" s="7"/>
      <c r="K22" s="8"/>
      <c r="L22" s="7"/>
      <c r="M22" s="8"/>
      <c r="N22" s="7"/>
      <c r="O22" s="8"/>
      <c r="P22" s="7"/>
      <c r="Q22" s="7"/>
      <c r="R22" s="8"/>
      <c r="S22" s="7"/>
      <c r="T22" s="9"/>
      <c r="U22" s="7"/>
      <c r="V22" s="8"/>
      <c r="W22" s="7"/>
      <c r="X22" s="7"/>
      <c r="Y22" s="8"/>
      <c r="Z22" s="7"/>
      <c r="AA22" s="57"/>
      <c r="AB22" s="61" t="s">
        <v>36</v>
      </c>
      <c r="AC22" s="61" t="s">
        <v>147</v>
      </c>
    </row>
    <row r="23" spans="1:29" ht="14.4" thickBot="1">
      <c r="A23" s="41" t="s">
        <v>2211</v>
      </c>
      <c r="B23" s="10" t="s">
        <v>1215</v>
      </c>
      <c r="D23" s="51" t="s">
        <v>195</v>
      </c>
      <c r="E23" s="51" t="s">
        <v>659</v>
      </c>
      <c r="F23" s="7"/>
      <c r="G23" s="8"/>
      <c r="H23" s="7"/>
      <c r="I23" s="30" t="s">
        <v>334</v>
      </c>
      <c r="J23" s="7"/>
      <c r="K23" s="8"/>
      <c r="L23" s="7"/>
      <c r="M23" s="8"/>
      <c r="N23" s="7"/>
      <c r="O23" s="8"/>
      <c r="P23" s="7"/>
      <c r="Q23" s="7"/>
      <c r="R23" s="8"/>
      <c r="S23" s="7"/>
      <c r="T23" s="9"/>
      <c r="U23" s="7"/>
      <c r="V23" s="8"/>
      <c r="W23" s="7"/>
      <c r="X23" s="7"/>
      <c r="Y23" s="8"/>
      <c r="Z23" s="7"/>
      <c r="AA23" s="57"/>
      <c r="AB23" s="61" t="s">
        <v>36</v>
      </c>
      <c r="AC23" s="61" t="s">
        <v>195</v>
      </c>
    </row>
    <row r="24" spans="1:29" ht="14.4" thickBot="1">
      <c r="A24" s="41" t="s">
        <v>2212</v>
      </c>
      <c r="B24" s="10" t="s">
        <v>1217</v>
      </c>
      <c r="D24" s="51" t="s">
        <v>471</v>
      </c>
      <c r="E24" s="51" t="s">
        <v>620</v>
      </c>
      <c r="F24" s="7"/>
      <c r="G24" s="8"/>
      <c r="H24" s="7"/>
      <c r="I24" s="30" t="s">
        <v>704</v>
      </c>
      <c r="J24" s="7"/>
      <c r="K24" s="8"/>
      <c r="L24" s="7"/>
      <c r="M24" s="8"/>
      <c r="N24" s="7"/>
      <c r="O24" s="8"/>
      <c r="P24" s="7"/>
      <c r="Q24" s="7"/>
      <c r="R24" s="8"/>
      <c r="S24" s="7"/>
      <c r="T24" s="9"/>
      <c r="U24" s="7"/>
      <c r="V24" s="8"/>
      <c r="W24" s="7"/>
      <c r="X24" s="7"/>
      <c r="Y24" s="8"/>
      <c r="Z24" s="7"/>
      <c r="AA24" s="57"/>
      <c r="AB24" s="61" t="s">
        <v>36</v>
      </c>
      <c r="AC24" s="61" t="s">
        <v>149</v>
      </c>
    </row>
    <row r="25" spans="1:29" ht="14.4" thickBot="1">
      <c r="A25" s="41" t="s">
        <v>2354</v>
      </c>
      <c r="B25" s="10" t="s">
        <v>1218</v>
      </c>
      <c r="D25" s="51" t="s">
        <v>708</v>
      </c>
      <c r="E25" s="51" t="s">
        <v>613</v>
      </c>
      <c r="F25" s="7"/>
      <c r="G25" s="8"/>
      <c r="H25" s="7"/>
      <c r="I25" s="39" t="s">
        <v>1220</v>
      </c>
      <c r="J25" s="7"/>
      <c r="K25" s="8"/>
      <c r="L25" s="7"/>
      <c r="M25" s="8"/>
      <c r="N25" s="7"/>
      <c r="O25" s="8"/>
      <c r="P25" s="7"/>
      <c r="Q25" s="7"/>
      <c r="R25" s="8"/>
      <c r="S25" s="7"/>
      <c r="T25" s="9"/>
      <c r="U25" s="7"/>
      <c r="V25" s="8"/>
      <c r="W25" s="7"/>
      <c r="X25" s="7"/>
      <c r="Y25" s="8"/>
      <c r="Z25" s="7"/>
      <c r="AA25" s="57"/>
      <c r="AB25" s="61" t="s">
        <v>36</v>
      </c>
      <c r="AC25" s="61" t="s">
        <v>1204</v>
      </c>
    </row>
    <row r="26" spans="1:29" ht="14.4" thickBot="1">
      <c r="A26" s="41" t="s">
        <v>2355</v>
      </c>
      <c r="B26" s="10" t="s">
        <v>293</v>
      </c>
      <c r="D26" s="51" t="s">
        <v>399</v>
      </c>
      <c r="E26" s="51" t="s">
        <v>604</v>
      </c>
      <c r="F26" s="7"/>
      <c r="G26" s="8"/>
      <c r="H26" s="7"/>
      <c r="I26" s="30" t="s">
        <v>461</v>
      </c>
      <c r="J26" s="7"/>
      <c r="K26" s="8"/>
      <c r="L26" s="7"/>
      <c r="M26" s="8"/>
      <c r="N26" s="7"/>
      <c r="O26" s="8"/>
      <c r="P26" s="7"/>
      <c r="Q26" s="7"/>
      <c r="R26" s="8"/>
      <c r="S26" s="7"/>
      <c r="T26" s="9"/>
      <c r="U26" s="7"/>
      <c r="V26" s="8"/>
      <c r="W26" s="7"/>
      <c r="X26" s="7"/>
      <c r="Y26" s="8"/>
      <c r="Z26" s="7"/>
      <c r="AA26" s="57"/>
      <c r="AB26" s="61" t="s">
        <v>36</v>
      </c>
      <c r="AC26" s="61" t="s">
        <v>163</v>
      </c>
    </row>
    <row r="27" spans="1:29" ht="14.4" thickBot="1">
      <c r="A27" s="41" t="s">
        <v>2356</v>
      </c>
      <c r="B27" s="10" t="s">
        <v>308</v>
      </c>
      <c r="D27" s="51" t="s">
        <v>149</v>
      </c>
      <c r="E27" s="51" t="s">
        <v>532</v>
      </c>
      <c r="F27" s="7"/>
      <c r="G27" s="8"/>
      <c r="H27" s="7"/>
      <c r="I27" s="30" t="s">
        <v>339</v>
      </c>
      <c r="J27" s="7"/>
      <c r="K27" s="8"/>
      <c r="L27" s="7"/>
      <c r="M27" s="8"/>
      <c r="N27" s="7"/>
      <c r="O27" s="8"/>
      <c r="P27" s="7"/>
      <c r="Q27" s="7"/>
      <c r="R27" s="8"/>
      <c r="S27" s="7"/>
      <c r="T27" s="9"/>
      <c r="U27" s="7"/>
      <c r="V27" s="8"/>
      <c r="W27" s="7"/>
      <c r="X27" s="7"/>
      <c r="Y27" s="8"/>
      <c r="Z27" s="7"/>
      <c r="AA27" s="57"/>
      <c r="AB27" s="61" t="s">
        <v>36</v>
      </c>
      <c r="AC27" s="61" t="s">
        <v>204</v>
      </c>
    </row>
    <row r="28" spans="1:29" ht="14.4" thickBot="1">
      <c r="A28" s="41" t="s">
        <v>2357</v>
      </c>
      <c r="B28" s="10" t="s">
        <v>1221</v>
      </c>
      <c r="D28" s="51" t="s">
        <v>699</v>
      </c>
      <c r="E28" s="51" t="s">
        <v>580</v>
      </c>
      <c r="F28" s="7"/>
      <c r="G28" s="8"/>
      <c r="H28" s="7"/>
      <c r="I28" s="30" t="s">
        <v>296</v>
      </c>
      <c r="J28" s="7"/>
      <c r="K28" s="8"/>
      <c r="L28" s="7"/>
      <c r="M28" s="8"/>
      <c r="N28" s="7"/>
      <c r="O28" s="8"/>
      <c r="P28" s="7"/>
      <c r="Q28" s="7"/>
      <c r="R28" s="8"/>
      <c r="S28" s="7"/>
      <c r="T28" s="9"/>
      <c r="U28" s="7"/>
      <c r="V28" s="8"/>
      <c r="W28" s="7"/>
      <c r="X28" s="7"/>
      <c r="Y28" s="8"/>
      <c r="Z28" s="7"/>
      <c r="AA28" s="57"/>
      <c r="AB28" s="61" t="s">
        <v>36</v>
      </c>
      <c r="AC28" s="61" t="s">
        <v>174</v>
      </c>
    </row>
    <row r="29" spans="1:29" ht="14.4" thickBot="1">
      <c r="A29" s="41" t="s">
        <v>3150</v>
      </c>
      <c r="B29" s="10" t="s">
        <v>1222</v>
      </c>
      <c r="C29" s="64"/>
      <c r="D29" s="51" t="s">
        <v>719</v>
      </c>
      <c r="E29" s="51" t="s">
        <v>587</v>
      </c>
      <c r="F29" s="7"/>
      <c r="G29" s="8"/>
      <c r="H29" s="7"/>
      <c r="I29" s="30" t="s">
        <v>289</v>
      </c>
      <c r="J29" s="7"/>
      <c r="K29" s="8"/>
      <c r="L29" s="7"/>
      <c r="M29" s="8"/>
      <c r="N29" s="7"/>
      <c r="O29" s="8"/>
      <c r="P29" s="7"/>
      <c r="Q29" s="7"/>
      <c r="R29" s="8"/>
      <c r="S29" s="7"/>
      <c r="T29" s="9"/>
      <c r="U29" s="7"/>
      <c r="V29" s="8"/>
      <c r="W29" s="7"/>
      <c r="X29" s="7"/>
      <c r="Y29" s="8"/>
      <c r="Z29" s="7"/>
      <c r="AA29" s="57"/>
      <c r="AB29" s="61" t="s">
        <v>36</v>
      </c>
      <c r="AC29" s="61" t="s">
        <v>1135</v>
      </c>
    </row>
    <row r="30" spans="1:29" ht="14.4" thickBot="1">
      <c r="A30" s="41" t="s">
        <v>3199</v>
      </c>
      <c r="B30" s="10" t="s">
        <v>182</v>
      </c>
      <c r="D30" s="51" t="s">
        <v>1123</v>
      </c>
      <c r="E30" s="51" t="s">
        <v>649</v>
      </c>
      <c r="F30" s="7"/>
      <c r="G30" s="8"/>
      <c r="H30" s="7"/>
      <c r="I30" s="39" t="s">
        <v>1224</v>
      </c>
      <c r="J30" s="7"/>
      <c r="K30" s="8"/>
      <c r="L30" s="7"/>
      <c r="M30" s="8"/>
      <c r="N30" s="7"/>
      <c r="O30" s="8"/>
      <c r="P30" s="7"/>
      <c r="Q30" s="7"/>
      <c r="R30" s="8"/>
      <c r="S30" s="7"/>
      <c r="T30" s="9"/>
      <c r="U30" s="7"/>
      <c r="V30" s="8"/>
      <c r="W30" s="7"/>
      <c r="X30" s="7"/>
      <c r="Y30" s="8"/>
      <c r="Z30" s="7"/>
      <c r="AA30" s="57"/>
      <c r="AB30" s="61" t="s">
        <v>36</v>
      </c>
      <c r="AC30" s="61" t="s">
        <v>1211</v>
      </c>
    </row>
    <row r="31" spans="1:29" ht="14.4" thickBot="1">
      <c r="A31" s="41" t="s">
        <v>3200</v>
      </c>
      <c r="B31" s="10" t="s">
        <v>1223</v>
      </c>
      <c r="D31" s="51" t="s">
        <v>402</v>
      </c>
      <c r="E31" s="51" t="s">
        <v>650</v>
      </c>
      <c r="F31" s="7"/>
      <c r="G31" s="8"/>
      <c r="H31" s="7"/>
      <c r="I31" s="30" t="s">
        <v>234</v>
      </c>
      <c r="J31" s="7"/>
      <c r="K31" s="8"/>
      <c r="L31" s="7"/>
      <c r="M31" s="8"/>
      <c r="N31" s="7"/>
      <c r="O31" s="8"/>
      <c r="P31" s="7"/>
      <c r="Q31" s="7"/>
      <c r="R31" s="8"/>
      <c r="S31" s="7"/>
      <c r="T31" s="9"/>
      <c r="U31" s="7"/>
      <c r="V31" s="8"/>
      <c r="W31" s="7"/>
      <c r="X31" s="7"/>
      <c r="Y31" s="8"/>
      <c r="Z31" s="7"/>
      <c r="AA31" s="57"/>
      <c r="AB31" s="61" t="s">
        <v>36</v>
      </c>
      <c r="AC31" s="61" t="s">
        <v>132</v>
      </c>
    </row>
    <row r="32" spans="1:29" ht="14.4" thickBot="1">
      <c r="A32" s="41" t="s">
        <v>3201</v>
      </c>
      <c r="B32" s="10" t="s">
        <v>1226</v>
      </c>
      <c r="D32" s="51" t="s">
        <v>452</v>
      </c>
      <c r="E32" s="51" t="s">
        <v>942</v>
      </c>
      <c r="F32" s="7"/>
      <c r="G32" s="8"/>
      <c r="H32" s="7"/>
      <c r="I32" s="30" t="s">
        <v>722</v>
      </c>
      <c r="J32" s="7"/>
      <c r="K32" s="8"/>
      <c r="L32" s="7"/>
      <c r="M32" s="8"/>
      <c r="N32" s="7"/>
      <c r="O32" s="8"/>
      <c r="P32" s="7"/>
      <c r="Q32" s="7"/>
      <c r="R32" s="8"/>
      <c r="S32" s="7"/>
      <c r="T32" s="9"/>
      <c r="U32" s="7"/>
      <c r="V32" s="8"/>
      <c r="W32" s="7"/>
      <c r="X32" s="7"/>
      <c r="Y32" s="8"/>
      <c r="Z32" s="7"/>
      <c r="AA32" s="57"/>
      <c r="AB32" s="61" t="s">
        <v>2647</v>
      </c>
      <c r="AC32" s="61" t="s">
        <v>319</v>
      </c>
    </row>
    <row r="33" spans="1:29" ht="14.4" thickBot="1">
      <c r="A33" s="64"/>
      <c r="B33" s="10" t="s">
        <v>1227</v>
      </c>
      <c r="D33" s="51" t="s">
        <v>163</v>
      </c>
      <c r="E33" s="51" t="s">
        <v>531</v>
      </c>
      <c r="F33" s="7"/>
      <c r="G33" s="8"/>
      <c r="H33" s="7"/>
      <c r="I33" s="18" t="s">
        <v>287</v>
      </c>
      <c r="J33" s="7"/>
      <c r="K33" s="8"/>
      <c r="L33" s="7"/>
      <c r="M33" s="8"/>
      <c r="N33" s="7"/>
      <c r="O33" s="8"/>
      <c r="P33" s="7"/>
      <c r="Q33" s="7"/>
      <c r="R33" s="8"/>
      <c r="S33" s="7"/>
      <c r="T33" s="9"/>
      <c r="U33" s="7"/>
      <c r="V33" s="8"/>
      <c r="W33" s="7"/>
      <c r="X33" s="7"/>
      <c r="Y33" s="8"/>
      <c r="Z33" s="7"/>
      <c r="AA33" s="57"/>
      <c r="AB33" s="61" t="s">
        <v>2647</v>
      </c>
      <c r="AC33" s="61" t="s">
        <v>305</v>
      </c>
    </row>
    <row r="34" spans="1:29" ht="14.4" thickBot="1">
      <c r="A34" s="64"/>
      <c r="B34" s="10" t="s">
        <v>1909</v>
      </c>
      <c r="D34" s="51" t="s">
        <v>354</v>
      </c>
      <c r="E34" s="51" t="s">
        <v>660</v>
      </c>
      <c r="F34" s="7"/>
      <c r="G34" s="8"/>
      <c r="H34" s="7"/>
      <c r="I34" s="18" t="s">
        <v>1651</v>
      </c>
      <c r="J34" s="7"/>
      <c r="K34" s="8"/>
      <c r="L34" s="7"/>
      <c r="M34" s="8"/>
      <c r="N34" s="7"/>
      <c r="O34" s="8"/>
      <c r="P34" s="7"/>
      <c r="Q34" s="7"/>
      <c r="R34" s="8"/>
      <c r="S34" s="7"/>
      <c r="T34" s="9"/>
      <c r="U34" s="7"/>
      <c r="V34" s="8"/>
      <c r="W34" s="7"/>
      <c r="X34" s="7"/>
      <c r="Y34" s="8"/>
      <c r="Z34" s="7"/>
      <c r="AA34" s="57"/>
      <c r="AB34" s="61" t="s">
        <v>2647</v>
      </c>
      <c r="AC34" s="61" t="s">
        <v>337</v>
      </c>
    </row>
    <row r="35" spans="1:29" ht="14.4" thickBot="1">
      <c r="B35" s="10" t="s">
        <v>1228</v>
      </c>
      <c r="D35" s="51" t="s">
        <v>337</v>
      </c>
      <c r="E35" s="51" t="s">
        <v>618</v>
      </c>
      <c r="F35" s="7"/>
      <c r="G35" s="8"/>
      <c r="H35" s="7"/>
      <c r="I35" s="30" t="s">
        <v>1885</v>
      </c>
      <c r="J35" s="7"/>
      <c r="K35" s="8"/>
      <c r="L35" s="7"/>
      <c r="M35" s="8"/>
      <c r="N35" s="7"/>
      <c r="O35" s="8"/>
      <c r="P35" s="7"/>
      <c r="Q35" s="7"/>
      <c r="R35" s="8"/>
      <c r="S35" s="7"/>
      <c r="T35" s="9"/>
      <c r="U35" s="7"/>
      <c r="V35" s="8"/>
      <c r="W35" s="7"/>
      <c r="X35" s="7"/>
      <c r="Y35" s="8"/>
      <c r="Z35" s="7"/>
      <c r="AA35" s="57"/>
      <c r="AB35" s="61" t="s">
        <v>294</v>
      </c>
      <c r="AC35" s="61" t="s">
        <v>325</v>
      </c>
    </row>
    <row r="36" spans="1:29" ht="14.4" thickBot="1">
      <c r="B36" s="10" t="s">
        <v>369</v>
      </c>
      <c r="D36" s="51" t="s">
        <v>204</v>
      </c>
      <c r="E36" s="51" t="s">
        <v>652</v>
      </c>
      <c r="F36" s="7"/>
      <c r="G36" s="8"/>
      <c r="H36" s="7"/>
      <c r="I36" s="30" t="s">
        <v>134</v>
      </c>
      <c r="J36" s="7"/>
      <c r="K36" s="8"/>
      <c r="L36" s="7"/>
      <c r="M36" s="8"/>
      <c r="N36" s="7"/>
      <c r="O36" s="8"/>
      <c r="P36" s="7"/>
      <c r="Q36" s="7"/>
      <c r="R36" s="8"/>
      <c r="S36" s="7"/>
      <c r="T36" s="9"/>
      <c r="U36" s="7"/>
      <c r="V36" s="8"/>
      <c r="W36" s="7"/>
      <c r="X36" s="7"/>
      <c r="Y36" s="8"/>
      <c r="Z36" s="7"/>
      <c r="AA36" s="57"/>
      <c r="AB36" s="61" t="s">
        <v>294</v>
      </c>
      <c r="AC36" s="61" t="s">
        <v>1219</v>
      </c>
    </row>
    <row r="37" spans="1:29" ht="14.4" thickBot="1">
      <c r="A37" s="64"/>
      <c r="B37" s="10" t="s">
        <v>1229</v>
      </c>
      <c r="D37" s="51" t="s">
        <v>295</v>
      </c>
      <c r="E37" s="51" t="s">
        <v>568</v>
      </c>
      <c r="F37" s="7"/>
      <c r="G37" s="8"/>
      <c r="H37" s="7"/>
      <c r="I37" s="30" t="s">
        <v>1885</v>
      </c>
      <c r="J37" s="7"/>
      <c r="K37" s="8"/>
      <c r="L37" s="7"/>
      <c r="M37" s="8"/>
      <c r="N37" s="7"/>
      <c r="O37" s="8"/>
      <c r="P37" s="7"/>
      <c r="Q37" s="7"/>
      <c r="R37" s="8"/>
      <c r="S37" s="7"/>
      <c r="T37" s="9"/>
      <c r="U37" s="7"/>
      <c r="V37" s="8"/>
      <c r="W37" s="7"/>
      <c r="X37" s="7"/>
      <c r="Y37" s="8"/>
      <c r="Z37" s="7"/>
      <c r="AA37" s="57"/>
      <c r="AB37" s="61" t="s">
        <v>294</v>
      </c>
      <c r="AC37" s="61" t="s">
        <v>1225</v>
      </c>
    </row>
    <row r="38" spans="1:29" ht="14.4" thickBot="1">
      <c r="A38" s="64"/>
      <c r="B38" s="10" t="s">
        <v>299</v>
      </c>
      <c r="D38" s="51" t="s">
        <v>174</v>
      </c>
      <c r="E38" s="51" t="s">
        <v>602</v>
      </c>
      <c r="F38" s="7"/>
      <c r="G38" s="8"/>
      <c r="H38" s="7"/>
      <c r="I38" s="39" t="s">
        <v>789</v>
      </c>
      <c r="J38" s="7"/>
      <c r="K38" s="8"/>
      <c r="L38" s="7"/>
      <c r="M38" s="8"/>
      <c r="N38" s="7"/>
      <c r="O38" s="8"/>
      <c r="P38" s="7"/>
      <c r="Q38" s="7"/>
      <c r="R38" s="8"/>
      <c r="S38" s="7"/>
      <c r="T38" s="9"/>
      <c r="U38" s="7"/>
      <c r="V38" s="8"/>
      <c r="W38" s="7"/>
      <c r="X38" s="7"/>
      <c r="Y38" s="8"/>
      <c r="Z38" s="7"/>
      <c r="AA38" s="57"/>
      <c r="AB38" s="61" t="s">
        <v>294</v>
      </c>
      <c r="AC38" s="61" t="s">
        <v>1230</v>
      </c>
    </row>
    <row r="39" spans="1:29" ht="14.4" thickBot="1">
      <c r="A39" s="64"/>
      <c r="B39" s="10" t="s">
        <v>1231</v>
      </c>
      <c r="D39" s="51" t="s">
        <v>132</v>
      </c>
      <c r="E39" s="51" t="s">
        <v>1233</v>
      </c>
      <c r="F39" s="7"/>
      <c r="G39" s="8"/>
      <c r="H39" s="7"/>
      <c r="I39" s="30" t="s">
        <v>231</v>
      </c>
      <c r="J39" s="7"/>
      <c r="K39" s="8"/>
      <c r="L39" s="7"/>
      <c r="M39" s="8"/>
      <c r="N39" s="7"/>
      <c r="O39" s="8"/>
      <c r="P39" s="7"/>
      <c r="Q39" s="7"/>
      <c r="R39" s="8"/>
      <c r="S39" s="7"/>
      <c r="T39" s="9"/>
      <c r="U39" s="7"/>
      <c r="V39" s="8"/>
      <c r="W39" s="7"/>
      <c r="X39" s="7"/>
      <c r="Y39" s="8"/>
      <c r="Z39" s="7"/>
      <c r="AA39" s="57"/>
      <c r="AB39" s="61" t="s">
        <v>294</v>
      </c>
      <c r="AC39" s="61" t="s">
        <v>1232</v>
      </c>
    </row>
    <row r="40" spans="1:29" ht="14.4" thickBot="1">
      <c r="A40" s="64"/>
      <c r="B40" s="10" t="s">
        <v>366</v>
      </c>
      <c r="D40" s="51"/>
      <c r="E40" s="51" t="s">
        <v>631</v>
      </c>
      <c r="F40" s="7"/>
      <c r="G40" s="8"/>
      <c r="H40" s="7"/>
      <c r="I40" s="30" t="s">
        <v>236</v>
      </c>
      <c r="J40" s="7"/>
      <c r="K40" s="8"/>
      <c r="L40" s="7"/>
      <c r="M40" s="8"/>
      <c r="N40" s="7"/>
      <c r="O40" s="8"/>
      <c r="P40" s="7"/>
      <c r="Q40" s="7"/>
      <c r="R40" s="8"/>
      <c r="S40" s="7"/>
      <c r="T40" s="9"/>
      <c r="U40" s="7"/>
      <c r="V40" s="8"/>
      <c r="W40" s="7"/>
      <c r="X40" s="7"/>
      <c r="Y40" s="8"/>
      <c r="Z40" s="7"/>
      <c r="AA40" s="57"/>
      <c r="AB40" s="61" t="s">
        <v>698</v>
      </c>
      <c r="AC40" s="61" t="s">
        <v>1234</v>
      </c>
    </row>
    <row r="41" spans="1:29" ht="14.4" thickBot="1">
      <c r="B41" s="10" t="s">
        <v>1235</v>
      </c>
      <c r="D41" s="51"/>
      <c r="E41" s="51" t="s">
        <v>646</v>
      </c>
      <c r="F41" s="7"/>
      <c r="G41" s="8"/>
      <c r="H41" s="7"/>
      <c r="I41" s="30" t="s">
        <v>184</v>
      </c>
      <c r="J41" s="7"/>
      <c r="K41" s="8"/>
      <c r="L41" s="7"/>
      <c r="M41" s="8"/>
      <c r="N41" s="7"/>
      <c r="O41" s="8"/>
      <c r="P41" s="7"/>
      <c r="Q41" s="7"/>
      <c r="R41" s="8"/>
      <c r="S41" s="7"/>
      <c r="T41" s="9"/>
      <c r="U41" s="7"/>
      <c r="V41" s="8"/>
      <c r="W41" s="7"/>
      <c r="X41" s="7"/>
      <c r="Y41" s="8"/>
      <c r="Z41" s="7"/>
      <c r="AA41" s="57"/>
      <c r="AB41" s="61" t="s">
        <v>698</v>
      </c>
      <c r="AC41" s="61" t="s">
        <v>1236</v>
      </c>
    </row>
    <row r="42" spans="1:29" ht="14.4" thickBot="1">
      <c r="B42" s="10" t="s">
        <v>1237</v>
      </c>
      <c r="D42" s="51"/>
      <c r="E42" s="51" t="s">
        <v>582</v>
      </c>
      <c r="F42" s="7"/>
      <c r="G42" s="8"/>
      <c r="H42" s="7"/>
      <c r="I42" s="30" t="s">
        <v>189</v>
      </c>
      <c r="J42" s="7"/>
      <c r="K42" s="8"/>
      <c r="L42" s="7"/>
      <c r="M42" s="8"/>
      <c r="N42" s="7"/>
      <c r="O42" s="8"/>
      <c r="P42" s="7"/>
      <c r="Q42" s="7"/>
      <c r="R42" s="8"/>
      <c r="S42" s="7"/>
      <c r="T42" s="9"/>
      <c r="U42" s="7"/>
      <c r="V42" s="8"/>
      <c r="W42" s="7"/>
      <c r="X42" s="7"/>
      <c r="Y42" s="8"/>
      <c r="Z42" s="7"/>
      <c r="AA42" s="57"/>
      <c r="AB42" s="61" t="s">
        <v>698</v>
      </c>
      <c r="AC42" s="61" t="s">
        <v>1238</v>
      </c>
    </row>
    <row r="43" spans="1:29" ht="14.4" thickBot="1">
      <c r="B43" s="394" t="s">
        <v>2283</v>
      </c>
      <c r="D43" s="51"/>
      <c r="E43" s="51" t="s">
        <v>544</v>
      </c>
      <c r="F43" s="7"/>
      <c r="G43" s="8"/>
      <c r="H43" s="7"/>
      <c r="I43" s="30" t="s">
        <v>198</v>
      </c>
      <c r="J43" s="7"/>
      <c r="K43" s="8"/>
      <c r="L43" s="7"/>
      <c r="M43" s="8"/>
      <c r="N43" s="7"/>
      <c r="O43" s="8"/>
      <c r="P43" s="7"/>
      <c r="Q43" s="7"/>
      <c r="R43" s="8"/>
      <c r="S43" s="7"/>
      <c r="T43" s="9"/>
      <c r="U43" s="7"/>
      <c r="V43" s="8"/>
      <c r="W43" s="7"/>
      <c r="X43" s="7"/>
      <c r="Y43" s="8"/>
      <c r="Z43" s="7"/>
      <c r="AA43" s="57"/>
      <c r="AB43" s="61" t="s">
        <v>698</v>
      </c>
      <c r="AC43" s="61" t="s">
        <v>1240</v>
      </c>
    </row>
    <row r="44" spans="1:29" ht="14.4" thickBot="1">
      <c r="B44" s="394" t="s">
        <v>2645</v>
      </c>
      <c r="D44" s="51"/>
      <c r="E44" s="51" t="s">
        <v>651</v>
      </c>
      <c r="F44" s="7"/>
      <c r="G44" s="8"/>
      <c r="H44" s="7"/>
      <c r="I44" s="30" t="s">
        <v>712</v>
      </c>
      <c r="J44" s="7"/>
      <c r="K44" s="8"/>
      <c r="L44" s="7"/>
      <c r="M44" s="8"/>
      <c r="N44" s="7"/>
      <c r="O44" s="8"/>
      <c r="P44" s="7"/>
      <c r="Q44" s="7"/>
      <c r="R44" s="8"/>
      <c r="S44" s="7"/>
      <c r="T44" s="9"/>
      <c r="U44" s="7"/>
      <c r="V44" s="8"/>
      <c r="W44" s="7"/>
      <c r="X44" s="7"/>
      <c r="Y44" s="8"/>
      <c r="Z44" s="7"/>
      <c r="AA44" s="57"/>
      <c r="AB44" s="61" t="s">
        <v>698</v>
      </c>
      <c r="AC44" s="61" t="s">
        <v>1241</v>
      </c>
    </row>
    <row r="45" spans="1:29" ht="14.4" thickBot="1">
      <c r="B45" s="394" t="s">
        <v>2512</v>
      </c>
      <c r="D45" s="51"/>
      <c r="E45" s="51" t="s">
        <v>545</v>
      </c>
      <c r="F45" s="7"/>
      <c r="G45" s="8"/>
      <c r="H45" s="7"/>
      <c r="I45" s="30" t="s">
        <v>187</v>
      </c>
      <c r="J45" s="7"/>
      <c r="K45" s="8"/>
      <c r="L45" s="7"/>
      <c r="M45" s="8"/>
      <c r="N45" s="7"/>
      <c r="O45" s="8"/>
      <c r="P45" s="7"/>
      <c r="Q45" s="7"/>
      <c r="R45" s="8"/>
      <c r="S45" s="7"/>
      <c r="T45" s="9"/>
      <c r="U45" s="7"/>
      <c r="V45" s="8"/>
      <c r="W45" s="7"/>
      <c r="X45" s="7"/>
      <c r="Y45" s="8"/>
      <c r="Z45" s="7"/>
      <c r="AA45" s="57"/>
      <c r="AB45" s="61" t="s">
        <v>698</v>
      </c>
      <c r="AC45" s="61" t="s">
        <v>717</v>
      </c>
    </row>
    <row r="46" spans="1:29" ht="14.4" thickBot="1">
      <c r="B46" s="10" t="s">
        <v>1239</v>
      </c>
      <c r="D46" s="51"/>
      <c r="E46" s="51" t="s">
        <v>941</v>
      </c>
      <c r="F46" s="7"/>
      <c r="G46" s="8"/>
      <c r="H46" s="7"/>
      <c r="I46" s="30" t="s">
        <v>202</v>
      </c>
      <c r="J46" s="7"/>
      <c r="K46" s="8"/>
      <c r="L46" s="7"/>
      <c r="M46" s="8"/>
      <c r="N46" s="7"/>
      <c r="O46" s="8"/>
      <c r="P46" s="7"/>
      <c r="Q46" s="7"/>
      <c r="R46" s="8"/>
      <c r="S46" s="7"/>
      <c r="T46" s="9"/>
      <c r="U46" s="7"/>
      <c r="V46" s="8"/>
      <c r="W46" s="7"/>
      <c r="X46" s="7"/>
      <c r="Y46" s="8"/>
      <c r="Z46" s="7"/>
      <c r="AA46" s="57"/>
      <c r="AB46" s="61" t="s">
        <v>698</v>
      </c>
      <c r="AC46" s="61" t="s">
        <v>739</v>
      </c>
    </row>
    <row r="47" spans="1:29" ht="14.4" thickBot="1">
      <c r="B47" s="10" t="s">
        <v>398</v>
      </c>
      <c r="D47" s="51"/>
      <c r="E47" s="51" t="s">
        <v>644</v>
      </c>
      <c r="F47" s="7"/>
      <c r="G47" s="8"/>
      <c r="H47" s="7"/>
      <c r="I47" s="30" t="s">
        <v>192</v>
      </c>
      <c r="J47" s="7"/>
      <c r="K47" s="8"/>
      <c r="L47" s="7"/>
      <c r="M47" s="8"/>
      <c r="N47" s="7"/>
      <c r="O47" s="8"/>
      <c r="P47" s="7"/>
      <c r="Q47" s="7"/>
      <c r="R47" s="8"/>
      <c r="S47" s="7"/>
      <c r="T47" s="9"/>
      <c r="U47" s="7"/>
      <c r="V47" s="8"/>
      <c r="W47" s="7"/>
      <c r="X47" s="7"/>
      <c r="Y47" s="8"/>
      <c r="Z47" s="7"/>
      <c r="AA47" s="57"/>
      <c r="AB47" s="61" t="s">
        <v>698</v>
      </c>
      <c r="AC47" s="61" t="s">
        <v>1244</v>
      </c>
    </row>
    <row r="48" spans="1:29" ht="14.4" thickBot="1">
      <c r="B48" s="10" t="s">
        <v>287</v>
      </c>
      <c r="D48" s="51"/>
      <c r="E48" s="51" t="s">
        <v>918</v>
      </c>
      <c r="F48" s="7"/>
      <c r="G48" s="8"/>
      <c r="H48" s="7"/>
      <c r="I48" s="30" t="s">
        <v>716</v>
      </c>
      <c r="J48" s="7"/>
      <c r="K48" s="8"/>
      <c r="L48" s="7"/>
      <c r="M48" s="8"/>
      <c r="N48" s="7"/>
      <c r="O48" s="8"/>
      <c r="P48" s="7"/>
      <c r="Q48" s="7"/>
      <c r="R48" s="8"/>
      <c r="S48" s="7"/>
      <c r="T48" s="9"/>
      <c r="U48" s="7"/>
      <c r="V48" s="8"/>
      <c r="W48" s="7"/>
      <c r="X48" s="7"/>
      <c r="Y48" s="8"/>
      <c r="Z48" s="7"/>
      <c r="AA48" s="57"/>
      <c r="AB48" s="61" t="s">
        <v>698</v>
      </c>
      <c r="AC48" s="61" t="s">
        <v>1246</v>
      </c>
    </row>
    <row r="49" spans="2:29" ht="14.4" thickBot="1">
      <c r="B49" s="10" t="s">
        <v>1242</v>
      </c>
      <c r="D49" s="51"/>
      <c r="E49" s="51" t="s">
        <v>584</v>
      </c>
      <c r="F49" s="7"/>
      <c r="G49" s="8"/>
      <c r="H49" s="7"/>
      <c r="I49" s="30" t="s">
        <v>735</v>
      </c>
      <c r="J49" s="7"/>
      <c r="K49" s="8"/>
      <c r="L49" s="7"/>
      <c r="M49" s="8"/>
      <c r="N49" s="7"/>
      <c r="O49" s="8"/>
      <c r="P49" s="7"/>
      <c r="Q49" s="7"/>
      <c r="R49" s="8"/>
      <c r="S49" s="7"/>
      <c r="T49" s="9"/>
      <c r="U49" s="7"/>
      <c r="V49" s="8"/>
      <c r="W49" s="7"/>
      <c r="X49" s="7"/>
      <c r="Y49" s="8"/>
      <c r="Z49" s="7"/>
      <c r="AA49" s="57"/>
      <c r="AB49" s="61" t="s">
        <v>698</v>
      </c>
      <c r="AC49" s="61" t="s">
        <v>1247</v>
      </c>
    </row>
    <row r="50" spans="2:29" ht="14.4" thickBot="1">
      <c r="B50" s="10" t="s">
        <v>1243</v>
      </c>
      <c r="D50" s="51"/>
      <c r="E50" s="51" t="s">
        <v>572</v>
      </c>
      <c r="F50" s="7"/>
      <c r="G50" s="8"/>
      <c r="H50" s="7"/>
      <c r="I50" s="30" t="s">
        <v>715</v>
      </c>
      <c r="J50" s="7"/>
      <c r="K50" s="8"/>
      <c r="L50" s="7"/>
      <c r="M50" s="8"/>
      <c r="N50" s="7"/>
      <c r="O50" s="8"/>
      <c r="P50" s="7"/>
      <c r="Q50" s="7"/>
      <c r="R50" s="8"/>
      <c r="S50" s="7"/>
      <c r="T50" s="9"/>
      <c r="U50" s="7"/>
      <c r="V50" s="8"/>
      <c r="W50" s="7"/>
      <c r="X50" s="7"/>
      <c r="Y50" s="8"/>
      <c r="Z50" s="7"/>
      <c r="AA50" s="57"/>
      <c r="AB50" s="61" t="s">
        <v>698</v>
      </c>
      <c r="AC50" s="61" t="s">
        <v>1248</v>
      </c>
    </row>
    <row r="51" spans="2:29" ht="14.4" thickBot="1">
      <c r="B51" s="10" t="s">
        <v>1245</v>
      </c>
      <c r="D51" s="51"/>
      <c r="E51" s="51" t="s">
        <v>533</v>
      </c>
      <c r="F51" s="7"/>
      <c r="G51" s="8"/>
      <c r="H51" s="7"/>
      <c r="I51" s="30" t="s">
        <v>208</v>
      </c>
      <c r="J51" s="7"/>
      <c r="K51" s="8"/>
      <c r="L51" s="7"/>
      <c r="M51" s="8"/>
      <c r="N51" s="7"/>
      <c r="O51" s="8"/>
      <c r="P51" s="7"/>
      <c r="Q51" s="7"/>
      <c r="R51" s="8"/>
      <c r="S51" s="7"/>
      <c r="T51" s="9"/>
      <c r="U51" s="7"/>
      <c r="V51" s="8"/>
      <c r="W51" s="7"/>
      <c r="X51" s="7"/>
      <c r="Y51" s="8"/>
      <c r="Z51" s="7"/>
      <c r="AA51" s="57"/>
      <c r="AB51" s="61" t="s">
        <v>698</v>
      </c>
      <c r="AC51" s="61" t="s">
        <v>1250</v>
      </c>
    </row>
    <row r="52" spans="2:29" ht="14.4" thickBot="1">
      <c r="B52" s="10" t="s">
        <v>232</v>
      </c>
      <c r="C52" s="64"/>
      <c r="D52" s="51"/>
      <c r="E52" s="51" t="s">
        <v>586</v>
      </c>
      <c r="F52" s="7"/>
      <c r="G52" s="8"/>
      <c r="H52" s="7"/>
      <c r="I52" s="30" t="s">
        <v>321</v>
      </c>
      <c r="J52" s="7"/>
      <c r="K52" s="8"/>
      <c r="L52" s="7"/>
      <c r="M52" s="8"/>
      <c r="N52" s="7"/>
      <c r="O52" s="8"/>
      <c r="P52" s="7"/>
      <c r="Q52" s="7"/>
      <c r="R52" s="8"/>
      <c r="S52" s="7"/>
      <c r="T52" s="9"/>
      <c r="U52" s="7"/>
      <c r="V52" s="8"/>
      <c r="W52" s="7"/>
      <c r="X52" s="7"/>
      <c r="Y52" s="8"/>
      <c r="Z52" s="7"/>
      <c r="AA52" s="57"/>
      <c r="AB52" s="61" t="s">
        <v>698</v>
      </c>
      <c r="AC52" s="61" t="s">
        <v>702</v>
      </c>
    </row>
    <row r="53" spans="2:29" ht="15" thickTop="1" thickBot="1">
      <c r="B53" s="10" t="s">
        <v>266</v>
      </c>
      <c r="D53" s="51"/>
      <c r="E53" s="51" t="s">
        <v>655</v>
      </c>
      <c r="F53" s="7"/>
      <c r="G53" s="8"/>
      <c r="H53" s="7"/>
      <c r="I53" s="6"/>
      <c r="J53" s="7"/>
      <c r="K53" s="8"/>
      <c r="L53" s="7"/>
      <c r="M53" s="8"/>
      <c r="N53" s="7"/>
      <c r="O53" s="8"/>
      <c r="P53" s="7"/>
      <c r="Q53" s="7"/>
      <c r="R53" s="8"/>
      <c r="S53" s="7"/>
      <c r="T53" s="9"/>
      <c r="U53" s="7"/>
      <c r="V53" s="8"/>
      <c r="W53" s="7"/>
      <c r="X53" s="7"/>
      <c r="Y53" s="8"/>
      <c r="Z53" s="7"/>
      <c r="AA53" s="57"/>
      <c r="AB53" s="61" t="s">
        <v>698</v>
      </c>
      <c r="AC53" s="61" t="s">
        <v>1252</v>
      </c>
    </row>
    <row r="54" spans="2:29" ht="15" thickTop="1" thickBot="1">
      <c r="B54" s="10" t="s">
        <v>1249</v>
      </c>
      <c r="D54" s="51"/>
      <c r="E54" s="51" t="s">
        <v>522</v>
      </c>
      <c r="F54" s="7"/>
      <c r="G54" s="8"/>
      <c r="H54" s="7"/>
      <c r="I54" s="6"/>
      <c r="J54" s="7"/>
      <c r="K54" s="8"/>
      <c r="L54" s="7"/>
      <c r="M54" s="8"/>
      <c r="N54" s="7"/>
      <c r="O54" s="8"/>
      <c r="P54" s="7"/>
      <c r="Q54" s="7"/>
      <c r="R54" s="8"/>
      <c r="S54" s="7"/>
      <c r="T54" s="9"/>
      <c r="U54" s="7"/>
      <c r="V54" s="8"/>
      <c r="W54" s="7"/>
      <c r="X54" s="7"/>
      <c r="Y54" s="8"/>
      <c r="Z54" s="7"/>
      <c r="AA54" s="57"/>
      <c r="AB54" s="61" t="s">
        <v>698</v>
      </c>
      <c r="AC54" s="61" t="s">
        <v>1253</v>
      </c>
    </row>
    <row r="55" spans="2:29" ht="15" thickTop="1" thickBot="1">
      <c r="B55" s="10" t="s">
        <v>1251</v>
      </c>
      <c r="D55" s="51"/>
      <c r="E55" s="51" t="s">
        <v>524</v>
      </c>
      <c r="F55" s="7"/>
      <c r="G55" s="8"/>
      <c r="H55" s="7"/>
      <c r="I55" s="6"/>
      <c r="J55" s="7"/>
      <c r="K55" s="8"/>
      <c r="L55" s="7"/>
      <c r="M55" s="8"/>
      <c r="N55" s="7"/>
      <c r="O55" s="8"/>
      <c r="P55" s="7"/>
      <c r="Q55" s="7"/>
      <c r="R55" s="8"/>
      <c r="S55" s="7"/>
      <c r="T55" s="9"/>
      <c r="U55" s="7"/>
      <c r="V55" s="8"/>
      <c r="W55" s="7"/>
      <c r="X55" s="7"/>
      <c r="Y55" s="8"/>
      <c r="Z55" s="7"/>
      <c r="AA55" s="57"/>
      <c r="AB55" s="61" t="s">
        <v>698</v>
      </c>
      <c r="AC55" s="61" t="s">
        <v>1254</v>
      </c>
    </row>
    <row r="56" spans="2:29" ht="15" thickTop="1" thickBot="1">
      <c r="B56" s="10" t="s">
        <v>231</v>
      </c>
      <c r="D56" s="51"/>
      <c r="E56" s="51" t="s">
        <v>598</v>
      </c>
      <c r="F56" s="7"/>
      <c r="G56" s="8"/>
      <c r="H56" s="7"/>
      <c r="I56" s="6"/>
      <c r="J56" s="7"/>
      <c r="K56" s="8"/>
      <c r="L56" s="7"/>
      <c r="M56" s="8"/>
      <c r="N56" s="7"/>
      <c r="O56" s="8"/>
      <c r="P56" s="7"/>
      <c r="Q56" s="7"/>
      <c r="R56" s="8"/>
      <c r="S56" s="7"/>
      <c r="T56" s="9"/>
      <c r="U56" s="7"/>
      <c r="V56" s="8"/>
      <c r="W56" s="7"/>
      <c r="X56" s="7"/>
      <c r="Y56" s="8"/>
      <c r="Z56" s="7"/>
      <c r="AA56" s="57"/>
      <c r="AB56" s="61" t="s">
        <v>698</v>
      </c>
      <c r="AC56" s="61" t="s">
        <v>1255</v>
      </c>
    </row>
    <row r="57" spans="2:29" ht="15" thickTop="1" thickBot="1">
      <c r="B57" s="471" t="s">
        <v>2812</v>
      </c>
      <c r="D57" s="51"/>
      <c r="E57" s="51" t="s">
        <v>600</v>
      </c>
      <c r="F57" s="7"/>
      <c r="G57" s="8"/>
      <c r="H57" s="7"/>
      <c r="I57" s="6"/>
      <c r="J57" s="7"/>
      <c r="K57" s="8"/>
      <c r="L57" s="7"/>
      <c r="M57" s="8"/>
      <c r="N57" s="7"/>
      <c r="O57" s="8"/>
      <c r="P57" s="7"/>
      <c r="Q57" s="7"/>
      <c r="R57" s="8"/>
      <c r="S57" s="7"/>
      <c r="T57" s="9"/>
      <c r="U57" s="7"/>
      <c r="V57" s="8"/>
      <c r="W57" s="7"/>
      <c r="X57" s="7"/>
      <c r="Y57" s="8"/>
      <c r="Z57" s="7"/>
      <c r="AA57" s="57"/>
      <c r="AB57" s="61" t="s">
        <v>698</v>
      </c>
      <c r="AC57" s="61" t="s">
        <v>1256</v>
      </c>
    </row>
    <row r="58" spans="2:29" ht="15" thickTop="1" thickBot="1">
      <c r="B58" s="10" t="s">
        <v>281</v>
      </c>
      <c r="D58" s="51"/>
      <c r="E58" s="51" t="s">
        <v>553</v>
      </c>
      <c r="F58" s="7"/>
      <c r="G58" s="8"/>
      <c r="H58" s="7"/>
      <c r="I58" s="6"/>
      <c r="J58" s="7"/>
      <c r="K58" s="8"/>
      <c r="L58" s="7"/>
      <c r="M58" s="8"/>
      <c r="N58" s="7"/>
      <c r="O58" s="8"/>
      <c r="P58" s="7"/>
      <c r="Q58" s="7"/>
      <c r="R58" s="8"/>
      <c r="S58" s="7"/>
      <c r="T58" s="9"/>
      <c r="U58" s="7"/>
      <c r="V58" s="8"/>
      <c r="W58" s="7"/>
      <c r="X58" s="7"/>
      <c r="Y58" s="8"/>
      <c r="Z58" s="7"/>
      <c r="AA58" s="57"/>
      <c r="AB58" s="61" t="s">
        <v>698</v>
      </c>
      <c r="AC58" s="61" t="s">
        <v>1257</v>
      </c>
    </row>
    <row r="59" spans="2:29" ht="15" thickTop="1" thickBot="1">
      <c r="B59" s="450" t="s">
        <v>2686</v>
      </c>
      <c r="D59" s="51"/>
      <c r="E59" s="51" t="s">
        <v>583</v>
      </c>
      <c r="F59" s="7"/>
      <c r="G59" s="8"/>
      <c r="H59" s="7"/>
      <c r="I59" s="6"/>
      <c r="J59" s="7"/>
      <c r="K59" s="8"/>
      <c r="L59" s="7"/>
      <c r="M59" s="8"/>
      <c r="N59" s="7"/>
      <c r="O59" s="8"/>
      <c r="P59" s="7"/>
      <c r="Q59" s="7"/>
      <c r="R59" s="8"/>
      <c r="S59" s="7"/>
      <c r="T59" s="9"/>
      <c r="U59" s="7"/>
      <c r="V59" s="8"/>
      <c r="W59" s="7"/>
      <c r="X59" s="7"/>
      <c r="Y59" s="8"/>
      <c r="Z59" s="7"/>
      <c r="AA59" s="57"/>
      <c r="AB59" s="61" t="s">
        <v>698</v>
      </c>
      <c r="AC59" s="61" t="s">
        <v>1258</v>
      </c>
    </row>
    <row r="60" spans="2:29" ht="15" thickTop="1" thickBot="1">
      <c r="B60" s="18" t="s">
        <v>1891</v>
      </c>
      <c r="D60" s="51"/>
      <c r="E60" s="51" t="s">
        <v>542</v>
      </c>
      <c r="F60" s="7"/>
      <c r="G60" s="8"/>
      <c r="H60" s="7"/>
      <c r="I60" s="6"/>
      <c r="J60" s="7"/>
      <c r="K60" s="8"/>
      <c r="L60" s="7"/>
      <c r="M60" s="8"/>
      <c r="N60" s="7"/>
      <c r="O60" s="8"/>
      <c r="P60" s="7"/>
      <c r="Q60" s="7"/>
      <c r="R60" s="8"/>
      <c r="S60" s="7"/>
      <c r="T60" s="9"/>
      <c r="U60" s="7"/>
      <c r="V60" s="8"/>
      <c r="W60" s="7"/>
      <c r="X60" s="7"/>
      <c r="Y60" s="8"/>
      <c r="Z60" s="7"/>
      <c r="AA60" s="57"/>
      <c r="AB60" s="61" t="s">
        <v>698</v>
      </c>
      <c r="AC60" s="61" t="s">
        <v>1259</v>
      </c>
    </row>
    <row r="61" spans="2:29" ht="15" thickTop="1" thickBot="1">
      <c r="B61" s="10"/>
      <c r="D61" s="51"/>
      <c r="E61" s="51" t="s">
        <v>943</v>
      </c>
      <c r="F61" s="7"/>
      <c r="G61" s="8"/>
      <c r="H61" s="7"/>
      <c r="I61" s="6"/>
      <c r="J61" s="7"/>
      <c r="K61" s="8"/>
      <c r="L61" s="7"/>
      <c r="M61" s="8"/>
      <c r="N61" s="7"/>
      <c r="O61" s="8"/>
      <c r="P61" s="7"/>
      <c r="Q61" s="7"/>
      <c r="R61" s="8"/>
      <c r="S61" s="7"/>
      <c r="T61" s="9"/>
      <c r="U61" s="7"/>
      <c r="V61" s="8"/>
      <c r="W61" s="7"/>
      <c r="X61" s="7"/>
      <c r="Y61" s="8"/>
      <c r="Z61" s="7"/>
      <c r="AA61" s="57"/>
      <c r="AB61" s="61" t="s">
        <v>698</v>
      </c>
      <c r="AC61" s="61" t="s">
        <v>1260</v>
      </c>
    </row>
    <row r="62" spans="2:29" ht="15" thickTop="1" thickBot="1">
      <c r="B62" s="10"/>
      <c r="D62" s="51"/>
      <c r="E62" s="51" t="s">
        <v>577</v>
      </c>
      <c r="F62" s="7"/>
      <c r="G62" s="8"/>
      <c r="H62" s="7"/>
      <c r="I62" s="6"/>
      <c r="J62" s="7"/>
      <c r="K62" s="8"/>
      <c r="L62" s="7"/>
      <c r="M62" s="8"/>
      <c r="N62" s="7"/>
      <c r="O62" s="8"/>
      <c r="P62" s="7"/>
      <c r="Q62" s="7"/>
      <c r="R62" s="8"/>
      <c r="S62" s="7"/>
      <c r="T62" s="9"/>
      <c r="U62" s="7"/>
      <c r="V62" s="8"/>
      <c r="W62" s="7"/>
      <c r="X62" s="7"/>
      <c r="Y62" s="8"/>
      <c r="Z62" s="7"/>
      <c r="AA62" s="57"/>
      <c r="AB62" s="61" t="s">
        <v>698</v>
      </c>
      <c r="AC62" s="61" t="s">
        <v>705</v>
      </c>
    </row>
    <row r="63" spans="2:29" ht="15" thickTop="1" thickBot="1">
      <c r="B63" s="10"/>
      <c r="D63" s="51"/>
      <c r="E63" s="51" t="s">
        <v>576</v>
      </c>
      <c r="F63" s="7"/>
      <c r="G63" s="8"/>
      <c r="H63" s="7"/>
      <c r="I63" s="6"/>
      <c r="J63" s="7"/>
      <c r="K63" s="8"/>
      <c r="L63" s="7"/>
      <c r="M63" s="8"/>
      <c r="N63" s="7"/>
      <c r="O63" s="8"/>
      <c r="P63" s="7"/>
      <c r="Q63" s="7"/>
      <c r="R63" s="8"/>
      <c r="S63" s="7"/>
      <c r="T63" s="9"/>
      <c r="U63" s="7"/>
      <c r="V63" s="8"/>
      <c r="W63" s="7"/>
      <c r="X63" s="7"/>
      <c r="Y63" s="8"/>
      <c r="Z63" s="7"/>
      <c r="AA63" s="57"/>
      <c r="AB63" s="61" t="s">
        <v>698</v>
      </c>
      <c r="AC63" s="61" t="s">
        <v>1261</v>
      </c>
    </row>
    <row r="64" spans="2:29" ht="15" thickTop="1" thickBot="1">
      <c r="B64" s="10"/>
      <c r="D64" s="51"/>
      <c r="E64" s="51" t="s">
        <v>525</v>
      </c>
      <c r="F64" s="7"/>
      <c r="G64" s="8"/>
      <c r="H64" s="7"/>
      <c r="I64" s="6"/>
      <c r="J64" s="7"/>
      <c r="K64" s="8"/>
      <c r="L64" s="7"/>
      <c r="M64" s="8"/>
      <c r="N64" s="7"/>
      <c r="O64" s="8"/>
      <c r="P64" s="7"/>
      <c r="Q64" s="7"/>
      <c r="R64" s="8"/>
      <c r="S64" s="7"/>
      <c r="T64" s="9"/>
      <c r="U64" s="7"/>
      <c r="V64" s="8"/>
      <c r="W64" s="7"/>
      <c r="X64" s="7"/>
      <c r="Y64" s="8"/>
      <c r="Z64" s="7"/>
      <c r="AA64" s="57"/>
      <c r="AB64" s="61" t="s">
        <v>698</v>
      </c>
      <c r="AC64" s="61" t="s">
        <v>1262</v>
      </c>
    </row>
    <row r="65" spans="2:29" ht="15" thickTop="1" thickBot="1">
      <c r="B65" s="10"/>
      <c r="D65" s="51"/>
      <c r="E65" s="51" t="s">
        <v>530</v>
      </c>
      <c r="F65" s="7"/>
      <c r="G65" s="8"/>
      <c r="H65" s="7"/>
      <c r="I65" s="6"/>
      <c r="J65" s="7"/>
      <c r="K65" s="8"/>
      <c r="L65" s="7"/>
      <c r="M65" s="8"/>
      <c r="N65" s="7"/>
      <c r="O65" s="8"/>
      <c r="P65" s="7"/>
      <c r="Q65" s="7"/>
      <c r="R65" s="8"/>
      <c r="S65" s="7"/>
      <c r="T65" s="9"/>
      <c r="U65" s="7"/>
      <c r="V65" s="8"/>
      <c r="W65" s="7"/>
      <c r="X65" s="7"/>
      <c r="Y65" s="8"/>
      <c r="Z65" s="7"/>
      <c r="AA65" s="57"/>
      <c r="AB65" s="61" t="s">
        <v>698</v>
      </c>
      <c r="AC65" s="61" t="s">
        <v>1263</v>
      </c>
    </row>
    <row r="66" spans="2:29" ht="15" thickTop="1" thickBot="1">
      <c r="B66" s="10"/>
      <c r="D66" s="51"/>
      <c r="E66" s="51" t="s">
        <v>588</v>
      </c>
      <c r="F66" s="7"/>
      <c r="G66" s="8"/>
      <c r="H66" s="7"/>
      <c r="I66" s="6"/>
      <c r="J66" s="7"/>
      <c r="K66" s="8"/>
      <c r="L66" s="7"/>
      <c r="M66" s="8"/>
      <c r="N66" s="7"/>
      <c r="O66" s="8"/>
      <c r="P66" s="7"/>
      <c r="Q66" s="7"/>
      <c r="R66" s="8"/>
      <c r="S66" s="7"/>
      <c r="T66" s="9"/>
      <c r="U66" s="7"/>
      <c r="V66" s="8"/>
      <c r="W66" s="7"/>
      <c r="X66" s="7"/>
      <c r="Y66" s="8"/>
      <c r="Z66" s="7"/>
      <c r="AA66" s="57"/>
      <c r="AB66" s="61" t="s">
        <v>698</v>
      </c>
      <c r="AC66" s="61" t="s">
        <v>1264</v>
      </c>
    </row>
    <row r="67" spans="2:29" ht="15" thickTop="1" thickBot="1">
      <c r="B67" s="10"/>
      <c r="D67" s="51"/>
      <c r="E67" s="51" t="s">
        <v>350</v>
      </c>
      <c r="F67" s="7"/>
      <c r="G67" s="8"/>
      <c r="H67" s="7"/>
      <c r="I67" s="6"/>
      <c r="J67" s="7"/>
      <c r="K67" s="8"/>
      <c r="L67" s="7"/>
      <c r="M67" s="8"/>
      <c r="N67" s="7"/>
      <c r="O67" s="8"/>
      <c r="P67" s="7"/>
      <c r="Q67" s="7"/>
      <c r="R67" s="8"/>
      <c r="S67" s="7"/>
      <c r="T67" s="9"/>
      <c r="U67" s="7"/>
      <c r="V67" s="8"/>
      <c r="W67" s="7"/>
      <c r="X67" s="7"/>
      <c r="Y67" s="8"/>
      <c r="Z67" s="7"/>
      <c r="AA67" s="57"/>
      <c r="AB67" s="61" t="s">
        <v>698</v>
      </c>
      <c r="AC67" s="61" t="s">
        <v>708</v>
      </c>
    </row>
    <row r="68" spans="2:29" ht="15" thickTop="1" thickBot="1">
      <c r="B68" s="10"/>
      <c r="D68" s="51"/>
      <c r="E68" s="51" t="s">
        <v>570</v>
      </c>
      <c r="F68" s="7"/>
      <c r="G68" s="8"/>
      <c r="H68" s="7"/>
      <c r="I68" s="6"/>
      <c r="J68" s="7"/>
      <c r="K68" s="8"/>
      <c r="L68" s="7"/>
      <c r="M68" s="8"/>
      <c r="N68" s="7"/>
      <c r="O68" s="8"/>
      <c r="P68" s="7"/>
      <c r="Q68" s="7"/>
      <c r="R68" s="8"/>
      <c r="S68" s="7"/>
      <c r="T68" s="9"/>
      <c r="U68" s="7"/>
      <c r="V68" s="8"/>
      <c r="W68" s="7"/>
      <c r="X68" s="7"/>
      <c r="Y68" s="8"/>
      <c r="Z68" s="7"/>
      <c r="AA68" s="57"/>
      <c r="AB68" s="61" t="s">
        <v>698</v>
      </c>
      <c r="AC68" s="61" t="s">
        <v>1265</v>
      </c>
    </row>
    <row r="69" spans="2:29" ht="15" thickTop="1" thickBot="1">
      <c r="B69" s="10"/>
      <c r="D69" s="65"/>
      <c r="E69" s="51" t="s">
        <v>639</v>
      </c>
      <c r="F69" s="7"/>
      <c r="G69" s="8"/>
      <c r="H69" s="7"/>
      <c r="I69" s="6"/>
      <c r="J69" s="7"/>
      <c r="K69" s="8"/>
      <c r="L69" s="7"/>
      <c r="M69" s="8"/>
      <c r="N69" s="7"/>
      <c r="O69" s="8"/>
      <c r="P69" s="7"/>
      <c r="Q69" s="7"/>
      <c r="R69" s="8"/>
      <c r="S69" s="7"/>
      <c r="T69" s="9"/>
      <c r="U69" s="7"/>
      <c r="V69" s="8"/>
      <c r="W69" s="7"/>
      <c r="X69" s="7"/>
      <c r="Y69" s="8"/>
      <c r="Z69" s="7"/>
      <c r="AA69" s="57"/>
      <c r="AB69" s="61" t="s">
        <v>698</v>
      </c>
      <c r="AC69" s="61" t="s">
        <v>699</v>
      </c>
    </row>
    <row r="70" spans="2:29" ht="15" thickTop="1" thickBot="1">
      <c r="B70" s="10"/>
      <c r="D70" s="65"/>
      <c r="E70" s="51" t="s">
        <v>917</v>
      </c>
      <c r="F70" s="7"/>
      <c r="G70" s="8"/>
      <c r="H70" s="7"/>
      <c r="I70" s="6"/>
      <c r="J70" s="7"/>
      <c r="K70" s="8"/>
      <c r="L70" s="7"/>
      <c r="M70" s="8"/>
      <c r="N70" s="7"/>
      <c r="O70" s="8"/>
      <c r="P70" s="7"/>
      <c r="Q70" s="7"/>
      <c r="R70" s="8"/>
      <c r="S70" s="7"/>
      <c r="T70" s="9"/>
      <c r="U70" s="7"/>
      <c r="V70" s="8"/>
      <c r="W70" s="7"/>
      <c r="X70" s="7"/>
      <c r="Y70" s="8"/>
      <c r="Z70" s="7"/>
      <c r="AA70" s="57"/>
      <c r="AB70" s="61" t="s">
        <v>698</v>
      </c>
      <c r="AC70" s="61" t="s">
        <v>1266</v>
      </c>
    </row>
    <row r="71" spans="2:29" ht="15" thickTop="1" thickBot="1">
      <c r="B71" s="10"/>
      <c r="D71" s="65"/>
      <c r="E71" s="51" t="s">
        <v>667</v>
      </c>
      <c r="F71" s="7"/>
      <c r="G71" s="8"/>
      <c r="H71" s="7"/>
      <c r="I71" s="6"/>
      <c r="J71" s="7"/>
      <c r="K71" s="8"/>
      <c r="L71" s="7"/>
      <c r="M71" s="8"/>
      <c r="N71" s="7"/>
      <c r="O71" s="8"/>
      <c r="P71" s="7"/>
      <c r="Q71" s="7"/>
      <c r="R71" s="8"/>
      <c r="S71" s="7"/>
      <c r="T71" s="9"/>
      <c r="U71" s="7"/>
      <c r="V71" s="8"/>
      <c r="W71" s="7"/>
      <c r="X71" s="7"/>
      <c r="Y71" s="8"/>
      <c r="Z71" s="7"/>
      <c r="AA71" s="57"/>
      <c r="AB71" s="61" t="s">
        <v>698</v>
      </c>
      <c r="AC71" s="61" t="s">
        <v>719</v>
      </c>
    </row>
    <row r="72" spans="2:29" ht="15" thickTop="1" thickBot="1">
      <c r="B72" s="10"/>
      <c r="D72" s="65"/>
      <c r="E72" s="51" t="s">
        <v>575</v>
      </c>
      <c r="F72" s="7"/>
      <c r="G72" s="8"/>
      <c r="H72" s="7"/>
      <c r="I72" s="6"/>
      <c r="J72" s="7"/>
      <c r="K72" s="8"/>
      <c r="L72" s="7"/>
      <c r="M72" s="8"/>
      <c r="N72" s="7"/>
      <c r="O72" s="8"/>
      <c r="P72" s="7"/>
      <c r="Q72" s="7"/>
      <c r="R72" s="8"/>
      <c r="S72" s="7"/>
      <c r="T72" s="9"/>
      <c r="U72" s="7"/>
      <c r="V72" s="8"/>
      <c r="W72" s="7"/>
      <c r="X72" s="7"/>
      <c r="Y72" s="8"/>
      <c r="Z72" s="7"/>
      <c r="AA72" s="57"/>
      <c r="AB72" s="61" t="s">
        <v>698</v>
      </c>
      <c r="AC72" s="61" t="s">
        <v>1267</v>
      </c>
    </row>
    <row r="73" spans="2:29" ht="15" thickTop="1" thickBot="1">
      <c r="B73" s="10"/>
      <c r="D73" s="65"/>
      <c r="E73" s="51" t="s">
        <v>360</v>
      </c>
      <c r="F73" s="7"/>
      <c r="G73" s="8"/>
      <c r="H73" s="7"/>
      <c r="I73" s="6"/>
      <c r="J73" s="7"/>
      <c r="K73" s="8"/>
      <c r="L73" s="7"/>
      <c r="M73" s="8"/>
      <c r="N73" s="7"/>
      <c r="O73" s="8"/>
      <c r="P73" s="7"/>
      <c r="Q73" s="7"/>
      <c r="R73" s="8"/>
      <c r="S73" s="7"/>
      <c r="T73" s="9"/>
      <c r="U73" s="7"/>
      <c r="V73" s="8"/>
      <c r="W73" s="7"/>
      <c r="X73" s="7"/>
      <c r="Y73" s="8"/>
      <c r="Z73" s="7"/>
      <c r="AA73" s="57"/>
      <c r="AB73" s="61" t="s">
        <v>698</v>
      </c>
      <c r="AC73" s="61" t="s">
        <v>1268</v>
      </c>
    </row>
    <row r="74" spans="2:29" ht="15" thickTop="1" thickBot="1">
      <c r="B74" s="10"/>
      <c r="D74" s="65"/>
      <c r="E74" s="51" t="s">
        <v>362</v>
      </c>
      <c r="F74" s="7"/>
      <c r="G74" s="8"/>
      <c r="H74" s="7"/>
      <c r="I74" s="6"/>
      <c r="J74" s="7"/>
      <c r="K74" s="8"/>
      <c r="L74" s="7"/>
      <c r="M74" s="8"/>
      <c r="N74" s="7"/>
      <c r="O74" s="8"/>
      <c r="P74" s="7"/>
      <c r="Q74" s="7"/>
      <c r="R74" s="8"/>
      <c r="S74" s="7"/>
      <c r="T74" s="9"/>
      <c r="U74" s="7"/>
      <c r="V74" s="8"/>
      <c r="W74" s="7"/>
      <c r="X74" s="7"/>
      <c r="Y74" s="8"/>
      <c r="Z74" s="7"/>
      <c r="AA74" s="57"/>
      <c r="AB74" s="61" t="s">
        <v>698</v>
      </c>
      <c r="AC74" s="61" t="s">
        <v>1269</v>
      </c>
    </row>
    <row r="75" spans="2:29" ht="15" thickTop="1" thickBot="1">
      <c r="B75" s="10"/>
      <c r="D75" s="65"/>
      <c r="E75" s="51" t="s">
        <v>367</v>
      </c>
      <c r="F75" s="7"/>
      <c r="G75" s="8"/>
      <c r="H75" s="7"/>
      <c r="I75" s="6"/>
      <c r="J75" s="7"/>
      <c r="K75" s="8"/>
      <c r="L75" s="7"/>
      <c r="M75" s="8"/>
      <c r="N75" s="7"/>
      <c r="O75" s="8"/>
      <c r="P75" s="7"/>
      <c r="Q75" s="7"/>
      <c r="R75" s="8"/>
      <c r="S75" s="7"/>
      <c r="T75" s="9"/>
      <c r="U75" s="7"/>
      <c r="V75" s="8"/>
      <c r="W75" s="7"/>
      <c r="X75" s="7"/>
      <c r="Y75" s="8"/>
      <c r="Z75" s="7"/>
      <c r="AA75" s="57"/>
      <c r="AB75" s="61" t="s">
        <v>698</v>
      </c>
      <c r="AC75" s="61" t="s">
        <v>1270</v>
      </c>
    </row>
    <row r="76" spans="2:29" ht="15" thickTop="1" thickBot="1">
      <c r="B76" s="10"/>
      <c r="D76" s="65"/>
      <c r="E76" s="51" t="s">
        <v>359</v>
      </c>
      <c r="F76" s="7"/>
      <c r="G76" s="8"/>
      <c r="H76" s="7"/>
      <c r="I76" s="6"/>
      <c r="J76" s="7"/>
      <c r="K76" s="8"/>
      <c r="L76" s="7"/>
      <c r="M76" s="8"/>
      <c r="N76" s="7"/>
      <c r="O76" s="8"/>
      <c r="P76" s="7"/>
      <c r="Q76" s="7"/>
      <c r="R76" s="8"/>
      <c r="S76" s="7"/>
      <c r="T76" s="9"/>
      <c r="U76" s="7"/>
      <c r="V76" s="8"/>
      <c r="W76" s="7"/>
      <c r="X76" s="7"/>
      <c r="Y76" s="8"/>
      <c r="Z76" s="7"/>
      <c r="AA76" s="57"/>
      <c r="AB76" s="61" t="s">
        <v>698</v>
      </c>
      <c r="AC76" s="61" t="s">
        <v>1271</v>
      </c>
    </row>
    <row r="77" spans="2:29" ht="15" thickTop="1" thickBot="1">
      <c r="B77" s="10"/>
      <c r="D77" s="65"/>
      <c r="E77" s="51" t="s">
        <v>797</v>
      </c>
      <c r="F77" s="7"/>
      <c r="G77" s="8"/>
      <c r="H77" s="7"/>
      <c r="I77" s="6"/>
      <c r="J77" s="7"/>
      <c r="K77" s="8"/>
      <c r="L77" s="7"/>
      <c r="M77" s="8"/>
      <c r="N77" s="7"/>
      <c r="O77" s="8"/>
      <c r="P77" s="7"/>
      <c r="Q77" s="7"/>
      <c r="R77" s="8"/>
      <c r="S77" s="7"/>
      <c r="T77" s="9"/>
      <c r="U77" s="7"/>
      <c r="V77" s="8"/>
      <c r="W77" s="7"/>
      <c r="X77" s="7"/>
      <c r="Y77" s="8"/>
      <c r="Z77" s="7"/>
      <c r="AA77" s="57"/>
      <c r="AB77" s="61" t="s">
        <v>698</v>
      </c>
      <c r="AC77" s="61" t="s">
        <v>1272</v>
      </c>
    </row>
    <row r="78" spans="2:29" ht="15" thickTop="1" thickBot="1">
      <c r="B78" s="10"/>
      <c r="D78" s="65"/>
      <c r="E78" s="51" t="s">
        <v>796</v>
      </c>
      <c r="F78" s="7"/>
      <c r="G78" s="8"/>
      <c r="H78" s="7"/>
      <c r="I78" s="6"/>
      <c r="J78" s="7"/>
      <c r="K78" s="8"/>
      <c r="L78" s="7"/>
      <c r="M78" s="8"/>
      <c r="N78" s="7"/>
      <c r="O78" s="8"/>
      <c r="P78" s="7"/>
      <c r="Q78" s="7"/>
      <c r="R78" s="8"/>
      <c r="S78" s="7"/>
      <c r="T78" s="9"/>
      <c r="U78" s="7"/>
      <c r="V78" s="8"/>
      <c r="W78" s="7"/>
      <c r="X78" s="7"/>
      <c r="Y78" s="8"/>
      <c r="Z78" s="7"/>
      <c r="AA78" s="57"/>
      <c r="AB78" s="61" t="s">
        <v>698</v>
      </c>
      <c r="AC78" s="61" t="s">
        <v>1273</v>
      </c>
    </row>
    <row r="79" spans="2:29" ht="15" thickTop="1" thickBot="1">
      <c r="B79" s="10"/>
      <c r="D79" s="65"/>
      <c r="E79" s="51" t="s">
        <v>364</v>
      </c>
      <c r="F79" s="7"/>
      <c r="G79" s="8"/>
      <c r="H79" s="7"/>
      <c r="I79" s="6"/>
      <c r="J79" s="7"/>
      <c r="K79" s="8"/>
      <c r="L79" s="7"/>
      <c r="M79" s="8"/>
      <c r="N79" s="7"/>
      <c r="O79" s="8"/>
      <c r="P79" s="7"/>
      <c r="Q79" s="7"/>
      <c r="R79" s="8"/>
      <c r="S79" s="7"/>
      <c r="T79" s="9"/>
      <c r="U79" s="7"/>
      <c r="V79" s="8"/>
      <c r="W79" s="7"/>
      <c r="X79" s="7"/>
      <c r="Y79" s="8"/>
      <c r="Z79" s="7"/>
      <c r="AA79" s="57"/>
      <c r="AB79" s="61" t="s">
        <v>698</v>
      </c>
      <c r="AC79" s="61" t="s">
        <v>1274</v>
      </c>
    </row>
    <row r="80" spans="2:29" ht="15" thickTop="1" thickBot="1">
      <c r="B80" s="10"/>
      <c r="D80" s="65"/>
      <c r="E80" s="51" t="s">
        <v>361</v>
      </c>
      <c r="F80" s="7"/>
      <c r="G80" s="8"/>
      <c r="H80" s="7"/>
      <c r="I80" s="6"/>
      <c r="J80" s="7"/>
      <c r="K80" s="8"/>
      <c r="L80" s="7"/>
      <c r="M80" s="8"/>
      <c r="N80" s="7"/>
      <c r="O80" s="8"/>
      <c r="P80" s="7"/>
      <c r="Q80" s="7"/>
      <c r="R80" s="8"/>
      <c r="S80" s="7"/>
      <c r="T80" s="9"/>
      <c r="U80" s="7"/>
      <c r="V80" s="8"/>
      <c r="W80" s="7"/>
      <c r="X80" s="7"/>
      <c r="Y80" s="8"/>
      <c r="Z80" s="7"/>
      <c r="AA80" s="57"/>
      <c r="AB80" s="61" t="s">
        <v>698</v>
      </c>
      <c r="AC80" s="61" t="s">
        <v>1275</v>
      </c>
    </row>
    <row r="81" spans="2:29" ht="15" thickTop="1" thickBot="1">
      <c r="B81" s="10"/>
      <c r="D81" s="65"/>
      <c r="E81" s="51" t="s">
        <v>363</v>
      </c>
      <c r="F81" s="7"/>
      <c r="G81" s="8"/>
      <c r="H81" s="7"/>
      <c r="I81" s="6"/>
      <c r="J81" s="7"/>
      <c r="K81" s="8"/>
      <c r="L81" s="7"/>
      <c r="M81" s="8"/>
      <c r="N81" s="7"/>
      <c r="O81" s="8"/>
      <c r="P81" s="7"/>
      <c r="Q81" s="7"/>
      <c r="R81" s="8"/>
      <c r="S81" s="7"/>
      <c r="T81" s="9"/>
      <c r="U81" s="7"/>
      <c r="V81" s="8"/>
      <c r="W81" s="7"/>
      <c r="X81" s="7"/>
      <c r="Y81" s="8"/>
      <c r="Z81" s="7"/>
      <c r="AA81" s="57"/>
      <c r="AB81" s="61" t="s">
        <v>698</v>
      </c>
      <c r="AC81" s="61" t="s">
        <v>1276</v>
      </c>
    </row>
    <row r="82" spans="2:29" ht="15" thickTop="1" thickBot="1">
      <c r="B82" s="10"/>
      <c r="D82" s="65"/>
      <c r="E82" s="51" t="s">
        <v>365</v>
      </c>
      <c r="F82" s="7"/>
      <c r="G82" s="8"/>
      <c r="H82" s="7"/>
      <c r="I82" s="6"/>
      <c r="J82" s="7"/>
      <c r="K82" s="8"/>
      <c r="L82" s="7"/>
      <c r="M82" s="8"/>
      <c r="N82" s="7"/>
      <c r="O82" s="8"/>
      <c r="P82" s="7"/>
      <c r="Q82" s="7"/>
      <c r="R82" s="8"/>
      <c r="S82" s="7"/>
      <c r="T82" s="9"/>
      <c r="U82" s="7"/>
      <c r="V82" s="8"/>
      <c r="W82" s="7"/>
      <c r="X82" s="7"/>
      <c r="Y82" s="8"/>
      <c r="Z82" s="7"/>
      <c r="AA82" s="57"/>
      <c r="AB82" s="61" t="s">
        <v>698</v>
      </c>
      <c r="AC82" s="61" t="s">
        <v>1277</v>
      </c>
    </row>
    <row r="83" spans="2:29" ht="15" thickTop="1" thickBot="1">
      <c r="B83" s="10"/>
      <c r="D83" s="65"/>
      <c r="E83" s="51" t="s">
        <v>358</v>
      </c>
      <c r="F83" s="7"/>
      <c r="G83" s="8"/>
      <c r="H83" s="7"/>
      <c r="I83" s="6"/>
      <c r="J83" s="7"/>
      <c r="K83" s="8"/>
      <c r="L83" s="7"/>
      <c r="M83" s="8"/>
      <c r="N83" s="7"/>
      <c r="O83" s="8"/>
      <c r="P83" s="7"/>
      <c r="Q83" s="7"/>
      <c r="R83" s="8"/>
      <c r="S83" s="7"/>
      <c r="T83" s="9"/>
      <c r="U83" s="7"/>
      <c r="V83" s="8"/>
      <c r="W83" s="7"/>
      <c r="X83" s="7"/>
      <c r="Y83" s="8"/>
      <c r="Z83" s="7"/>
      <c r="AA83" s="57"/>
      <c r="AB83" s="63" t="s">
        <v>698</v>
      </c>
      <c r="AC83" s="63" t="s">
        <v>1278</v>
      </c>
    </row>
    <row r="84" spans="2:29" ht="15" thickTop="1" thickBot="1">
      <c r="B84" s="10"/>
      <c r="D84" s="65"/>
      <c r="E84" s="51" t="s">
        <v>945</v>
      </c>
      <c r="F84" s="7"/>
      <c r="G84" s="8"/>
      <c r="H84" s="7"/>
      <c r="I84" s="6"/>
      <c r="J84" s="7"/>
      <c r="K84" s="8"/>
      <c r="L84" s="7"/>
      <c r="M84" s="8"/>
      <c r="N84" s="7"/>
      <c r="O84" s="8"/>
      <c r="P84" s="7"/>
      <c r="Q84" s="7"/>
      <c r="R84" s="8"/>
      <c r="S84" s="7"/>
      <c r="T84" s="9"/>
      <c r="U84" s="7"/>
      <c r="V84" s="8"/>
      <c r="W84" s="7"/>
      <c r="X84" s="7"/>
      <c r="Y84" s="8"/>
      <c r="Z84" s="7"/>
      <c r="AA84" s="8"/>
      <c r="AB84" s="795" t="s">
        <v>3274</v>
      </c>
      <c r="AC84" s="795" t="s">
        <v>3275</v>
      </c>
    </row>
    <row r="85" spans="2:29" ht="15" thickTop="1" thickBot="1">
      <c r="B85" s="10"/>
      <c r="D85" s="65"/>
      <c r="E85" s="51" t="s">
        <v>944</v>
      </c>
      <c r="F85" s="7"/>
      <c r="G85" s="8"/>
      <c r="H85" s="7"/>
      <c r="I85" s="6"/>
      <c r="J85" s="7"/>
      <c r="K85" s="8"/>
      <c r="L85" s="7"/>
      <c r="M85" s="8"/>
      <c r="N85" s="7"/>
      <c r="O85" s="8"/>
      <c r="P85" s="7"/>
      <c r="Q85" s="7"/>
      <c r="R85" s="8"/>
      <c r="S85" s="7"/>
      <c r="T85" s="9"/>
      <c r="U85" s="7"/>
      <c r="V85" s="8"/>
      <c r="W85" s="7"/>
      <c r="X85" s="7"/>
      <c r="Y85" s="8"/>
      <c r="Z85" s="7"/>
      <c r="AA85" s="8"/>
    </row>
    <row r="86" spans="2:29" ht="15" thickTop="1" thickBot="1">
      <c r="B86" s="10"/>
      <c r="D86" s="65"/>
      <c r="E86" s="51" t="s">
        <v>566</v>
      </c>
      <c r="F86" s="7"/>
      <c r="G86" s="8"/>
      <c r="H86" s="7"/>
      <c r="I86" s="6"/>
      <c r="J86" s="7"/>
      <c r="K86" s="8"/>
      <c r="L86" s="7"/>
      <c r="M86" s="8"/>
      <c r="N86" s="7"/>
      <c r="O86" s="8"/>
      <c r="P86" s="7"/>
      <c r="Q86" s="7"/>
      <c r="R86" s="8"/>
      <c r="S86" s="7"/>
      <c r="T86" s="9"/>
      <c r="U86" s="7"/>
      <c r="V86" s="8"/>
      <c r="W86" s="7"/>
      <c r="X86" s="7"/>
      <c r="Y86" s="8"/>
      <c r="Z86" s="7"/>
      <c r="AA86" s="8"/>
    </row>
    <row r="87" spans="2:29" ht="15" thickTop="1" thickBot="1">
      <c r="B87" s="10"/>
      <c r="D87" s="65"/>
      <c r="E87" s="51" t="s">
        <v>552</v>
      </c>
      <c r="F87" s="7"/>
      <c r="G87" s="8"/>
      <c r="H87" s="7"/>
      <c r="I87" s="6"/>
      <c r="J87" s="7"/>
      <c r="K87" s="8"/>
      <c r="L87" s="7"/>
      <c r="M87" s="8"/>
      <c r="N87" s="7"/>
      <c r="O87" s="8"/>
      <c r="P87" s="7"/>
      <c r="Q87" s="7"/>
      <c r="R87" s="8"/>
      <c r="S87" s="7"/>
      <c r="T87" s="9"/>
      <c r="U87" s="7"/>
      <c r="V87" s="8"/>
      <c r="W87" s="7"/>
      <c r="X87" s="7"/>
      <c r="Y87" s="8"/>
      <c r="Z87" s="7"/>
      <c r="AA87" s="8"/>
    </row>
    <row r="88" spans="2:29" ht="15" thickTop="1" thickBot="1">
      <c r="B88" s="10"/>
      <c r="D88" s="65"/>
      <c r="E88" s="51" t="s">
        <v>556</v>
      </c>
      <c r="F88" s="7"/>
      <c r="G88" s="8"/>
      <c r="H88" s="7"/>
      <c r="I88" s="6"/>
      <c r="J88" s="7"/>
      <c r="K88" s="8"/>
      <c r="L88" s="7"/>
      <c r="M88" s="8"/>
      <c r="N88" s="7"/>
      <c r="O88" s="8"/>
      <c r="P88" s="7"/>
      <c r="Q88" s="7"/>
      <c r="R88" s="8"/>
      <c r="S88" s="7"/>
      <c r="T88" s="9"/>
      <c r="U88" s="7"/>
      <c r="V88" s="8"/>
      <c r="W88" s="7"/>
      <c r="X88" s="7"/>
      <c r="Y88" s="8"/>
      <c r="Z88" s="7"/>
      <c r="AA88" s="8"/>
    </row>
    <row r="89" spans="2:29" ht="15" thickTop="1" thickBot="1">
      <c r="B89" s="10"/>
      <c r="D89" s="65"/>
      <c r="E89" s="51" t="s">
        <v>607</v>
      </c>
      <c r="F89" s="7"/>
      <c r="G89" s="8"/>
      <c r="H89" s="7"/>
      <c r="I89" s="6"/>
      <c r="J89" s="7"/>
      <c r="K89" s="8"/>
      <c r="L89" s="7"/>
      <c r="M89" s="8"/>
      <c r="N89" s="7"/>
      <c r="O89" s="8"/>
      <c r="P89" s="7"/>
      <c r="Q89" s="7"/>
      <c r="R89" s="8"/>
      <c r="S89" s="7"/>
      <c r="T89" s="9"/>
      <c r="U89" s="7"/>
      <c r="V89" s="8"/>
      <c r="W89" s="7"/>
      <c r="X89" s="7"/>
      <c r="Y89" s="8"/>
      <c r="Z89" s="7"/>
      <c r="AA89" s="8"/>
    </row>
    <row r="90" spans="2:29" ht="15" thickTop="1" thickBot="1">
      <c r="B90" s="10"/>
      <c r="D90" s="65"/>
      <c r="E90" s="51" t="s">
        <v>924</v>
      </c>
      <c r="F90" s="7"/>
      <c r="G90" s="8"/>
      <c r="H90" s="7"/>
      <c r="I90" s="6"/>
      <c r="J90" s="7"/>
      <c r="K90" s="8"/>
      <c r="L90" s="7"/>
      <c r="M90" s="8"/>
      <c r="N90" s="7"/>
      <c r="O90" s="8"/>
      <c r="P90" s="7"/>
      <c r="Q90" s="7"/>
      <c r="R90" s="8"/>
      <c r="S90" s="7"/>
      <c r="T90" s="9"/>
      <c r="U90" s="7"/>
      <c r="V90" s="8"/>
      <c r="W90" s="7"/>
      <c r="X90" s="7"/>
      <c r="Y90" s="8"/>
      <c r="Z90" s="7"/>
      <c r="AA90" s="8"/>
    </row>
    <row r="91" spans="2:29" ht="15" thickTop="1" thickBot="1">
      <c r="B91" s="10"/>
      <c r="D91" s="65"/>
      <c r="E91" s="51" t="s">
        <v>645</v>
      </c>
      <c r="F91" s="7"/>
      <c r="G91" s="8"/>
      <c r="H91" s="7"/>
      <c r="I91" s="6"/>
      <c r="J91" s="7"/>
      <c r="K91" s="8"/>
      <c r="L91" s="7"/>
      <c r="M91" s="8"/>
      <c r="N91" s="7"/>
      <c r="O91" s="8"/>
      <c r="P91" s="7"/>
      <c r="Q91" s="7"/>
      <c r="R91" s="8"/>
      <c r="S91" s="7"/>
      <c r="T91" s="9"/>
      <c r="U91" s="7"/>
      <c r="V91" s="8"/>
      <c r="W91" s="7"/>
      <c r="X91" s="7"/>
      <c r="Y91" s="8"/>
      <c r="Z91" s="7"/>
      <c r="AA91" s="8"/>
    </row>
    <row r="92" spans="2:29" ht="15" thickTop="1" thickBot="1">
      <c r="B92" s="10"/>
      <c r="D92" s="65"/>
      <c r="E92" s="51" t="s">
        <v>916</v>
      </c>
      <c r="F92" s="7"/>
      <c r="G92" s="8"/>
      <c r="H92" s="7"/>
      <c r="I92" s="6"/>
      <c r="J92" s="7"/>
      <c r="K92" s="8"/>
      <c r="L92" s="7"/>
      <c r="M92" s="8"/>
      <c r="N92" s="7"/>
      <c r="O92" s="8"/>
      <c r="P92" s="7"/>
      <c r="Q92" s="7"/>
      <c r="R92" s="8"/>
      <c r="S92" s="7"/>
      <c r="T92" s="9"/>
      <c r="U92" s="7"/>
      <c r="V92" s="8"/>
      <c r="W92" s="7"/>
      <c r="X92" s="7"/>
      <c r="Y92" s="8"/>
      <c r="Z92" s="7"/>
      <c r="AA92" s="8"/>
    </row>
    <row r="93" spans="2:29" ht="15" thickTop="1" thickBot="1">
      <c r="B93" s="10"/>
      <c r="D93" s="65"/>
      <c r="E93" s="51" t="s">
        <v>610</v>
      </c>
      <c r="F93" s="7"/>
      <c r="G93" s="8"/>
      <c r="H93" s="7"/>
      <c r="I93" s="6"/>
      <c r="J93" s="7"/>
      <c r="K93" s="8"/>
      <c r="L93" s="7"/>
      <c r="M93" s="8"/>
      <c r="N93" s="7"/>
      <c r="O93" s="8"/>
      <c r="P93" s="7"/>
      <c r="Q93" s="7"/>
      <c r="R93" s="8"/>
      <c r="S93" s="7"/>
      <c r="T93" s="9"/>
      <c r="U93" s="7"/>
      <c r="V93" s="8"/>
      <c r="W93" s="7"/>
      <c r="X93" s="7"/>
      <c r="Y93" s="8"/>
      <c r="Z93" s="7"/>
      <c r="AA93" s="8"/>
    </row>
    <row r="94" spans="2:29" ht="15" thickTop="1" thickBot="1">
      <c r="B94" s="10"/>
      <c r="D94" s="65"/>
      <c r="E94" s="51" t="s">
        <v>940</v>
      </c>
      <c r="F94" s="7"/>
      <c r="G94" s="8"/>
      <c r="H94" s="7"/>
      <c r="I94" s="6"/>
      <c r="J94" s="7"/>
      <c r="K94" s="8"/>
      <c r="L94" s="7"/>
      <c r="M94" s="8"/>
      <c r="N94" s="7"/>
      <c r="O94" s="8"/>
      <c r="P94" s="7"/>
      <c r="Q94" s="7"/>
      <c r="R94" s="8"/>
      <c r="S94" s="7"/>
      <c r="T94" s="9"/>
      <c r="U94" s="7"/>
      <c r="V94" s="8"/>
      <c r="W94" s="7"/>
      <c r="X94" s="7"/>
      <c r="Y94" s="8"/>
      <c r="Z94" s="7"/>
      <c r="AA94" s="8"/>
    </row>
    <row r="95" spans="2:29" ht="15" thickTop="1" thickBot="1">
      <c r="B95" s="10"/>
      <c r="D95" s="65"/>
      <c r="E95" s="51" t="s">
        <v>1130</v>
      </c>
      <c r="F95" s="7"/>
      <c r="G95" s="8"/>
      <c r="H95" s="7"/>
      <c r="I95" s="6"/>
      <c r="J95" s="7"/>
      <c r="K95" s="8"/>
      <c r="L95" s="7"/>
      <c r="M95" s="8"/>
      <c r="N95" s="7"/>
      <c r="O95" s="8"/>
      <c r="P95" s="7"/>
      <c r="Q95" s="7"/>
      <c r="R95" s="8"/>
      <c r="S95" s="7"/>
      <c r="T95" s="9"/>
      <c r="U95" s="7"/>
      <c r="V95" s="8"/>
      <c r="W95" s="7"/>
      <c r="X95" s="7"/>
      <c r="Y95" s="8"/>
      <c r="Z95" s="7"/>
      <c r="AA95" s="8"/>
    </row>
    <row r="96" spans="2:29" ht="15" thickTop="1" thickBot="1">
      <c r="B96" s="10"/>
      <c r="D96" s="65"/>
      <c r="E96" s="51" t="s">
        <v>593</v>
      </c>
      <c r="F96" s="7"/>
      <c r="G96" s="8"/>
      <c r="H96" s="7"/>
      <c r="I96" s="6"/>
      <c r="J96" s="7"/>
      <c r="K96" s="8"/>
      <c r="L96" s="7"/>
      <c r="M96" s="8"/>
      <c r="N96" s="7"/>
      <c r="O96" s="8"/>
      <c r="P96" s="7"/>
      <c r="Q96" s="7"/>
      <c r="R96" s="8"/>
      <c r="S96" s="7"/>
      <c r="T96" s="9"/>
      <c r="U96" s="7"/>
      <c r="V96" s="8"/>
      <c r="W96" s="7"/>
      <c r="X96" s="7"/>
      <c r="Y96" s="8"/>
      <c r="Z96" s="7"/>
      <c r="AA96" s="8"/>
    </row>
    <row r="97" spans="2:27" ht="15" thickTop="1" thickBot="1">
      <c r="B97" s="10"/>
      <c r="D97" s="65"/>
      <c r="E97" s="51" t="s">
        <v>595</v>
      </c>
      <c r="F97" s="7"/>
      <c r="G97" s="8"/>
      <c r="H97" s="7"/>
      <c r="I97" s="6"/>
      <c r="J97" s="7"/>
      <c r="K97" s="8"/>
      <c r="L97" s="7"/>
      <c r="M97" s="8"/>
      <c r="N97" s="7"/>
      <c r="O97" s="8"/>
      <c r="P97" s="7"/>
      <c r="Q97" s="7"/>
      <c r="R97" s="8"/>
      <c r="S97" s="7"/>
      <c r="T97" s="9"/>
      <c r="U97" s="7"/>
      <c r="V97" s="8"/>
      <c r="W97" s="7"/>
      <c r="X97" s="7"/>
      <c r="Y97" s="8"/>
      <c r="Z97" s="7"/>
      <c r="AA97" s="8"/>
    </row>
    <row r="98" spans="2:27" ht="15" thickTop="1" thickBot="1">
      <c r="B98" s="10"/>
      <c r="D98" s="65"/>
      <c r="E98" s="51" t="s">
        <v>946</v>
      </c>
      <c r="F98" s="7"/>
      <c r="G98" s="8"/>
      <c r="H98" s="7"/>
      <c r="I98" s="6"/>
      <c r="J98" s="7"/>
      <c r="K98" s="8"/>
      <c r="L98" s="7"/>
      <c r="M98" s="8"/>
      <c r="N98" s="7"/>
      <c r="O98" s="8"/>
      <c r="P98" s="7"/>
      <c r="Q98" s="7"/>
      <c r="R98" s="8"/>
      <c r="S98" s="7"/>
      <c r="T98" s="9"/>
      <c r="U98" s="7"/>
      <c r="V98" s="8"/>
      <c r="W98" s="7"/>
      <c r="X98" s="7"/>
      <c r="Y98" s="8"/>
      <c r="Z98" s="7"/>
      <c r="AA98" s="8"/>
    </row>
    <row r="99" spans="2:27" ht="15" thickTop="1" thickBot="1">
      <c r="B99" s="10"/>
      <c r="D99" s="65"/>
      <c r="E99" s="51" t="s">
        <v>614</v>
      </c>
      <c r="F99" s="7"/>
      <c r="G99" s="8"/>
      <c r="H99" s="7"/>
      <c r="I99" s="6"/>
      <c r="J99" s="7"/>
      <c r="K99" s="8"/>
      <c r="L99" s="7"/>
      <c r="M99" s="8"/>
      <c r="N99" s="7"/>
      <c r="O99" s="8"/>
      <c r="P99" s="7"/>
      <c r="Q99" s="7"/>
      <c r="R99" s="8"/>
      <c r="S99" s="7"/>
      <c r="T99" s="9"/>
      <c r="U99" s="7"/>
      <c r="V99" s="8"/>
      <c r="W99" s="7"/>
      <c r="X99" s="7"/>
      <c r="Y99" s="8"/>
      <c r="Z99" s="7"/>
      <c r="AA99" s="8"/>
    </row>
    <row r="100" spans="2:27" ht="15" thickTop="1" thickBot="1">
      <c r="B100" s="10"/>
      <c r="D100" s="65"/>
      <c r="E100" s="51" t="s">
        <v>950</v>
      </c>
      <c r="F100" s="7"/>
      <c r="G100" s="8"/>
      <c r="H100" s="7"/>
      <c r="I100" s="6"/>
      <c r="J100" s="7"/>
      <c r="K100" s="8"/>
      <c r="L100" s="7"/>
      <c r="M100" s="8"/>
      <c r="N100" s="7"/>
      <c r="O100" s="8"/>
      <c r="P100" s="7"/>
      <c r="Q100" s="7"/>
      <c r="R100" s="8"/>
      <c r="S100" s="7"/>
      <c r="T100" s="9"/>
      <c r="U100" s="7"/>
      <c r="V100" s="8"/>
      <c r="W100" s="7"/>
      <c r="X100" s="7"/>
      <c r="Y100" s="8"/>
      <c r="Z100" s="7"/>
      <c r="AA100" s="8"/>
    </row>
    <row r="101" spans="2:27" ht="15" thickTop="1" thickBot="1">
      <c r="B101" s="10"/>
      <c r="D101" s="65"/>
      <c r="E101" s="51" t="s">
        <v>928</v>
      </c>
      <c r="F101" s="7"/>
      <c r="G101" s="8"/>
      <c r="H101" s="7"/>
      <c r="I101" s="6"/>
      <c r="J101" s="7"/>
      <c r="K101" s="8"/>
      <c r="L101" s="7"/>
      <c r="M101" s="8"/>
      <c r="N101" s="7"/>
      <c r="O101" s="8"/>
      <c r="P101" s="7"/>
      <c r="Q101" s="7"/>
      <c r="R101" s="8"/>
      <c r="S101" s="7"/>
      <c r="T101" s="9"/>
      <c r="U101" s="7"/>
      <c r="V101" s="8"/>
      <c r="W101" s="7"/>
      <c r="X101" s="7"/>
      <c r="Y101" s="8"/>
      <c r="Z101" s="7"/>
      <c r="AA101" s="8"/>
    </row>
    <row r="102" spans="2:27" ht="15" thickTop="1" thickBot="1">
      <c r="B102" s="10"/>
      <c r="D102" s="65"/>
      <c r="E102" s="51" t="s">
        <v>792</v>
      </c>
      <c r="F102" s="7"/>
      <c r="G102" s="8"/>
      <c r="H102" s="7"/>
      <c r="I102" s="6"/>
      <c r="J102" s="7"/>
      <c r="K102" s="8"/>
      <c r="L102" s="7"/>
      <c r="M102" s="8"/>
      <c r="N102" s="7"/>
      <c r="O102" s="8"/>
      <c r="P102" s="7"/>
      <c r="Q102" s="7"/>
      <c r="R102" s="8"/>
      <c r="S102" s="7"/>
      <c r="T102" s="9"/>
      <c r="U102" s="7"/>
      <c r="V102" s="8"/>
      <c r="W102" s="7"/>
      <c r="X102" s="7"/>
      <c r="Y102" s="8"/>
      <c r="Z102" s="7"/>
      <c r="AA102" s="8"/>
    </row>
    <row r="103" spans="2:27" ht="15" thickTop="1" thickBot="1">
      <c r="B103" s="10"/>
      <c r="D103" s="65"/>
      <c r="E103" s="51" t="s">
        <v>573</v>
      </c>
      <c r="F103" s="7"/>
      <c r="G103" s="8"/>
      <c r="H103" s="7"/>
      <c r="I103" s="6"/>
      <c r="J103" s="7"/>
      <c r="K103" s="8"/>
      <c r="L103" s="7"/>
      <c r="M103" s="8"/>
      <c r="N103" s="7"/>
      <c r="O103" s="8"/>
      <c r="P103" s="7"/>
      <c r="Q103" s="7"/>
      <c r="R103" s="8"/>
      <c r="S103" s="7"/>
      <c r="T103" s="9"/>
      <c r="U103" s="7"/>
      <c r="V103" s="8"/>
      <c r="W103" s="7"/>
      <c r="X103" s="7"/>
      <c r="Y103" s="8"/>
      <c r="Z103" s="7"/>
      <c r="AA103" s="8"/>
    </row>
    <row r="104" spans="2:27" ht="15" thickTop="1" thickBot="1">
      <c r="B104" s="10"/>
      <c r="D104" s="65"/>
      <c r="E104" s="51" t="s">
        <v>569</v>
      </c>
      <c r="F104" s="7"/>
      <c r="G104" s="8"/>
      <c r="H104" s="7"/>
      <c r="I104" s="6"/>
      <c r="J104" s="7"/>
      <c r="K104" s="8"/>
      <c r="L104" s="7"/>
      <c r="M104" s="8"/>
      <c r="N104" s="7"/>
      <c r="O104" s="8"/>
      <c r="P104" s="7"/>
      <c r="Q104" s="7"/>
      <c r="R104" s="8"/>
      <c r="S104" s="7"/>
      <c r="T104" s="9"/>
      <c r="U104" s="7"/>
      <c r="V104" s="8"/>
      <c r="W104" s="7"/>
      <c r="X104" s="7"/>
      <c r="Y104" s="8"/>
      <c r="Z104" s="7"/>
      <c r="AA104" s="8"/>
    </row>
    <row r="105" spans="2:27" ht="15" thickTop="1" thickBot="1">
      <c r="B105" s="10"/>
      <c r="D105" s="65"/>
      <c r="E105" s="51" t="s">
        <v>932</v>
      </c>
      <c r="F105" s="7"/>
      <c r="G105" s="8"/>
      <c r="H105" s="7"/>
      <c r="I105" s="6"/>
      <c r="J105" s="7"/>
      <c r="K105" s="8"/>
      <c r="L105" s="7"/>
      <c r="M105" s="8"/>
      <c r="N105" s="7"/>
      <c r="O105" s="8"/>
      <c r="P105" s="7"/>
      <c r="Q105" s="7"/>
      <c r="R105" s="8"/>
      <c r="S105" s="7"/>
      <c r="T105" s="9"/>
      <c r="U105" s="7"/>
      <c r="V105" s="8"/>
      <c r="W105" s="7"/>
      <c r="X105" s="7"/>
      <c r="Y105" s="8"/>
      <c r="Z105" s="7"/>
      <c r="AA105" s="8"/>
    </row>
    <row r="106" spans="2:27" ht="15" thickTop="1" thickBot="1">
      <c r="B106" s="10"/>
      <c r="D106" s="65"/>
      <c r="E106" s="51" t="s">
        <v>306</v>
      </c>
      <c r="F106" s="7"/>
      <c r="G106" s="8"/>
      <c r="H106" s="7"/>
      <c r="I106" s="6"/>
      <c r="J106" s="7"/>
      <c r="K106" s="8"/>
      <c r="L106" s="7"/>
      <c r="M106" s="8"/>
      <c r="N106" s="7"/>
      <c r="O106" s="8"/>
      <c r="P106" s="7"/>
      <c r="Q106" s="7"/>
      <c r="R106" s="8"/>
      <c r="S106" s="7"/>
      <c r="T106" s="9"/>
      <c r="U106" s="7"/>
      <c r="V106" s="8"/>
      <c r="W106" s="7"/>
      <c r="X106" s="7"/>
      <c r="Y106" s="8"/>
      <c r="Z106" s="7"/>
      <c r="AA106" s="8"/>
    </row>
    <row r="107" spans="2:27" ht="15" thickTop="1" thickBot="1">
      <c r="B107" s="10"/>
      <c r="D107" s="65"/>
      <c r="E107" s="51" t="s">
        <v>1279</v>
      </c>
      <c r="F107" s="7"/>
      <c r="G107" s="8"/>
      <c r="H107" s="7"/>
      <c r="I107" s="6"/>
      <c r="J107" s="7"/>
      <c r="K107" s="8"/>
      <c r="L107" s="7"/>
      <c r="M107" s="8"/>
      <c r="N107" s="7"/>
      <c r="O107" s="8"/>
      <c r="P107" s="7"/>
      <c r="Q107" s="7"/>
      <c r="R107" s="8"/>
      <c r="S107" s="7"/>
      <c r="T107" s="9"/>
      <c r="U107" s="7"/>
      <c r="V107" s="8"/>
      <c r="W107" s="7"/>
      <c r="X107" s="7"/>
      <c r="Y107" s="8"/>
      <c r="Z107" s="7"/>
      <c r="AA107" s="8"/>
    </row>
    <row r="108" spans="2:27" ht="15" thickTop="1" thickBot="1">
      <c r="B108" s="10"/>
      <c r="D108" s="65"/>
      <c r="E108" s="51" t="s">
        <v>931</v>
      </c>
      <c r="F108" s="7"/>
      <c r="G108" s="8"/>
      <c r="H108" s="7"/>
      <c r="I108" s="6"/>
      <c r="J108" s="7"/>
      <c r="K108" s="8"/>
      <c r="L108" s="7"/>
      <c r="M108" s="8"/>
      <c r="N108" s="7"/>
      <c r="O108" s="8"/>
      <c r="P108" s="7"/>
      <c r="Q108" s="7"/>
      <c r="R108" s="8"/>
      <c r="S108" s="7"/>
      <c r="T108" s="9"/>
      <c r="U108" s="7"/>
      <c r="V108" s="8"/>
      <c r="W108" s="7"/>
      <c r="X108" s="7"/>
      <c r="Y108" s="8"/>
      <c r="Z108" s="7"/>
      <c r="AA108" s="8"/>
    </row>
    <row r="109" spans="2:27" ht="15" thickTop="1" thickBot="1">
      <c r="B109" s="10"/>
      <c r="D109" s="65"/>
      <c r="E109" s="51" t="s">
        <v>309</v>
      </c>
      <c r="F109" s="7"/>
      <c r="G109" s="8"/>
      <c r="H109" s="7"/>
      <c r="I109" s="6"/>
      <c r="J109" s="7"/>
      <c r="K109" s="8"/>
      <c r="L109" s="7"/>
      <c r="M109" s="8"/>
      <c r="N109" s="7"/>
      <c r="O109" s="8"/>
      <c r="P109" s="7"/>
      <c r="Q109" s="7"/>
      <c r="R109" s="8"/>
      <c r="S109" s="7"/>
      <c r="T109" s="9"/>
      <c r="U109" s="7"/>
      <c r="V109" s="8"/>
      <c r="W109" s="7"/>
      <c r="X109" s="7"/>
      <c r="Y109" s="8"/>
      <c r="Z109" s="7"/>
      <c r="AA109" s="8"/>
    </row>
    <row r="110" spans="2:27" ht="15" thickTop="1" thickBot="1">
      <c r="B110" s="10"/>
      <c r="D110" s="65"/>
      <c r="E110" s="51" t="s">
        <v>1087</v>
      </c>
      <c r="F110" s="7"/>
      <c r="G110" s="8"/>
      <c r="H110" s="7"/>
      <c r="I110" s="6"/>
      <c r="J110" s="7"/>
      <c r="K110" s="8"/>
      <c r="L110" s="7"/>
      <c r="M110" s="8"/>
      <c r="N110" s="7"/>
      <c r="O110" s="8"/>
      <c r="P110" s="7"/>
      <c r="Q110" s="7"/>
      <c r="R110" s="8"/>
      <c r="S110" s="7"/>
      <c r="T110" s="9"/>
      <c r="U110" s="7"/>
      <c r="V110" s="8"/>
      <c r="W110" s="7"/>
      <c r="X110" s="7"/>
      <c r="Y110" s="8"/>
      <c r="Z110" s="7"/>
      <c r="AA110" s="8"/>
    </row>
    <row r="111" spans="2:27" ht="15" thickTop="1" thickBot="1">
      <c r="B111" s="10"/>
      <c r="D111" s="65"/>
      <c r="E111" s="51" t="s">
        <v>952</v>
      </c>
      <c r="F111" s="7"/>
      <c r="G111" s="8"/>
      <c r="H111" s="7"/>
      <c r="I111" s="6"/>
      <c r="J111" s="7"/>
      <c r="K111" s="8"/>
      <c r="L111" s="7"/>
      <c r="M111" s="8"/>
      <c r="N111" s="7"/>
      <c r="O111" s="8"/>
      <c r="P111" s="7"/>
      <c r="Q111" s="7"/>
      <c r="R111" s="8"/>
      <c r="S111" s="7"/>
      <c r="T111" s="9"/>
      <c r="U111" s="7"/>
      <c r="V111" s="8"/>
      <c r="W111" s="7"/>
      <c r="X111" s="7"/>
      <c r="Y111" s="8"/>
      <c r="Z111" s="7"/>
      <c r="AA111" s="8"/>
    </row>
    <row r="112" spans="2:27" ht="15" thickTop="1" thickBot="1">
      <c r="B112" s="10"/>
      <c r="D112" s="65"/>
      <c r="E112" s="51" t="s">
        <v>668</v>
      </c>
      <c r="F112" s="7"/>
      <c r="G112" s="8"/>
      <c r="H112" s="7"/>
      <c r="I112" s="6"/>
      <c r="J112" s="7"/>
      <c r="K112" s="8"/>
      <c r="L112" s="7"/>
      <c r="M112" s="8"/>
      <c r="N112" s="7"/>
      <c r="O112" s="8"/>
      <c r="P112" s="7"/>
      <c r="Q112" s="7"/>
      <c r="R112" s="8"/>
      <c r="S112" s="7"/>
      <c r="T112" s="9"/>
      <c r="U112" s="7"/>
      <c r="V112" s="8"/>
      <c r="W112" s="7"/>
      <c r="X112" s="7"/>
      <c r="Y112" s="8"/>
      <c r="Z112" s="7"/>
      <c r="AA112" s="8"/>
    </row>
    <row r="113" spans="2:27" ht="15" thickTop="1" thickBot="1">
      <c r="B113" s="10"/>
      <c r="D113" s="65"/>
      <c r="E113" s="51" t="s">
        <v>565</v>
      </c>
      <c r="F113" s="7"/>
      <c r="G113" s="8"/>
      <c r="H113" s="7"/>
      <c r="I113" s="6"/>
      <c r="J113" s="7"/>
      <c r="K113" s="8"/>
      <c r="L113" s="7"/>
      <c r="M113" s="8"/>
      <c r="N113" s="7"/>
      <c r="O113" s="8"/>
      <c r="P113" s="7"/>
      <c r="Q113" s="7"/>
      <c r="R113" s="8"/>
      <c r="S113" s="7"/>
      <c r="T113" s="9"/>
      <c r="U113" s="7"/>
      <c r="V113" s="8"/>
      <c r="W113" s="7"/>
      <c r="X113" s="7"/>
      <c r="Y113" s="8"/>
      <c r="Z113" s="7"/>
      <c r="AA113" s="8"/>
    </row>
    <row r="114" spans="2:27" ht="15" thickTop="1" thickBot="1">
      <c r="B114" s="10"/>
      <c r="D114" s="65"/>
      <c r="E114" s="51" t="s">
        <v>315</v>
      </c>
      <c r="F114" s="7"/>
      <c r="G114" s="8"/>
      <c r="H114" s="7"/>
      <c r="I114" s="6"/>
      <c r="J114" s="7"/>
      <c r="K114" s="8"/>
      <c r="L114" s="7"/>
      <c r="M114" s="8"/>
      <c r="N114" s="7"/>
      <c r="O114" s="8"/>
      <c r="P114" s="7"/>
      <c r="Q114" s="7"/>
      <c r="R114" s="8"/>
      <c r="S114" s="7"/>
      <c r="T114" s="9"/>
      <c r="U114" s="7"/>
      <c r="V114" s="8"/>
      <c r="W114" s="7"/>
      <c r="X114" s="7"/>
      <c r="Y114" s="8"/>
      <c r="Z114" s="7"/>
      <c r="AA114" s="8"/>
    </row>
    <row r="115" spans="2:27" ht="15" thickTop="1" thickBot="1">
      <c r="B115" s="10"/>
      <c r="D115" s="65"/>
      <c r="E115" s="51" t="s">
        <v>317</v>
      </c>
      <c r="F115" s="7"/>
      <c r="G115" s="8"/>
      <c r="H115" s="7"/>
      <c r="I115" s="6"/>
      <c r="J115" s="7"/>
      <c r="K115" s="8"/>
      <c r="L115" s="7"/>
      <c r="M115" s="8"/>
      <c r="N115" s="7"/>
      <c r="O115" s="8"/>
      <c r="P115" s="7"/>
      <c r="Q115" s="7"/>
      <c r="R115" s="8"/>
      <c r="S115" s="7"/>
      <c r="T115" s="9"/>
      <c r="U115" s="7"/>
      <c r="V115" s="8"/>
      <c r="W115" s="7"/>
      <c r="X115" s="7"/>
      <c r="Y115" s="8"/>
      <c r="Z115" s="7"/>
      <c r="AA115" s="8"/>
    </row>
    <row r="116" spans="2:27" ht="15" thickTop="1" thickBot="1">
      <c r="B116" s="10"/>
      <c r="D116" s="65"/>
      <c r="E116" s="51" t="s">
        <v>558</v>
      </c>
      <c r="F116" s="7"/>
      <c r="G116" s="8"/>
      <c r="H116" s="7"/>
      <c r="I116" s="6"/>
      <c r="J116" s="7"/>
      <c r="K116" s="8"/>
      <c r="L116" s="7"/>
      <c r="M116" s="8"/>
      <c r="N116" s="7"/>
      <c r="O116" s="8"/>
      <c r="P116" s="7"/>
      <c r="Q116" s="7"/>
      <c r="R116" s="8"/>
      <c r="S116" s="7"/>
      <c r="T116" s="9"/>
      <c r="U116" s="7"/>
      <c r="V116" s="8"/>
      <c r="W116" s="7"/>
      <c r="X116" s="7"/>
      <c r="Y116" s="8"/>
      <c r="Z116" s="7"/>
      <c r="AA116" s="8"/>
    </row>
    <row r="117" spans="2:27" ht="15" thickTop="1" thickBot="1">
      <c r="B117" s="10"/>
      <c r="D117" s="65"/>
      <c r="E117" s="51" t="s">
        <v>679</v>
      </c>
      <c r="F117" s="7"/>
      <c r="G117" s="8"/>
      <c r="H117" s="7"/>
      <c r="I117" s="6"/>
      <c r="J117" s="7"/>
      <c r="K117" s="8"/>
      <c r="L117" s="7"/>
      <c r="M117" s="8"/>
      <c r="N117" s="7"/>
      <c r="O117" s="8"/>
      <c r="P117" s="7"/>
      <c r="Q117" s="7"/>
      <c r="R117" s="8"/>
      <c r="S117" s="7"/>
      <c r="T117" s="9"/>
      <c r="U117" s="7"/>
      <c r="V117" s="8"/>
      <c r="W117" s="7"/>
      <c r="X117" s="7"/>
      <c r="Y117" s="8"/>
      <c r="Z117" s="7"/>
      <c r="AA117" s="8"/>
    </row>
    <row r="118" spans="2:27" ht="15" thickTop="1" thickBot="1">
      <c r="B118" s="10"/>
      <c r="D118" s="65"/>
      <c r="E118" s="51" t="s">
        <v>926</v>
      </c>
      <c r="F118" s="7"/>
      <c r="G118" s="8"/>
      <c r="H118" s="7"/>
      <c r="I118" s="6"/>
      <c r="J118" s="7"/>
      <c r="K118" s="8"/>
      <c r="L118" s="7"/>
      <c r="M118" s="8"/>
      <c r="N118" s="7"/>
      <c r="O118" s="8"/>
      <c r="P118" s="7"/>
      <c r="Q118" s="7"/>
      <c r="R118" s="8"/>
      <c r="S118" s="7"/>
      <c r="T118" s="9"/>
      <c r="U118" s="7"/>
      <c r="V118" s="8"/>
      <c r="W118" s="7"/>
      <c r="X118" s="7"/>
      <c r="Y118" s="8"/>
      <c r="Z118" s="7"/>
      <c r="AA118" s="8"/>
    </row>
    <row r="119" spans="2:27" ht="15" thickTop="1" thickBot="1">
      <c r="B119" s="10"/>
      <c r="D119" s="65"/>
      <c r="E119" s="51" t="s">
        <v>629</v>
      </c>
      <c r="F119" s="7"/>
      <c r="G119" s="8"/>
      <c r="H119" s="7"/>
      <c r="I119" s="6"/>
      <c r="J119" s="7"/>
      <c r="K119" s="8"/>
      <c r="L119" s="7"/>
      <c r="M119" s="8"/>
      <c r="N119" s="7"/>
      <c r="O119" s="8"/>
      <c r="P119" s="7"/>
      <c r="Q119" s="7"/>
      <c r="R119" s="8"/>
      <c r="S119" s="7"/>
      <c r="T119" s="9"/>
      <c r="U119" s="7"/>
      <c r="V119" s="8"/>
      <c r="W119" s="7"/>
      <c r="X119" s="7"/>
      <c r="Y119" s="8"/>
      <c r="Z119" s="7"/>
      <c r="AA119" s="8"/>
    </row>
    <row r="120" spans="2:27" ht="15" thickTop="1" thickBot="1">
      <c r="B120" s="10"/>
      <c r="D120" s="65"/>
      <c r="E120" s="51" t="s">
        <v>625</v>
      </c>
      <c r="F120" s="7"/>
      <c r="G120" s="8"/>
      <c r="H120" s="7"/>
      <c r="I120" s="6"/>
      <c r="J120" s="7"/>
      <c r="K120" s="8"/>
      <c r="L120" s="7"/>
      <c r="M120" s="8"/>
      <c r="N120" s="7"/>
      <c r="O120" s="8"/>
      <c r="P120" s="7"/>
      <c r="Q120" s="7"/>
      <c r="R120" s="8"/>
      <c r="S120" s="7"/>
      <c r="T120" s="9"/>
      <c r="U120" s="7"/>
      <c r="V120" s="8"/>
      <c r="W120" s="7"/>
      <c r="X120" s="7"/>
      <c r="Y120" s="8"/>
      <c r="Z120" s="7"/>
      <c r="AA120" s="8"/>
    </row>
    <row r="121" spans="2:27" ht="15" thickTop="1" thickBot="1">
      <c r="B121" s="10"/>
      <c r="D121" s="65"/>
      <c r="E121" s="51" t="s">
        <v>621</v>
      </c>
      <c r="F121" s="7"/>
      <c r="G121" s="8"/>
      <c r="H121" s="7"/>
      <c r="I121" s="6"/>
      <c r="J121" s="7"/>
      <c r="K121" s="8"/>
      <c r="L121" s="7"/>
      <c r="M121" s="8"/>
      <c r="N121" s="7"/>
      <c r="O121" s="8"/>
      <c r="P121" s="7"/>
      <c r="Q121" s="7"/>
      <c r="R121" s="8"/>
      <c r="S121" s="7"/>
      <c r="T121" s="9"/>
      <c r="U121" s="7"/>
      <c r="V121" s="8"/>
      <c r="W121" s="7"/>
      <c r="X121" s="7"/>
      <c r="Y121" s="8"/>
      <c r="Z121" s="7"/>
      <c r="AA121" s="8"/>
    </row>
    <row r="122" spans="2:27" ht="15" thickTop="1" thickBot="1">
      <c r="B122" s="10"/>
      <c r="D122" s="65"/>
      <c r="E122" s="51" t="s">
        <v>603</v>
      </c>
      <c r="F122" s="7"/>
      <c r="G122" s="8"/>
      <c r="H122" s="7"/>
      <c r="I122" s="6"/>
      <c r="J122" s="7"/>
      <c r="K122" s="8"/>
      <c r="L122" s="7"/>
      <c r="M122" s="8"/>
      <c r="N122" s="7"/>
      <c r="O122" s="8"/>
      <c r="P122" s="7"/>
      <c r="Q122" s="7"/>
      <c r="R122" s="8"/>
      <c r="S122" s="7"/>
      <c r="T122" s="9"/>
      <c r="U122" s="7"/>
      <c r="V122" s="8"/>
      <c r="W122" s="7"/>
      <c r="X122" s="7"/>
      <c r="Y122" s="8"/>
      <c r="Z122" s="7"/>
      <c r="AA122" s="8"/>
    </row>
    <row r="123" spans="2:27" ht="15" thickTop="1" thickBot="1">
      <c r="B123" s="10"/>
      <c r="D123" s="65"/>
      <c r="E123" s="51" t="s">
        <v>930</v>
      </c>
      <c r="F123" s="7"/>
      <c r="G123" s="8"/>
      <c r="H123" s="7"/>
      <c r="I123" s="6"/>
      <c r="J123" s="7"/>
      <c r="K123" s="8"/>
      <c r="L123" s="7"/>
      <c r="M123" s="8"/>
      <c r="N123" s="7"/>
      <c r="O123" s="8"/>
      <c r="P123" s="7"/>
      <c r="Q123" s="7"/>
      <c r="R123" s="8"/>
      <c r="S123" s="7"/>
      <c r="T123" s="9"/>
      <c r="U123" s="7"/>
      <c r="V123" s="8"/>
      <c r="W123" s="7"/>
      <c r="X123" s="7"/>
      <c r="Y123" s="8"/>
      <c r="Z123" s="7"/>
      <c r="AA123" s="8"/>
    </row>
    <row r="124" spans="2:27" ht="15" thickTop="1" thickBot="1">
      <c r="B124" s="10"/>
      <c r="D124" s="65"/>
      <c r="E124" s="51" t="s">
        <v>674</v>
      </c>
      <c r="F124" s="7"/>
      <c r="G124" s="8"/>
      <c r="H124" s="7"/>
      <c r="I124" s="6"/>
      <c r="J124" s="7"/>
      <c r="K124" s="8"/>
      <c r="L124" s="7"/>
      <c r="M124" s="8"/>
      <c r="N124" s="7"/>
      <c r="O124" s="8"/>
      <c r="P124" s="7"/>
      <c r="Q124" s="7"/>
      <c r="R124" s="8"/>
      <c r="S124" s="7"/>
      <c r="T124" s="9"/>
      <c r="U124" s="7"/>
      <c r="V124" s="8"/>
      <c r="W124" s="7"/>
      <c r="X124" s="7"/>
      <c r="Y124" s="8"/>
      <c r="Z124" s="7"/>
      <c r="AA124" s="8"/>
    </row>
    <row r="125" spans="2:27" ht="15" thickTop="1" thickBot="1">
      <c r="B125" s="10"/>
      <c r="D125" s="65"/>
      <c r="E125" s="51" t="s">
        <v>680</v>
      </c>
      <c r="F125" s="7"/>
      <c r="G125" s="8"/>
      <c r="H125" s="7"/>
      <c r="I125" s="6"/>
      <c r="J125" s="7"/>
      <c r="K125" s="8"/>
      <c r="L125" s="7"/>
      <c r="M125" s="8"/>
      <c r="N125" s="7"/>
      <c r="O125" s="8"/>
      <c r="P125" s="7"/>
      <c r="Q125" s="7"/>
      <c r="R125" s="8"/>
      <c r="S125" s="7"/>
      <c r="T125" s="9"/>
      <c r="U125" s="7"/>
      <c r="V125" s="8"/>
      <c r="W125" s="7"/>
      <c r="X125" s="7"/>
      <c r="Y125" s="8"/>
      <c r="Z125" s="7"/>
      <c r="AA125" s="8"/>
    </row>
    <row r="126" spans="2:27" ht="15" thickTop="1" thickBot="1">
      <c r="B126" s="10"/>
      <c r="D126" s="65"/>
      <c r="E126" s="51" t="s">
        <v>492</v>
      </c>
      <c r="F126" s="7"/>
      <c r="G126" s="8"/>
      <c r="H126" s="7"/>
      <c r="I126" s="6"/>
      <c r="J126" s="7"/>
      <c r="K126" s="8"/>
      <c r="L126" s="7"/>
      <c r="M126" s="8"/>
      <c r="N126" s="7"/>
      <c r="O126" s="8"/>
      <c r="P126" s="7"/>
      <c r="Q126" s="7"/>
      <c r="R126" s="8"/>
      <c r="S126" s="7"/>
      <c r="T126" s="9"/>
      <c r="U126" s="7"/>
      <c r="V126" s="8"/>
      <c r="W126" s="7"/>
      <c r="X126" s="7"/>
      <c r="Y126" s="8"/>
      <c r="Z126" s="7"/>
      <c r="AA126" s="8"/>
    </row>
    <row r="127" spans="2:27" ht="15" thickTop="1" thickBot="1">
      <c r="B127" s="10"/>
      <c r="D127" s="65"/>
      <c r="E127" s="51" t="s">
        <v>516</v>
      </c>
      <c r="F127" s="7"/>
      <c r="G127" s="8"/>
      <c r="H127" s="7"/>
      <c r="I127" s="6"/>
      <c r="J127" s="7"/>
      <c r="K127" s="8"/>
      <c r="L127" s="7"/>
      <c r="M127" s="8"/>
      <c r="N127" s="7"/>
      <c r="O127" s="8"/>
      <c r="P127" s="7"/>
      <c r="Q127" s="7"/>
      <c r="R127" s="8"/>
      <c r="S127" s="7"/>
      <c r="T127" s="9"/>
      <c r="U127" s="7"/>
      <c r="V127" s="8"/>
      <c r="W127" s="7"/>
      <c r="X127" s="7"/>
      <c r="Y127" s="8"/>
      <c r="Z127" s="7"/>
      <c r="AA127" s="8"/>
    </row>
    <row r="128" spans="2:27" ht="15" thickTop="1" thickBot="1">
      <c r="B128" s="10"/>
      <c r="D128" s="65"/>
      <c r="E128" s="51" t="s">
        <v>676</v>
      </c>
      <c r="F128" s="7"/>
      <c r="G128" s="8"/>
      <c r="H128" s="7"/>
      <c r="I128" s="6"/>
      <c r="J128" s="7"/>
      <c r="K128" s="8"/>
      <c r="L128" s="7"/>
      <c r="M128" s="8"/>
      <c r="N128" s="7"/>
      <c r="O128" s="8"/>
      <c r="P128" s="7"/>
      <c r="Q128" s="7"/>
      <c r="R128" s="8"/>
      <c r="S128" s="7"/>
      <c r="T128" s="9"/>
      <c r="U128" s="7"/>
      <c r="V128" s="8"/>
      <c r="W128" s="7"/>
      <c r="X128" s="7"/>
      <c r="Y128" s="8"/>
      <c r="Z128" s="7"/>
      <c r="AA128" s="8"/>
    </row>
    <row r="129" spans="2:27" ht="15" thickTop="1" thickBot="1">
      <c r="B129" s="10"/>
      <c r="D129" s="65"/>
      <c r="E129" s="51" t="s">
        <v>564</v>
      </c>
      <c r="F129" s="7"/>
      <c r="G129" s="8"/>
      <c r="H129" s="7"/>
      <c r="I129" s="6"/>
      <c r="J129" s="7"/>
      <c r="K129" s="8"/>
      <c r="L129" s="7"/>
      <c r="M129" s="8"/>
      <c r="N129" s="7"/>
      <c r="O129" s="8"/>
      <c r="P129" s="7"/>
      <c r="Q129" s="7"/>
      <c r="R129" s="8"/>
      <c r="S129" s="7"/>
      <c r="T129" s="9"/>
      <c r="U129" s="7"/>
      <c r="V129" s="8"/>
      <c r="W129" s="7"/>
      <c r="X129" s="7"/>
      <c r="Y129" s="8"/>
      <c r="Z129" s="7"/>
      <c r="AA129" s="8"/>
    </row>
    <row r="130" spans="2:27" ht="15" thickTop="1" thickBot="1">
      <c r="B130" s="10"/>
      <c r="D130" s="65"/>
      <c r="E130" s="51" t="s">
        <v>675</v>
      </c>
      <c r="F130" s="7"/>
      <c r="G130" s="8"/>
      <c r="H130" s="7"/>
      <c r="I130" s="6"/>
      <c r="J130" s="7"/>
      <c r="K130" s="8"/>
      <c r="L130" s="7"/>
      <c r="M130" s="8"/>
      <c r="N130" s="7"/>
      <c r="O130" s="8"/>
      <c r="P130" s="7"/>
      <c r="Q130" s="7"/>
      <c r="R130" s="8"/>
      <c r="S130" s="7"/>
      <c r="T130" s="9"/>
      <c r="U130" s="7"/>
      <c r="V130" s="8"/>
      <c r="W130" s="7"/>
      <c r="X130" s="7"/>
      <c r="Y130" s="8"/>
      <c r="Z130" s="7"/>
      <c r="AA130" s="8"/>
    </row>
    <row r="131" spans="2:27" ht="15" thickTop="1" thickBot="1">
      <c r="B131" s="10"/>
      <c r="D131" s="65"/>
      <c r="E131" s="51" t="s">
        <v>323</v>
      </c>
      <c r="F131" s="7"/>
      <c r="G131" s="8"/>
      <c r="H131" s="7"/>
      <c r="I131" s="6"/>
      <c r="J131" s="7"/>
      <c r="K131" s="8"/>
      <c r="L131" s="7"/>
      <c r="M131" s="8"/>
      <c r="N131" s="7"/>
      <c r="O131" s="8"/>
      <c r="P131" s="7"/>
      <c r="Q131" s="7"/>
      <c r="R131" s="8"/>
      <c r="S131" s="7"/>
      <c r="T131" s="9"/>
      <c r="U131" s="7"/>
      <c r="V131" s="8"/>
      <c r="W131" s="7"/>
      <c r="X131" s="7"/>
      <c r="Y131" s="8"/>
      <c r="Z131" s="7"/>
      <c r="AA131" s="8"/>
    </row>
    <row r="132" spans="2:27" ht="15" thickTop="1" thickBot="1">
      <c r="B132" s="10"/>
      <c r="D132" s="65"/>
      <c r="E132" s="51" t="s">
        <v>597</v>
      </c>
      <c r="F132" s="7"/>
      <c r="G132" s="8"/>
      <c r="H132" s="7"/>
      <c r="I132" s="6"/>
      <c r="J132" s="7"/>
      <c r="K132" s="8"/>
      <c r="L132" s="7"/>
      <c r="M132" s="8"/>
      <c r="N132" s="7"/>
      <c r="O132" s="8"/>
      <c r="P132" s="7"/>
      <c r="Q132" s="7"/>
      <c r="R132" s="8"/>
      <c r="S132" s="7"/>
      <c r="T132" s="9"/>
      <c r="U132" s="7"/>
      <c r="V132" s="8"/>
      <c r="W132" s="7"/>
      <c r="X132" s="7"/>
      <c r="Y132" s="8"/>
      <c r="Z132" s="7"/>
      <c r="AA132" s="8"/>
    </row>
    <row r="133" spans="2:27" ht="15" thickTop="1" thickBot="1">
      <c r="B133" s="10"/>
      <c r="D133" s="65"/>
      <c r="E133" s="51" t="s">
        <v>934</v>
      </c>
      <c r="F133" s="7"/>
      <c r="G133" s="8"/>
      <c r="H133" s="7"/>
      <c r="I133" s="6"/>
      <c r="J133" s="7"/>
      <c r="K133" s="8"/>
      <c r="L133" s="7"/>
      <c r="M133" s="8"/>
      <c r="N133" s="7"/>
      <c r="O133" s="8"/>
      <c r="P133" s="7"/>
      <c r="Q133" s="7"/>
      <c r="R133" s="8"/>
      <c r="S133" s="7"/>
      <c r="T133" s="9"/>
      <c r="U133" s="7"/>
      <c r="V133" s="8"/>
      <c r="W133" s="7"/>
      <c r="X133" s="7"/>
      <c r="Y133" s="8"/>
      <c r="Z133" s="7"/>
      <c r="AA133" s="8"/>
    </row>
    <row r="134" spans="2:27" ht="15" thickTop="1" thickBot="1">
      <c r="B134" s="10"/>
      <c r="D134" s="65"/>
      <c r="E134" s="51" t="s">
        <v>1113</v>
      </c>
      <c r="F134" s="7"/>
      <c r="G134" s="8"/>
      <c r="H134" s="7"/>
      <c r="I134" s="6"/>
      <c r="J134" s="7"/>
      <c r="K134" s="8"/>
      <c r="L134" s="7"/>
      <c r="M134" s="8"/>
      <c r="N134" s="7"/>
      <c r="O134" s="8"/>
      <c r="P134" s="7"/>
      <c r="Q134" s="7"/>
      <c r="R134" s="8"/>
      <c r="S134" s="7"/>
      <c r="T134" s="9"/>
      <c r="U134" s="7"/>
      <c r="V134" s="8"/>
      <c r="W134" s="7"/>
      <c r="X134" s="7"/>
      <c r="Y134" s="8"/>
      <c r="Z134" s="7"/>
      <c r="AA134" s="8"/>
    </row>
    <row r="135" spans="2:27" ht="15" thickTop="1" thickBot="1">
      <c r="B135" s="10"/>
      <c r="D135" s="65"/>
      <c r="E135" s="51" t="s">
        <v>1115</v>
      </c>
      <c r="F135" s="7"/>
      <c r="G135" s="8"/>
      <c r="H135" s="7"/>
      <c r="I135" s="6"/>
      <c r="J135" s="7"/>
      <c r="K135" s="8"/>
      <c r="L135" s="7"/>
      <c r="M135" s="8"/>
      <c r="N135" s="7"/>
      <c r="O135" s="8"/>
      <c r="P135" s="7"/>
      <c r="Q135" s="7"/>
      <c r="R135" s="8"/>
      <c r="S135" s="7"/>
      <c r="T135" s="9"/>
      <c r="U135" s="7"/>
      <c r="V135" s="8"/>
      <c r="W135" s="7"/>
      <c r="X135" s="7"/>
      <c r="Y135" s="8"/>
      <c r="Z135" s="7"/>
      <c r="AA135" s="8"/>
    </row>
    <row r="136" spans="2:27" ht="15" thickTop="1" thickBot="1">
      <c r="B136" s="10"/>
      <c r="D136" s="65"/>
      <c r="E136" s="51" t="s">
        <v>1114</v>
      </c>
      <c r="F136" s="7"/>
      <c r="G136" s="8"/>
      <c r="H136" s="7"/>
      <c r="I136" s="6"/>
      <c r="J136" s="7"/>
      <c r="K136" s="8"/>
      <c r="L136" s="7"/>
      <c r="M136" s="8"/>
      <c r="N136" s="7"/>
      <c r="O136" s="8"/>
      <c r="P136" s="7"/>
      <c r="Q136" s="7"/>
      <c r="R136" s="8"/>
      <c r="S136" s="7"/>
      <c r="T136" s="9"/>
      <c r="U136" s="7"/>
      <c r="V136" s="8"/>
      <c r="W136" s="7"/>
      <c r="X136" s="7"/>
      <c r="Y136" s="8"/>
      <c r="Z136" s="7"/>
      <c r="AA136" s="8"/>
    </row>
    <row r="137" spans="2:27" ht="15" thickTop="1" thickBot="1">
      <c r="B137" s="10"/>
      <c r="D137" s="65"/>
      <c r="E137" s="51" t="s">
        <v>1280</v>
      </c>
      <c r="F137" s="7"/>
      <c r="G137" s="8"/>
      <c r="H137" s="7"/>
      <c r="I137" s="6"/>
      <c r="J137" s="7"/>
      <c r="K137" s="8"/>
      <c r="L137" s="7"/>
      <c r="M137" s="8"/>
      <c r="N137" s="7"/>
      <c r="O137" s="8"/>
      <c r="P137" s="7"/>
      <c r="Q137" s="7"/>
      <c r="R137" s="8"/>
      <c r="S137" s="7"/>
      <c r="T137" s="9"/>
      <c r="U137" s="7"/>
      <c r="V137" s="8"/>
      <c r="W137" s="7"/>
      <c r="X137" s="7"/>
      <c r="Y137" s="8"/>
      <c r="Z137" s="7"/>
      <c r="AA137" s="8"/>
    </row>
    <row r="138" spans="2:27" ht="15" thickTop="1" thickBot="1">
      <c r="B138" s="10"/>
      <c r="D138" s="65"/>
      <c r="E138" s="51" t="s">
        <v>331</v>
      </c>
      <c r="F138" s="7"/>
      <c r="G138" s="8"/>
      <c r="H138" s="7"/>
      <c r="I138" s="6"/>
      <c r="J138" s="7"/>
      <c r="K138" s="8"/>
      <c r="L138" s="7"/>
      <c r="M138" s="8"/>
      <c r="N138" s="7"/>
      <c r="O138" s="8"/>
      <c r="P138" s="7"/>
      <c r="Q138" s="7"/>
      <c r="R138" s="8"/>
      <c r="S138" s="7"/>
      <c r="T138" s="9"/>
      <c r="U138" s="7"/>
      <c r="V138" s="8"/>
      <c r="W138" s="7"/>
      <c r="X138" s="7"/>
      <c r="Y138" s="8"/>
      <c r="Z138" s="7"/>
      <c r="AA138" s="8"/>
    </row>
    <row r="139" spans="2:27" ht="15" thickTop="1" thickBot="1">
      <c r="B139" s="10"/>
      <c r="D139" s="65"/>
      <c r="E139" s="51" t="s">
        <v>332</v>
      </c>
      <c r="F139" s="7"/>
      <c r="G139" s="8"/>
      <c r="H139" s="7"/>
      <c r="I139" s="6"/>
      <c r="J139" s="7"/>
      <c r="K139" s="8"/>
      <c r="L139" s="7"/>
      <c r="M139" s="8"/>
      <c r="N139" s="7"/>
      <c r="O139" s="8"/>
      <c r="P139" s="7"/>
      <c r="Q139" s="7"/>
      <c r="R139" s="8"/>
      <c r="S139" s="7"/>
      <c r="T139" s="9"/>
      <c r="U139" s="7"/>
      <c r="V139" s="8"/>
      <c r="W139" s="7"/>
      <c r="X139" s="7"/>
      <c r="Y139" s="8"/>
      <c r="Z139" s="7"/>
      <c r="AA139" s="8"/>
    </row>
    <row r="140" spans="2:27" ht="15" thickTop="1" thickBot="1">
      <c r="B140" s="10"/>
      <c r="D140" s="65"/>
      <c r="E140" s="51" t="s">
        <v>517</v>
      </c>
      <c r="F140" s="7"/>
      <c r="G140" s="8"/>
      <c r="H140" s="7"/>
      <c r="I140" s="6"/>
      <c r="J140" s="7"/>
      <c r="K140" s="8"/>
      <c r="L140" s="7"/>
      <c r="M140" s="8"/>
      <c r="N140" s="7"/>
      <c r="O140" s="8"/>
      <c r="P140" s="7"/>
      <c r="Q140" s="7"/>
      <c r="R140" s="8"/>
      <c r="S140" s="7"/>
      <c r="T140" s="9"/>
      <c r="U140" s="7"/>
      <c r="V140" s="8"/>
      <c r="W140" s="7"/>
      <c r="X140" s="7"/>
      <c r="Y140" s="8"/>
      <c r="Z140" s="7"/>
      <c r="AA140" s="8"/>
    </row>
    <row r="141" spans="2:27" ht="15" thickTop="1" thickBot="1">
      <c r="B141" s="10"/>
      <c r="D141" s="65"/>
      <c r="E141" s="51" t="s">
        <v>594</v>
      </c>
      <c r="F141" s="7"/>
      <c r="G141" s="8"/>
      <c r="H141" s="7"/>
      <c r="I141" s="6"/>
      <c r="J141" s="7"/>
      <c r="K141" s="8"/>
      <c r="L141" s="7"/>
      <c r="M141" s="8"/>
      <c r="N141" s="7"/>
      <c r="O141" s="8"/>
      <c r="P141" s="7"/>
      <c r="Q141" s="7"/>
      <c r="R141" s="8"/>
      <c r="S141" s="7"/>
      <c r="T141" s="9"/>
      <c r="U141" s="7"/>
      <c r="V141" s="8"/>
      <c r="W141" s="7"/>
      <c r="X141" s="7"/>
      <c r="Y141" s="8"/>
      <c r="Z141" s="7"/>
      <c r="AA141" s="8"/>
    </row>
    <row r="142" spans="2:27" ht="15" thickTop="1" thickBot="1">
      <c r="B142" s="10"/>
      <c r="D142" s="65"/>
      <c r="E142" s="51" t="s">
        <v>335</v>
      </c>
      <c r="F142" s="7"/>
      <c r="G142" s="8"/>
      <c r="H142" s="7"/>
      <c r="I142" s="6"/>
      <c r="J142" s="7"/>
      <c r="K142" s="8"/>
      <c r="L142" s="7"/>
      <c r="M142" s="8"/>
      <c r="N142" s="7"/>
      <c r="O142" s="8"/>
      <c r="P142" s="7"/>
      <c r="Q142" s="7"/>
      <c r="R142" s="8"/>
      <c r="S142" s="7"/>
      <c r="T142" s="9"/>
      <c r="U142" s="7"/>
      <c r="V142" s="8"/>
      <c r="W142" s="7"/>
      <c r="X142" s="7"/>
      <c r="Y142" s="8"/>
      <c r="Z142" s="7"/>
      <c r="AA142" s="8"/>
    </row>
    <row r="143" spans="2:27" ht="15" thickTop="1" thickBot="1">
      <c r="B143" s="10"/>
      <c r="D143" s="65"/>
      <c r="E143" s="51" t="s">
        <v>599</v>
      </c>
      <c r="F143" s="7"/>
      <c r="G143" s="8"/>
      <c r="H143" s="7"/>
      <c r="I143" s="6"/>
      <c r="J143" s="7"/>
      <c r="K143" s="8"/>
      <c r="L143" s="7"/>
      <c r="M143" s="8"/>
      <c r="N143" s="7"/>
      <c r="O143" s="8"/>
      <c r="P143" s="7"/>
      <c r="Q143" s="7"/>
      <c r="R143" s="8"/>
      <c r="S143" s="7"/>
      <c r="T143" s="9"/>
      <c r="U143" s="7"/>
      <c r="V143" s="8"/>
      <c r="W143" s="7"/>
      <c r="X143" s="7"/>
      <c r="Y143" s="8"/>
      <c r="Z143" s="7"/>
      <c r="AA143" s="8"/>
    </row>
    <row r="144" spans="2:27" ht="15" thickTop="1" thickBot="1">
      <c r="B144" s="10"/>
      <c r="D144" s="65"/>
      <c r="E144" s="51" t="s">
        <v>294</v>
      </c>
      <c r="F144" s="7"/>
      <c r="G144" s="8"/>
      <c r="H144" s="7"/>
      <c r="I144" s="6"/>
      <c r="J144" s="7"/>
      <c r="K144" s="8"/>
      <c r="L144" s="7"/>
      <c r="M144" s="8"/>
      <c r="N144" s="7"/>
      <c r="O144" s="8"/>
      <c r="P144" s="7"/>
      <c r="Q144" s="7"/>
      <c r="R144" s="8"/>
      <c r="S144" s="7"/>
      <c r="T144" s="9"/>
      <c r="U144" s="7"/>
      <c r="V144" s="8"/>
      <c r="W144" s="7"/>
      <c r="X144" s="7"/>
      <c r="Y144" s="8"/>
      <c r="Z144" s="7"/>
      <c r="AA144" s="8"/>
    </row>
    <row r="145" spans="2:27" ht="15" thickTop="1" thickBot="1">
      <c r="B145" s="10"/>
      <c r="D145" s="65"/>
      <c r="E145" s="51" t="s">
        <v>340</v>
      </c>
      <c r="F145" s="7"/>
      <c r="G145" s="8"/>
      <c r="H145" s="7"/>
      <c r="I145" s="6"/>
      <c r="J145" s="7"/>
      <c r="K145" s="8"/>
      <c r="L145" s="7"/>
      <c r="M145" s="8"/>
      <c r="N145" s="7"/>
      <c r="O145" s="8"/>
      <c r="P145" s="7"/>
      <c r="Q145" s="7"/>
      <c r="R145" s="8"/>
      <c r="S145" s="7"/>
      <c r="T145" s="9"/>
      <c r="U145" s="7"/>
      <c r="V145" s="8"/>
      <c r="W145" s="7"/>
      <c r="X145" s="7"/>
      <c r="Y145" s="8"/>
      <c r="Z145" s="7"/>
      <c r="AA145" s="8"/>
    </row>
    <row r="146" spans="2:27" ht="15" thickTop="1" thickBot="1">
      <c r="B146" s="10"/>
      <c r="D146" s="65"/>
      <c r="E146" s="51" t="s">
        <v>342</v>
      </c>
      <c r="F146" s="7"/>
      <c r="G146" s="8"/>
      <c r="H146" s="7"/>
      <c r="I146" s="6"/>
      <c r="J146" s="7"/>
      <c r="K146" s="8"/>
      <c r="L146" s="7"/>
      <c r="M146" s="8"/>
      <c r="N146" s="7"/>
      <c r="O146" s="8"/>
      <c r="P146" s="7"/>
      <c r="Q146" s="7"/>
      <c r="R146" s="8"/>
      <c r="S146" s="7"/>
      <c r="T146" s="9"/>
      <c r="U146" s="7"/>
      <c r="V146" s="8"/>
      <c r="W146" s="7"/>
      <c r="X146" s="7"/>
      <c r="Y146" s="8"/>
      <c r="Z146" s="7"/>
      <c r="AA146" s="8"/>
    </row>
    <row r="147" spans="2:27" ht="15" thickTop="1" thickBot="1">
      <c r="B147" s="10"/>
      <c r="D147" s="65"/>
      <c r="E147" s="51" t="s">
        <v>671</v>
      </c>
      <c r="F147" s="7"/>
      <c r="G147" s="8"/>
      <c r="H147" s="7"/>
      <c r="I147" s="6"/>
      <c r="J147" s="7"/>
      <c r="K147" s="8"/>
      <c r="L147" s="7"/>
      <c r="M147" s="8"/>
      <c r="N147" s="7"/>
      <c r="O147" s="8"/>
      <c r="P147" s="7"/>
      <c r="Q147" s="7"/>
      <c r="R147" s="8"/>
      <c r="S147" s="7"/>
      <c r="T147" s="9"/>
      <c r="U147" s="7"/>
      <c r="V147" s="8"/>
      <c r="W147" s="7"/>
      <c r="X147" s="7"/>
      <c r="Y147" s="8"/>
      <c r="Z147" s="7"/>
      <c r="AA147" s="8"/>
    </row>
    <row r="148" spans="2:27" ht="15" thickTop="1" thickBot="1">
      <c r="B148" s="10"/>
      <c r="D148" s="65"/>
      <c r="E148" s="51" t="s">
        <v>562</v>
      </c>
      <c r="F148" s="7"/>
      <c r="G148" s="8"/>
      <c r="H148" s="7"/>
      <c r="I148" s="6"/>
      <c r="J148" s="7"/>
      <c r="K148" s="8"/>
      <c r="L148" s="7"/>
      <c r="M148" s="8"/>
      <c r="N148" s="7"/>
      <c r="O148" s="8"/>
      <c r="P148" s="7"/>
      <c r="Q148" s="7"/>
      <c r="R148" s="8"/>
      <c r="S148" s="7"/>
      <c r="T148" s="9"/>
      <c r="U148" s="7"/>
      <c r="V148" s="8"/>
      <c r="W148" s="7"/>
      <c r="X148" s="7"/>
      <c r="Y148" s="8"/>
      <c r="Z148" s="7"/>
      <c r="AA148" s="8"/>
    </row>
    <row r="149" spans="2:27" ht="15" thickTop="1" thickBot="1">
      <c r="B149" s="10"/>
      <c r="D149" s="65"/>
      <c r="E149" s="51" t="s">
        <v>344</v>
      </c>
      <c r="F149" s="7"/>
      <c r="G149" s="8"/>
      <c r="H149" s="7"/>
      <c r="I149" s="6"/>
      <c r="J149" s="7"/>
      <c r="K149" s="8"/>
      <c r="L149" s="7"/>
      <c r="M149" s="8"/>
      <c r="N149" s="7"/>
      <c r="O149" s="8"/>
      <c r="P149" s="7"/>
      <c r="Q149" s="7"/>
      <c r="R149" s="8"/>
      <c r="S149" s="7"/>
      <c r="T149" s="9"/>
      <c r="U149" s="7"/>
      <c r="V149" s="8"/>
      <c r="W149" s="7"/>
      <c r="X149" s="7"/>
      <c r="Y149" s="8"/>
      <c r="Z149" s="7"/>
      <c r="AA149" s="8"/>
    </row>
    <row r="150" spans="2:27" ht="15" thickTop="1" thickBot="1">
      <c r="B150" s="10"/>
      <c r="D150" s="65"/>
      <c r="E150" s="51" t="s">
        <v>590</v>
      </c>
      <c r="F150" s="7"/>
      <c r="G150" s="8"/>
      <c r="H150" s="7"/>
      <c r="I150" s="6"/>
      <c r="J150" s="7"/>
      <c r="K150" s="8"/>
      <c r="L150" s="7"/>
      <c r="M150" s="8"/>
      <c r="N150" s="7"/>
      <c r="O150" s="8"/>
      <c r="P150" s="7"/>
      <c r="Q150" s="7"/>
      <c r="R150" s="8"/>
      <c r="S150" s="7"/>
      <c r="T150" s="9"/>
      <c r="U150" s="7"/>
      <c r="V150" s="8"/>
      <c r="W150" s="7"/>
      <c r="X150" s="7"/>
      <c r="Y150" s="8"/>
      <c r="Z150" s="7"/>
      <c r="AA150" s="8"/>
    </row>
    <row r="151" spans="2:27" ht="15" thickTop="1" thickBot="1">
      <c r="B151" s="10"/>
      <c r="D151" s="65"/>
      <c r="E151" s="51" t="s">
        <v>937</v>
      </c>
      <c r="F151" s="7"/>
      <c r="G151" s="8"/>
      <c r="H151" s="7"/>
      <c r="I151" s="6"/>
      <c r="J151" s="7"/>
      <c r="K151" s="8"/>
      <c r="L151" s="7"/>
      <c r="M151" s="8"/>
      <c r="N151" s="7"/>
      <c r="O151" s="8"/>
      <c r="P151" s="7"/>
      <c r="Q151" s="7"/>
      <c r="R151" s="8"/>
      <c r="S151" s="7"/>
      <c r="T151" s="9"/>
      <c r="U151" s="7"/>
      <c r="V151" s="8"/>
      <c r="W151" s="7"/>
      <c r="X151" s="7"/>
      <c r="Y151" s="8"/>
      <c r="Z151" s="7"/>
      <c r="AA151" s="8"/>
    </row>
    <row r="152" spans="2:27" ht="15" thickTop="1" thickBot="1">
      <c r="B152" s="10"/>
      <c r="D152" s="65"/>
      <c r="E152" s="51" t="s">
        <v>953</v>
      </c>
      <c r="F152" s="7"/>
      <c r="G152" s="8"/>
      <c r="H152" s="7"/>
      <c r="I152" s="6"/>
      <c r="J152" s="7"/>
      <c r="K152" s="8"/>
      <c r="L152" s="7"/>
      <c r="M152" s="8"/>
      <c r="N152" s="7"/>
      <c r="O152" s="8"/>
      <c r="P152" s="7"/>
      <c r="Q152" s="7"/>
      <c r="R152" s="8"/>
      <c r="S152" s="7"/>
      <c r="T152" s="9"/>
      <c r="U152" s="7"/>
      <c r="V152" s="8"/>
      <c r="W152" s="7"/>
      <c r="X152" s="7"/>
      <c r="Y152" s="8"/>
      <c r="Z152" s="7"/>
      <c r="AA152" s="8"/>
    </row>
    <row r="153" spans="2:27" ht="15" thickTop="1" thickBot="1">
      <c r="B153" s="10"/>
      <c r="D153" s="65"/>
      <c r="E153" s="51" t="s">
        <v>954</v>
      </c>
      <c r="F153" s="7"/>
      <c r="G153" s="8"/>
      <c r="H153" s="7"/>
      <c r="I153" s="6"/>
      <c r="J153" s="7"/>
      <c r="K153" s="8"/>
      <c r="L153" s="7"/>
      <c r="M153" s="8"/>
      <c r="N153" s="7"/>
      <c r="O153" s="8"/>
      <c r="P153" s="7"/>
      <c r="Q153" s="7"/>
      <c r="R153" s="8"/>
      <c r="S153" s="7"/>
      <c r="T153" s="9"/>
      <c r="U153" s="7"/>
      <c r="V153" s="8"/>
      <c r="W153" s="7"/>
      <c r="X153" s="7"/>
      <c r="Y153" s="8"/>
      <c r="Z153" s="7"/>
      <c r="AA153" s="8"/>
    </row>
    <row r="154" spans="2:27" ht="15" thickTop="1" thickBot="1">
      <c r="B154" s="10"/>
      <c r="D154" s="65"/>
      <c r="E154" s="51" t="s">
        <v>955</v>
      </c>
      <c r="F154" s="7"/>
      <c r="G154" s="8"/>
      <c r="H154" s="7"/>
      <c r="I154" s="6"/>
      <c r="J154" s="7"/>
      <c r="K154" s="8"/>
      <c r="L154" s="7"/>
      <c r="M154" s="8"/>
      <c r="N154" s="7"/>
      <c r="O154" s="8"/>
      <c r="P154" s="7"/>
      <c r="Q154" s="7"/>
      <c r="R154" s="8"/>
      <c r="S154" s="7"/>
      <c r="T154" s="9"/>
      <c r="U154" s="7"/>
      <c r="V154" s="8"/>
      <c r="W154" s="7"/>
      <c r="X154" s="7"/>
      <c r="Y154" s="8"/>
      <c r="Z154" s="7"/>
      <c r="AA154" s="8"/>
    </row>
    <row r="155" spans="2:27" ht="15" thickTop="1" thickBot="1">
      <c r="B155" s="10"/>
      <c r="D155" s="65"/>
      <c r="E155" s="51" t="s">
        <v>345</v>
      </c>
      <c r="F155" s="7"/>
      <c r="G155" s="8"/>
      <c r="H155" s="7"/>
      <c r="I155" s="6"/>
      <c r="J155" s="7"/>
      <c r="K155" s="8"/>
      <c r="L155" s="7"/>
      <c r="M155" s="8"/>
      <c r="N155" s="7"/>
      <c r="O155" s="8"/>
      <c r="P155" s="7"/>
      <c r="Q155" s="7"/>
      <c r="R155" s="8"/>
      <c r="S155" s="7"/>
      <c r="T155" s="9"/>
      <c r="U155" s="7"/>
      <c r="V155" s="8"/>
      <c r="W155" s="7"/>
      <c r="X155" s="7"/>
      <c r="Y155" s="8"/>
      <c r="Z155" s="7"/>
      <c r="AA155" s="8"/>
    </row>
    <row r="156" spans="2:27" ht="15" thickTop="1" thickBot="1">
      <c r="B156" s="10"/>
      <c r="D156" s="65"/>
      <c r="E156" s="51" t="s">
        <v>347</v>
      </c>
      <c r="F156" s="7"/>
      <c r="G156" s="8"/>
      <c r="H156" s="7"/>
      <c r="I156" s="6"/>
      <c r="J156" s="7"/>
      <c r="K156" s="8"/>
      <c r="L156" s="7"/>
      <c r="M156" s="8"/>
      <c r="N156" s="7"/>
      <c r="O156" s="8"/>
      <c r="P156" s="7"/>
      <c r="Q156" s="7"/>
      <c r="R156" s="8"/>
      <c r="S156" s="7"/>
      <c r="T156" s="9"/>
      <c r="U156" s="7"/>
      <c r="V156" s="8"/>
      <c r="W156" s="7"/>
      <c r="X156" s="7"/>
      <c r="Y156" s="8"/>
      <c r="Z156" s="7"/>
      <c r="AA156" s="8"/>
    </row>
    <row r="157" spans="2:27" ht="15" thickTop="1" thickBot="1">
      <c r="B157" s="10"/>
      <c r="D157" s="65"/>
      <c r="E157" s="51" t="s">
        <v>351</v>
      </c>
      <c r="F157" s="7"/>
      <c r="G157" s="8"/>
      <c r="H157" s="7"/>
      <c r="I157" s="6"/>
      <c r="J157" s="7"/>
      <c r="K157" s="8"/>
      <c r="L157" s="7"/>
      <c r="M157" s="8"/>
      <c r="N157" s="7"/>
      <c r="O157" s="8"/>
      <c r="P157" s="7"/>
      <c r="Q157" s="7"/>
      <c r="R157" s="8"/>
      <c r="S157" s="7"/>
      <c r="T157" s="9"/>
      <c r="U157" s="7"/>
      <c r="V157" s="8"/>
      <c r="W157" s="7"/>
      <c r="X157" s="7"/>
      <c r="Y157" s="8"/>
      <c r="Z157" s="7"/>
      <c r="AA157" s="8"/>
    </row>
    <row r="158" spans="2:27" ht="15" thickTop="1" thickBot="1">
      <c r="B158" s="10"/>
      <c r="D158" s="65"/>
      <c r="E158" s="51" t="s">
        <v>1146</v>
      </c>
      <c r="F158" s="7"/>
      <c r="G158" s="8"/>
      <c r="H158" s="7"/>
      <c r="I158" s="6"/>
      <c r="J158" s="7"/>
      <c r="K158" s="8"/>
      <c r="L158" s="7"/>
      <c r="M158" s="8"/>
      <c r="N158" s="7"/>
      <c r="O158" s="8"/>
      <c r="P158" s="7"/>
      <c r="Q158" s="7"/>
      <c r="R158" s="8"/>
      <c r="S158" s="7"/>
      <c r="T158" s="9"/>
      <c r="U158" s="7"/>
      <c r="V158" s="8"/>
      <c r="W158" s="7"/>
      <c r="X158" s="7"/>
      <c r="Y158" s="8"/>
      <c r="Z158" s="7"/>
      <c r="AA158" s="8"/>
    </row>
    <row r="159" spans="2:27" ht="15" thickTop="1" thickBot="1">
      <c r="B159" s="10"/>
      <c r="D159" s="65"/>
      <c r="E159" s="51" t="s">
        <v>682</v>
      </c>
      <c r="F159" s="7"/>
      <c r="G159" s="8"/>
      <c r="H159" s="7"/>
      <c r="I159" s="6"/>
      <c r="J159" s="7"/>
      <c r="K159" s="8"/>
      <c r="L159" s="7"/>
      <c r="M159" s="8"/>
      <c r="N159" s="7"/>
      <c r="O159" s="8"/>
      <c r="P159" s="7"/>
      <c r="Q159" s="7"/>
      <c r="R159" s="8"/>
      <c r="S159" s="7"/>
      <c r="T159" s="9"/>
      <c r="U159" s="7"/>
      <c r="V159" s="8"/>
      <c r="W159" s="7"/>
      <c r="X159" s="7"/>
      <c r="Y159" s="8"/>
      <c r="Z159" s="7"/>
      <c r="AA159" s="8"/>
    </row>
    <row r="160" spans="2:27" ht="15" thickTop="1" thickBot="1">
      <c r="B160" s="10"/>
      <c r="D160" s="65"/>
      <c r="E160" s="51" t="s">
        <v>933</v>
      </c>
      <c r="F160" s="7"/>
      <c r="G160" s="8"/>
      <c r="H160" s="7"/>
      <c r="I160" s="6"/>
      <c r="J160" s="7"/>
      <c r="K160" s="8"/>
      <c r="L160" s="7"/>
      <c r="M160" s="8"/>
      <c r="N160" s="7"/>
      <c r="O160" s="8"/>
      <c r="P160" s="7"/>
      <c r="Q160" s="7"/>
      <c r="R160" s="8"/>
      <c r="S160" s="7"/>
      <c r="T160" s="9"/>
      <c r="U160" s="7"/>
      <c r="V160" s="8"/>
      <c r="W160" s="7"/>
      <c r="X160" s="7"/>
      <c r="Y160" s="8"/>
      <c r="Z160" s="7"/>
      <c r="AA160" s="8"/>
    </row>
    <row r="161" spans="2:27" ht="15" thickTop="1" thickBot="1">
      <c r="B161" s="10"/>
      <c r="D161" s="65"/>
      <c r="E161" s="51" t="s">
        <v>938</v>
      </c>
      <c r="F161" s="7"/>
      <c r="G161" s="8"/>
      <c r="H161" s="7"/>
      <c r="I161" s="6"/>
      <c r="J161" s="7"/>
      <c r="K161" s="8"/>
      <c r="L161" s="7"/>
      <c r="M161" s="8"/>
      <c r="N161" s="7"/>
      <c r="O161" s="8"/>
      <c r="P161" s="7"/>
      <c r="Q161" s="7"/>
      <c r="R161" s="8"/>
      <c r="S161" s="7"/>
      <c r="T161" s="9"/>
      <c r="U161" s="7"/>
      <c r="V161" s="8"/>
      <c r="W161" s="7"/>
      <c r="X161" s="7"/>
      <c r="Y161" s="8"/>
      <c r="Z161" s="7"/>
      <c r="AA161" s="8"/>
    </row>
    <row r="162" spans="2:27" ht="15" thickTop="1" thickBot="1">
      <c r="D162" s="65"/>
      <c r="E162" s="51" t="s">
        <v>352</v>
      </c>
      <c r="F162" s="7"/>
      <c r="G162" s="8"/>
      <c r="H162" s="7"/>
      <c r="I162" s="6"/>
      <c r="J162" s="7"/>
      <c r="K162" s="8"/>
      <c r="L162" s="7"/>
      <c r="M162" s="8"/>
      <c r="N162" s="7"/>
      <c r="O162" s="8"/>
      <c r="P162" s="7"/>
      <c r="Q162" s="7"/>
      <c r="R162" s="8"/>
      <c r="S162" s="7"/>
      <c r="T162" s="9"/>
      <c r="U162" s="7"/>
      <c r="V162" s="8"/>
      <c r="W162" s="7"/>
      <c r="X162" s="7"/>
      <c r="Y162" s="8"/>
      <c r="Z162" s="7"/>
      <c r="AA162" s="8"/>
    </row>
    <row r="163" spans="2:27" ht="15" thickTop="1" thickBot="1">
      <c r="D163" s="65"/>
      <c r="E163" s="51" t="s">
        <v>353</v>
      </c>
      <c r="F163" s="7"/>
      <c r="G163" s="8"/>
      <c r="H163" s="7"/>
      <c r="I163" s="6"/>
      <c r="J163" s="7"/>
      <c r="K163" s="8"/>
      <c r="L163" s="7"/>
      <c r="M163" s="8"/>
      <c r="N163" s="7"/>
      <c r="O163" s="8"/>
      <c r="P163" s="7"/>
      <c r="Q163" s="7"/>
      <c r="R163" s="8"/>
      <c r="S163" s="7"/>
      <c r="T163" s="9"/>
      <c r="U163" s="7"/>
      <c r="V163" s="8"/>
      <c r="W163" s="7"/>
      <c r="X163" s="7"/>
      <c r="Y163" s="8"/>
      <c r="Z163" s="7"/>
      <c r="AA163" s="8"/>
    </row>
    <row r="164" spans="2:27" ht="15" thickTop="1" thickBot="1">
      <c r="D164" s="65"/>
      <c r="E164" s="51" t="s">
        <v>563</v>
      </c>
      <c r="F164" s="7"/>
      <c r="G164" s="8"/>
      <c r="H164" s="7"/>
      <c r="I164" s="6"/>
      <c r="J164" s="7"/>
      <c r="K164" s="8"/>
      <c r="L164" s="7"/>
      <c r="M164" s="8"/>
      <c r="N164" s="7"/>
      <c r="O164" s="8"/>
      <c r="P164" s="7"/>
      <c r="Q164" s="7"/>
      <c r="R164" s="8"/>
      <c r="S164" s="7"/>
      <c r="T164" s="9"/>
      <c r="U164" s="7"/>
      <c r="V164" s="8"/>
      <c r="W164" s="7"/>
      <c r="X164" s="7"/>
      <c r="Y164" s="8"/>
      <c r="Z164" s="7"/>
      <c r="AA164" s="8"/>
    </row>
    <row r="165" spans="2:27" ht="15" thickTop="1" thickBot="1">
      <c r="D165" s="65"/>
      <c r="E165" s="51" t="s">
        <v>921</v>
      </c>
      <c r="F165" s="7"/>
      <c r="G165" s="8"/>
      <c r="H165" s="7"/>
      <c r="I165" s="6"/>
      <c r="J165" s="7"/>
      <c r="K165" s="8"/>
      <c r="L165" s="7"/>
      <c r="M165" s="8"/>
      <c r="N165" s="7"/>
      <c r="O165" s="8"/>
      <c r="P165" s="7"/>
      <c r="Q165" s="7"/>
      <c r="R165" s="8"/>
      <c r="S165" s="7"/>
      <c r="T165" s="9"/>
      <c r="U165" s="7"/>
      <c r="V165" s="8"/>
      <c r="W165" s="7"/>
      <c r="X165" s="7"/>
      <c r="Y165" s="8"/>
      <c r="Z165" s="7"/>
      <c r="AA165" s="8"/>
    </row>
    <row r="166" spans="2:27" ht="15" thickTop="1" thickBot="1">
      <c r="D166" s="65"/>
      <c r="E166" s="51" t="s">
        <v>908</v>
      </c>
      <c r="F166" s="7"/>
      <c r="G166" s="8"/>
      <c r="H166" s="7"/>
      <c r="I166" s="6"/>
      <c r="J166" s="7"/>
      <c r="K166" s="8"/>
      <c r="L166" s="7"/>
      <c r="M166" s="8"/>
      <c r="N166" s="7"/>
      <c r="O166" s="8"/>
      <c r="P166" s="7"/>
      <c r="Q166" s="7"/>
      <c r="R166" s="8"/>
      <c r="S166" s="7"/>
      <c r="T166" s="9"/>
      <c r="U166" s="7"/>
      <c r="V166" s="8"/>
      <c r="W166" s="7"/>
      <c r="X166" s="7"/>
      <c r="Y166" s="8"/>
      <c r="Z166" s="7"/>
      <c r="AA166" s="8"/>
    </row>
    <row r="167" spans="2:27" ht="15" thickTop="1" thickBot="1">
      <c r="D167" s="65"/>
      <c r="E167" s="51" t="s">
        <v>812</v>
      </c>
      <c r="F167" s="7"/>
      <c r="G167" s="8"/>
      <c r="H167" s="7"/>
      <c r="I167" s="6"/>
      <c r="J167" s="7"/>
      <c r="K167" s="8"/>
      <c r="L167" s="7"/>
      <c r="M167" s="8"/>
      <c r="N167" s="7"/>
      <c r="O167" s="8"/>
      <c r="P167" s="7"/>
      <c r="Q167" s="7"/>
      <c r="R167" s="8"/>
      <c r="S167" s="7"/>
      <c r="T167" s="9"/>
      <c r="U167" s="7"/>
      <c r="V167" s="8"/>
      <c r="W167" s="7"/>
      <c r="X167" s="7"/>
      <c r="Y167" s="8"/>
      <c r="Z167" s="7"/>
      <c r="AA167" s="8"/>
    </row>
    <row r="168" spans="2:27" ht="15" thickTop="1" thickBot="1">
      <c r="D168" s="65"/>
      <c r="E168" s="51" t="s">
        <v>813</v>
      </c>
      <c r="F168" s="7"/>
      <c r="G168" s="8"/>
      <c r="H168" s="7"/>
      <c r="I168" s="6"/>
      <c r="J168" s="7"/>
      <c r="K168" s="8"/>
      <c r="L168" s="7"/>
      <c r="M168" s="8"/>
      <c r="N168" s="7"/>
      <c r="O168" s="8"/>
      <c r="P168" s="7"/>
      <c r="Q168" s="7"/>
      <c r="R168" s="8"/>
      <c r="S168" s="7"/>
      <c r="T168" s="9"/>
      <c r="U168" s="7"/>
      <c r="V168" s="8"/>
      <c r="W168" s="7"/>
      <c r="X168" s="7"/>
      <c r="Y168" s="8"/>
      <c r="Z168" s="7"/>
      <c r="AA168" s="8"/>
    </row>
    <row r="169" spans="2:27" ht="15" thickTop="1" thickBot="1">
      <c r="D169" s="65"/>
      <c r="E169" s="51" t="s">
        <v>815</v>
      </c>
      <c r="F169" s="7"/>
      <c r="G169" s="8"/>
      <c r="H169" s="7"/>
      <c r="I169" s="6"/>
      <c r="J169" s="7"/>
      <c r="K169" s="8"/>
      <c r="L169" s="7"/>
      <c r="M169" s="8"/>
      <c r="N169" s="7"/>
      <c r="O169" s="8"/>
      <c r="P169" s="7"/>
      <c r="Q169" s="7"/>
      <c r="R169" s="8"/>
      <c r="S169" s="7"/>
      <c r="T169" s="9"/>
      <c r="U169" s="7"/>
      <c r="V169" s="8"/>
      <c r="W169" s="7"/>
      <c r="X169" s="7"/>
      <c r="Y169" s="8"/>
      <c r="Z169" s="7"/>
      <c r="AA169" s="8"/>
    </row>
    <row r="170" spans="2:27" ht="15" thickTop="1" thickBot="1">
      <c r="D170" s="65"/>
      <c r="E170" s="51" t="s">
        <v>830</v>
      </c>
      <c r="F170" s="7"/>
      <c r="G170" s="8"/>
      <c r="H170" s="7"/>
      <c r="I170" s="6"/>
      <c r="J170" s="7"/>
      <c r="K170" s="8"/>
      <c r="L170" s="7"/>
      <c r="M170" s="8"/>
      <c r="N170" s="7"/>
      <c r="O170" s="8"/>
      <c r="P170" s="7"/>
      <c r="Q170" s="7"/>
      <c r="R170" s="8"/>
      <c r="S170" s="7"/>
      <c r="T170" s="9"/>
      <c r="U170" s="7"/>
      <c r="V170" s="8"/>
      <c r="W170" s="7"/>
      <c r="X170" s="7"/>
      <c r="Y170" s="8"/>
      <c r="Z170" s="7"/>
      <c r="AA170" s="8"/>
    </row>
    <row r="171" spans="2:27" ht="15" thickTop="1" thickBot="1">
      <c r="D171" s="65"/>
      <c r="E171" s="51" t="s">
        <v>828</v>
      </c>
      <c r="F171" s="7"/>
      <c r="G171" s="8"/>
      <c r="H171" s="7"/>
      <c r="I171" s="6"/>
      <c r="J171" s="7"/>
      <c r="K171" s="8"/>
      <c r="L171" s="7"/>
      <c r="M171" s="8"/>
      <c r="N171" s="7"/>
      <c r="O171" s="8"/>
      <c r="P171" s="7"/>
      <c r="Q171" s="7"/>
      <c r="R171" s="8"/>
      <c r="S171" s="7"/>
      <c r="T171" s="9"/>
      <c r="U171" s="7"/>
      <c r="V171" s="8"/>
      <c r="W171" s="7"/>
      <c r="X171" s="7"/>
      <c r="Y171" s="8"/>
      <c r="Z171" s="7"/>
      <c r="AA171" s="8"/>
    </row>
    <row r="172" spans="2:27" ht="15" thickTop="1" thickBot="1">
      <c r="D172" s="65"/>
      <c r="E172" s="51" t="s">
        <v>401</v>
      </c>
      <c r="F172" s="7"/>
      <c r="G172" s="8"/>
      <c r="H172" s="7"/>
      <c r="I172" s="6"/>
      <c r="J172" s="7"/>
      <c r="K172" s="8"/>
      <c r="L172" s="7"/>
      <c r="M172" s="8"/>
      <c r="N172" s="7"/>
      <c r="O172" s="8"/>
      <c r="P172" s="7"/>
      <c r="Q172" s="7"/>
      <c r="R172" s="8"/>
      <c r="S172" s="7"/>
      <c r="T172" s="9"/>
      <c r="U172" s="7"/>
      <c r="V172" s="8"/>
      <c r="W172" s="7"/>
      <c r="X172" s="7"/>
      <c r="Y172" s="8"/>
      <c r="Z172" s="7"/>
      <c r="AA172" s="8"/>
    </row>
    <row r="173" spans="2:27" ht="15" thickTop="1" thickBot="1">
      <c r="D173" s="65"/>
      <c r="E173" s="51" t="s">
        <v>844</v>
      </c>
      <c r="F173" s="7"/>
      <c r="G173" s="8"/>
      <c r="H173" s="7"/>
      <c r="I173" s="6"/>
      <c r="J173" s="7"/>
      <c r="K173" s="8"/>
      <c r="L173" s="7"/>
      <c r="M173" s="8"/>
      <c r="N173" s="7"/>
      <c r="O173" s="8"/>
      <c r="P173" s="7"/>
      <c r="Q173" s="7"/>
      <c r="R173" s="8"/>
      <c r="S173" s="7"/>
      <c r="T173" s="9"/>
      <c r="U173" s="7"/>
      <c r="V173" s="8"/>
      <c r="W173" s="7"/>
      <c r="X173" s="7"/>
      <c r="Y173" s="8"/>
      <c r="Z173" s="7"/>
      <c r="AA173" s="8"/>
    </row>
    <row r="174" spans="2:27" ht="15" thickTop="1" thickBot="1">
      <c r="D174" s="65"/>
      <c r="E174" s="51" t="s">
        <v>811</v>
      </c>
      <c r="F174" s="7"/>
      <c r="G174" s="8"/>
      <c r="H174" s="7"/>
      <c r="I174" s="6"/>
      <c r="J174" s="7"/>
      <c r="K174" s="8"/>
      <c r="L174" s="7"/>
      <c r="M174" s="8"/>
      <c r="N174" s="7"/>
      <c r="O174" s="8"/>
      <c r="P174" s="7"/>
      <c r="Q174" s="7"/>
      <c r="R174" s="8"/>
      <c r="S174" s="7"/>
      <c r="T174" s="9"/>
      <c r="U174" s="7"/>
      <c r="V174" s="8"/>
      <c r="W174" s="7"/>
      <c r="X174" s="7"/>
      <c r="Y174" s="8"/>
      <c r="Z174" s="7"/>
      <c r="AA174" s="8"/>
    </row>
    <row r="175" spans="2:27" ht="15" thickTop="1" thickBot="1">
      <c r="D175" s="65"/>
      <c r="E175" s="51" t="s">
        <v>814</v>
      </c>
      <c r="F175" s="7"/>
      <c r="G175" s="8"/>
      <c r="H175" s="7"/>
      <c r="I175" s="6"/>
      <c r="J175" s="7"/>
      <c r="K175" s="8"/>
      <c r="L175" s="7"/>
      <c r="M175" s="8"/>
      <c r="N175" s="7"/>
      <c r="O175" s="8"/>
      <c r="P175" s="7"/>
      <c r="Q175" s="7"/>
      <c r="R175" s="8"/>
      <c r="S175" s="7"/>
      <c r="T175" s="9"/>
      <c r="U175" s="7"/>
      <c r="V175" s="8"/>
      <c r="W175" s="7"/>
      <c r="X175" s="7"/>
      <c r="Y175" s="8"/>
      <c r="Z175" s="7"/>
      <c r="AA175" s="8"/>
    </row>
    <row r="176" spans="2:27" ht="15" thickTop="1" thickBot="1">
      <c r="D176" s="65"/>
      <c r="E176" s="51" t="s">
        <v>816</v>
      </c>
      <c r="F176" s="7"/>
      <c r="G176" s="8"/>
      <c r="H176" s="7"/>
      <c r="I176" s="6"/>
      <c r="J176" s="7"/>
      <c r="K176" s="8"/>
      <c r="L176" s="7"/>
      <c r="M176" s="8"/>
      <c r="N176" s="7"/>
      <c r="O176" s="8"/>
      <c r="P176" s="7"/>
      <c r="Q176" s="7"/>
      <c r="R176" s="8"/>
      <c r="S176" s="7"/>
      <c r="T176" s="9"/>
      <c r="U176" s="7"/>
      <c r="V176" s="8"/>
      <c r="W176" s="7"/>
      <c r="X176" s="7"/>
      <c r="Y176" s="8"/>
      <c r="Z176" s="7"/>
      <c r="AA176" s="8"/>
    </row>
    <row r="177" spans="4:27" ht="15" thickTop="1" thickBot="1">
      <c r="D177" s="65"/>
      <c r="E177" s="51" t="s">
        <v>400</v>
      </c>
      <c r="F177" s="7"/>
      <c r="G177" s="8"/>
      <c r="H177" s="7"/>
      <c r="I177" s="6"/>
      <c r="J177" s="7"/>
      <c r="K177" s="8"/>
      <c r="L177" s="7"/>
      <c r="M177" s="8"/>
      <c r="N177" s="7"/>
      <c r="O177" s="8"/>
      <c r="P177" s="7"/>
      <c r="Q177" s="7"/>
      <c r="R177" s="8"/>
      <c r="S177" s="7"/>
      <c r="T177" s="9"/>
      <c r="U177" s="7"/>
      <c r="V177" s="8"/>
      <c r="W177" s="7"/>
      <c r="X177" s="7"/>
      <c r="Y177" s="8"/>
      <c r="Z177" s="7"/>
      <c r="AA177" s="8"/>
    </row>
    <row r="178" spans="4:27" ht="15" thickTop="1" thickBot="1">
      <c r="D178" s="65"/>
      <c r="E178" s="51" t="s">
        <v>821</v>
      </c>
      <c r="F178" s="7"/>
      <c r="G178" s="8"/>
      <c r="H178" s="7"/>
      <c r="I178" s="6"/>
      <c r="J178" s="7"/>
      <c r="K178" s="8"/>
      <c r="L178" s="7"/>
      <c r="M178" s="8"/>
      <c r="N178" s="7"/>
      <c r="O178" s="8"/>
      <c r="P178" s="7"/>
      <c r="Q178" s="7"/>
      <c r="R178" s="8"/>
      <c r="S178" s="7"/>
      <c r="T178" s="9"/>
      <c r="U178" s="7"/>
      <c r="V178" s="8"/>
      <c r="W178" s="7"/>
      <c r="X178" s="7"/>
      <c r="Y178" s="8"/>
      <c r="Z178" s="7"/>
      <c r="AA178" s="8"/>
    </row>
    <row r="179" spans="4:27" ht="15" thickTop="1" thickBot="1">
      <c r="D179" s="65"/>
      <c r="E179" s="51" t="s">
        <v>834</v>
      </c>
      <c r="F179" s="7"/>
      <c r="G179" s="8"/>
      <c r="H179" s="7"/>
      <c r="I179" s="6"/>
      <c r="J179" s="7"/>
      <c r="K179" s="8"/>
      <c r="L179" s="7"/>
      <c r="M179" s="8"/>
      <c r="N179" s="7"/>
      <c r="O179" s="8"/>
      <c r="P179" s="7"/>
      <c r="Q179" s="7"/>
      <c r="R179" s="8"/>
      <c r="S179" s="7"/>
      <c r="T179" s="9"/>
      <c r="U179" s="7"/>
      <c r="V179" s="8"/>
      <c r="W179" s="7"/>
      <c r="X179" s="7"/>
      <c r="Y179" s="8"/>
      <c r="Z179" s="7"/>
      <c r="AA179" s="8"/>
    </row>
    <row r="180" spans="4:27" ht="15" thickTop="1" thickBot="1">
      <c r="D180" s="65"/>
      <c r="E180" s="51" t="s">
        <v>829</v>
      </c>
      <c r="F180" s="7"/>
      <c r="G180" s="8"/>
      <c r="H180" s="7"/>
      <c r="I180" s="6"/>
      <c r="J180" s="7"/>
      <c r="K180" s="8"/>
      <c r="L180" s="7"/>
      <c r="M180" s="8"/>
      <c r="N180" s="7"/>
      <c r="O180" s="8"/>
      <c r="P180" s="7"/>
      <c r="Q180" s="7"/>
      <c r="R180" s="8"/>
      <c r="S180" s="7"/>
      <c r="T180" s="9"/>
      <c r="U180" s="7"/>
      <c r="V180" s="8"/>
      <c r="W180" s="7"/>
      <c r="X180" s="7"/>
      <c r="Y180" s="8"/>
      <c r="Z180" s="7"/>
      <c r="AA180" s="8"/>
    </row>
    <row r="181" spans="4:27" ht="15" thickTop="1" thickBot="1">
      <c r="D181" s="65"/>
      <c r="E181" s="51" t="s">
        <v>833</v>
      </c>
      <c r="F181" s="7"/>
      <c r="G181" s="8"/>
      <c r="H181" s="7"/>
      <c r="I181" s="6"/>
      <c r="J181" s="7"/>
      <c r="K181" s="8"/>
      <c r="L181" s="7"/>
      <c r="M181" s="8"/>
      <c r="N181" s="7"/>
      <c r="O181" s="8"/>
      <c r="P181" s="7"/>
      <c r="Q181" s="7"/>
      <c r="R181" s="8"/>
      <c r="S181" s="7"/>
      <c r="T181" s="9"/>
      <c r="U181" s="7"/>
      <c r="V181" s="8"/>
      <c r="W181" s="7"/>
      <c r="X181" s="7"/>
      <c r="Y181" s="8"/>
      <c r="Z181" s="7"/>
      <c r="AA181" s="8"/>
    </row>
    <row r="182" spans="4:27" ht="15" thickTop="1" thickBot="1">
      <c r="D182" s="65"/>
      <c r="E182" s="51" t="s">
        <v>857</v>
      </c>
      <c r="F182" s="7"/>
      <c r="G182" s="8"/>
      <c r="H182" s="7"/>
      <c r="I182" s="6"/>
      <c r="J182" s="7"/>
      <c r="K182" s="8"/>
      <c r="L182" s="7"/>
      <c r="M182" s="8"/>
      <c r="N182" s="7"/>
      <c r="O182" s="8"/>
      <c r="P182" s="7"/>
      <c r="Q182" s="7"/>
      <c r="R182" s="8"/>
      <c r="S182" s="7"/>
      <c r="T182" s="9"/>
      <c r="U182" s="7"/>
      <c r="V182" s="8"/>
      <c r="W182" s="7"/>
      <c r="X182" s="7"/>
      <c r="Y182" s="8"/>
      <c r="Z182" s="7"/>
      <c r="AA182" s="8"/>
    </row>
    <row r="183" spans="4:27" ht="15" thickTop="1" thickBot="1">
      <c r="D183" s="65"/>
      <c r="E183" s="51" t="s">
        <v>410</v>
      </c>
      <c r="F183" s="7"/>
      <c r="G183" s="8"/>
      <c r="H183" s="7"/>
      <c r="I183" s="6"/>
      <c r="J183" s="7"/>
      <c r="K183" s="8"/>
      <c r="L183" s="7"/>
      <c r="M183" s="8"/>
      <c r="N183" s="7"/>
      <c r="O183" s="8"/>
      <c r="P183" s="7"/>
      <c r="Q183" s="7"/>
      <c r="R183" s="8"/>
      <c r="S183" s="7"/>
      <c r="T183" s="9"/>
      <c r="U183" s="7"/>
      <c r="V183" s="8"/>
      <c r="W183" s="7"/>
      <c r="X183" s="7"/>
      <c r="Y183" s="8"/>
      <c r="Z183" s="7"/>
      <c r="AA183" s="8"/>
    </row>
    <row r="184" spans="4:27" ht="15" thickTop="1" thickBot="1">
      <c r="D184" s="65"/>
      <c r="E184" s="51" t="s">
        <v>406</v>
      </c>
      <c r="F184" s="7"/>
      <c r="G184" s="8"/>
      <c r="H184" s="7"/>
      <c r="I184" s="6"/>
      <c r="J184" s="7"/>
      <c r="K184" s="8"/>
      <c r="L184" s="7"/>
      <c r="M184" s="8"/>
      <c r="N184" s="7"/>
      <c r="O184" s="8"/>
      <c r="P184" s="7"/>
      <c r="Q184" s="7"/>
      <c r="R184" s="8"/>
      <c r="S184" s="7"/>
      <c r="T184" s="9"/>
      <c r="U184" s="7"/>
      <c r="V184" s="8"/>
      <c r="W184" s="7"/>
      <c r="X184" s="7"/>
      <c r="Y184" s="8"/>
      <c r="Z184" s="7"/>
      <c r="AA184" s="8"/>
    </row>
    <row r="185" spans="4:27" ht="15" thickTop="1" thickBot="1">
      <c r="D185" s="65"/>
      <c r="E185" s="51" t="s">
        <v>407</v>
      </c>
      <c r="F185" s="7"/>
      <c r="G185" s="8"/>
      <c r="H185" s="7"/>
      <c r="I185" s="6"/>
      <c r="J185" s="7"/>
      <c r="K185" s="8"/>
      <c r="L185" s="7"/>
      <c r="M185" s="8"/>
      <c r="N185" s="7"/>
      <c r="O185" s="8"/>
      <c r="P185" s="7"/>
      <c r="Q185" s="7"/>
      <c r="R185" s="8"/>
      <c r="S185" s="7"/>
      <c r="T185" s="9"/>
      <c r="U185" s="7"/>
      <c r="V185" s="8"/>
      <c r="W185" s="7"/>
      <c r="X185" s="7"/>
      <c r="Y185" s="8"/>
      <c r="Z185" s="7"/>
      <c r="AA185" s="8"/>
    </row>
    <row r="186" spans="4:27" ht="15" thickTop="1" thickBot="1">
      <c r="D186" s="65"/>
      <c r="E186" s="51" t="s">
        <v>824</v>
      </c>
      <c r="F186" s="7"/>
      <c r="G186" s="8"/>
      <c r="H186" s="7"/>
      <c r="I186" s="6"/>
      <c r="J186" s="7"/>
      <c r="K186" s="8"/>
      <c r="L186" s="7"/>
      <c r="M186" s="8"/>
      <c r="N186" s="7"/>
      <c r="O186" s="8"/>
      <c r="P186" s="7"/>
      <c r="Q186" s="7"/>
      <c r="R186" s="8"/>
      <c r="S186" s="7"/>
      <c r="T186" s="9"/>
      <c r="U186" s="7"/>
      <c r="V186" s="8"/>
      <c r="W186" s="7"/>
      <c r="X186" s="7"/>
      <c r="Y186" s="8"/>
      <c r="Z186" s="7"/>
      <c r="AA186" s="8"/>
    </row>
    <row r="187" spans="4:27" ht="15" thickTop="1" thickBot="1">
      <c r="D187" s="65"/>
      <c r="E187" s="51" t="s">
        <v>408</v>
      </c>
      <c r="F187" s="7"/>
      <c r="G187" s="8"/>
      <c r="H187" s="7"/>
      <c r="I187" s="6"/>
      <c r="J187" s="7"/>
      <c r="K187" s="8"/>
      <c r="L187" s="7"/>
      <c r="M187" s="8"/>
      <c r="N187" s="7"/>
      <c r="O187" s="8"/>
      <c r="P187" s="7"/>
      <c r="Q187" s="7"/>
      <c r="R187" s="8"/>
      <c r="S187" s="7"/>
      <c r="T187" s="9"/>
      <c r="U187" s="7"/>
      <c r="V187" s="8"/>
      <c r="W187" s="7"/>
      <c r="X187" s="7"/>
      <c r="Y187" s="8"/>
      <c r="Z187" s="7"/>
      <c r="AA187" s="8"/>
    </row>
    <row r="188" spans="4:27" ht="15" thickTop="1" thickBot="1">
      <c r="D188" s="65"/>
      <c r="E188" s="51" t="s">
        <v>405</v>
      </c>
      <c r="F188" s="7"/>
      <c r="G188" s="8"/>
      <c r="H188" s="7"/>
      <c r="I188" s="6"/>
      <c r="J188" s="7"/>
      <c r="K188" s="8"/>
      <c r="L188" s="7"/>
      <c r="M188" s="8"/>
      <c r="N188" s="7"/>
      <c r="O188" s="8"/>
      <c r="P188" s="7"/>
      <c r="Q188" s="7"/>
      <c r="R188" s="8"/>
      <c r="S188" s="7"/>
      <c r="T188" s="9"/>
      <c r="U188" s="7"/>
      <c r="V188" s="8"/>
      <c r="W188" s="7"/>
      <c r="X188" s="7"/>
      <c r="Y188" s="8"/>
      <c r="Z188" s="7"/>
      <c r="AA188" s="8"/>
    </row>
    <row r="189" spans="4:27" ht="15" thickTop="1" thickBot="1">
      <c r="D189" s="65"/>
      <c r="E189" s="51" t="s">
        <v>404</v>
      </c>
      <c r="F189" s="7"/>
      <c r="G189" s="8"/>
      <c r="H189" s="7"/>
      <c r="I189" s="6"/>
      <c r="J189" s="7"/>
      <c r="K189" s="8"/>
      <c r="L189" s="7"/>
      <c r="M189" s="8"/>
      <c r="N189" s="7"/>
      <c r="O189" s="8"/>
      <c r="P189" s="7"/>
      <c r="Q189" s="7"/>
      <c r="R189" s="8"/>
      <c r="S189" s="7"/>
      <c r="T189" s="9"/>
      <c r="U189" s="7"/>
      <c r="V189" s="8"/>
      <c r="W189" s="7"/>
      <c r="X189" s="7"/>
      <c r="Y189" s="8"/>
      <c r="Z189" s="7"/>
      <c r="AA189" s="8"/>
    </row>
    <row r="190" spans="4:27" ht="15" thickTop="1" thickBot="1">
      <c r="D190" s="65"/>
      <c r="E190" s="51" t="s">
        <v>403</v>
      </c>
      <c r="F190" s="7"/>
      <c r="G190" s="8"/>
      <c r="H190" s="7"/>
      <c r="I190" s="6"/>
      <c r="J190" s="7"/>
      <c r="K190" s="8"/>
      <c r="L190" s="7"/>
      <c r="M190" s="8"/>
      <c r="N190" s="7"/>
      <c r="O190" s="8"/>
      <c r="P190" s="7"/>
      <c r="Q190" s="7"/>
      <c r="R190" s="8"/>
      <c r="S190" s="7"/>
      <c r="T190" s="9"/>
      <c r="U190" s="7"/>
      <c r="V190" s="8"/>
      <c r="W190" s="7"/>
      <c r="X190" s="7"/>
      <c r="Y190" s="8"/>
      <c r="Z190" s="7"/>
      <c r="AA190" s="8"/>
    </row>
    <row r="191" spans="4:27" ht="15" thickTop="1" thickBot="1">
      <c r="D191" s="65"/>
      <c r="E191" s="51" t="s">
        <v>897</v>
      </c>
      <c r="F191" s="7"/>
      <c r="G191" s="8"/>
      <c r="H191" s="7"/>
      <c r="I191" s="6"/>
      <c r="J191" s="7"/>
      <c r="K191" s="8"/>
      <c r="L191" s="7"/>
      <c r="M191" s="8"/>
      <c r="N191" s="7"/>
      <c r="O191" s="8"/>
      <c r="P191" s="7"/>
      <c r="Q191" s="7"/>
      <c r="R191" s="8"/>
      <c r="S191" s="7"/>
      <c r="T191" s="9"/>
      <c r="U191" s="7"/>
      <c r="V191" s="8"/>
      <c r="W191" s="7"/>
      <c r="X191" s="7"/>
      <c r="Y191" s="8"/>
      <c r="Z191" s="7"/>
      <c r="AA191" s="8"/>
    </row>
    <row r="192" spans="4:27" ht="15" thickTop="1" thickBot="1">
      <c r="D192" s="65"/>
      <c r="E192" s="51" t="s">
        <v>912</v>
      </c>
      <c r="F192" s="7"/>
      <c r="G192" s="8"/>
      <c r="H192" s="7"/>
      <c r="I192" s="6"/>
      <c r="J192" s="7"/>
      <c r="K192" s="8"/>
      <c r="L192" s="7"/>
      <c r="M192" s="8"/>
      <c r="N192" s="7"/>
      <c r="O192" s="8"/>
      <c r="P192" s="7"/>
      <c r="Q192" s="7"/>
      <c r="R192" s="8"/>
      <c r="S192" s="7"/>
      <c r="T192" s="9"/>
      <c r="U192" s="7"/>
      <c r="V192" s="8"/>
      <c r="W192" s="7"/>
      <c r="X192" s="7"/>
      <c r="Y192" s="8"/>
      <c r="Z192" s="7"/>
      <c r="AA192" s="8"/>
    </row>
    <row r="193" spans="4:27" ht="15" thickTop="1" thickBot="1">
      <c r="D193" s="65"/>
      <c r="E193" s="51" t="s">
        <v>881</v>
      </c>
      <c r="F193" s="7"/>
      <c r="G193" s="8"/>
      <c r="H193" s="7"/>
      <c r="I193" s="6"/>
      <c r="J193" s="7"/>
      <c r="K193" s="8"/>
      <c r="L193" s="7"/>
      <c r="M193" s="8"/>
      <c r="N193" s="7"/>
      <c r="O193" s="8"/>
      <c r="P193" s="7"/>
      <c r="Q193" s="7"/>
      <c r="R193" s="8"/>
      <c r="S193" s="7"/>
      <c r="T193" s="9"/>
      <c r="U193" s="7"/>
      <c r="V193" s="8"/>
      <c r="W193" s="7"/>
      <c r="X193" s="7"/>
      <c r="Y193" s="8"/>
      <c r="Z193" s="7"/>
      <c r="AA193" s="8"/>
    </row>
    <row r="194" spans="4:27" ht="15" thickTop="1" thickBot="1">
      <c r="D194" s="65"/>
      <c r="E194" s="51" t="s">
        <v>914</v>
      </c>
      <c r="F194" s="7"/>
      <c r="G194" s="8"/>
      <c r="H194" s="7"/>
      <c r="I194" s="6"/>
      <c r="J194" s="7"/>
      <c r="K194" s="8"/>
      <c r="L194" s="7"/>
      <c r="M194" s="8"/>
      <c r="N194" s="7"/>
      <c r="O194" s="8"/>
      <c r="P194" s="7"/>
      <c r="Q194" s="7"/>
      <c r="R194" s="8"/>
      <c r="S194" s="7"/>
      <c r="T194" s="9"/>
      <c r="U194" s="7"/>
      <c r="V194" s="8"/>
      <c r="W194" s="7"/>
      <c r="X194" s="7"/>
      <c r="Y194" s="8"/>
      <c r="Z194" s="7"/>
      <c r="AA194" s="8"/>
    </row>
    <row r="195" spans="4:27" ht="15" thickTop="1" thickBot="1">
      <c r="D195" s="65"/>
      <c r="E195" s="51" t="s">
        <v>515</v>
      </c>
      <c r="F195" s="7"/>
      <c r="G195" s="8"/>
      <c r="H195" s="7"/>
      <c r="I195" s="6"/>
      <c r="J195" s="7"/>
      <c r="K195" s="8"/>
      <c r="L195" s="7"/>
      <c r="M195" s="8"/>
      <c r="N195" s="7"/>
      <c r="O195" s="8"/>
      <c r="P195" s="7"/>
      <c r="Q195" s="7"/>
      <c r="R195" s="8"/>
      <c r="S195" s="7"/>
      <c r="T195" s="9"/>
      <c r="U195" s="7"/>
      <c r="V195" s="8"/>
      <c r="W195" s="7"/>
      <c r="X195" s="7"/>
      <c r="Y195" s="8"/>
      <c r="Z195" s="7"/>
      <c r="AA195" s="8"/>
    </row>
    <row r="196" spans="4:27" ht="15" thickTop="1" thickBot="1">
      <c r="D196" s="65"/>
      <c r="E196" s="51" t="s">
        <v>878</v>
      </c>
      <c r="F196" s="7"/>
      <c r="G196" s="8"/>
      <c r="H196" s="7"/>
      <c r="I196" s="6"/>
      <c r="J196" s="7"/>
      <c r="K196" s="8"/>
      <c r="L196" s="7"/>
      <c r="M196" s="8"/>
      <c r="N196" s="7"/>
      <c r="O196" s="8"/>
      <c r="P196" s="7"/>
      <c r="Q196" s="7"/>
      <c r="R196" s="8"/>
      <c r="S196" s="7"/>
      <c r="T196" s="9"/>
      <c r="U196" s="7"/>
      <c r="V196" s="8"/>
      <c r="W196" s="7"/>
      <c r="X196" s="7"/>
      <c r="Y196" s="8"/>
      <c r="Z196" s="7"/>
      <c r="AA196" s="8"/>
    </row>
    <row r="197" spans="4:27" ht="15" thickTop="1" thickBot="1">
      <c r="D197" s="65"/>
      <c r="E197" s="51" t="s">
        <v>481</v>
      </c>
      <c r="F197" s="7"/>
      <c r="G197" s="8"/>
      <c r="H197" s="7"/>
      <c r="I197" s="6"/>
      <c r="J197" s="7"/>
      <c r="K197" s="8"/>
      <c r="L197" s="7"/>
      <c r="M197" s="8"/>
      <c r="N197" s="7"/>
      <c r="O197" s="8"/>
      <c r="P197" s="7"/>
      <c r="Q197" s="7"/>
      <c r="R197" s="8"/>
      <c r="S197" s="7"/>
      <c r="T197" s="9"/>
      <c r="U197" s="7"/>
      <c r="V197" s="8"/>
      <c r="W197" s="7"/>
      <c r="X197" s="7"/>
      <c r="Y197" s="8"/>
      <c r="Z197" s="7"/>
      <c r="AA197" s="8"/>
    </row>
    <row r="198" spans="4:27" ht="15" thickTop="1" thickBot="1">
      <c r="D198" s="65"/>
      <c r="E198" s="51" t="s">
        <v>877</v>
      </c>
      <c r="F198" s="7"/>
      <c r="G198" s="8"/>
      <c r="H198" s="7"/>
      <c r="I198" s="6"/>
      <c r="J198" s="7"/>
      <c r="K198" s="8"/>
      <c r="L198" s="7"/>
      <c r="M198" s="8"/>
      <c r="N198" s="7"/>
      <c r="O198" s="8"/>
      <c r="P198" s="7"/>
      <c r="Q198" s="7"/>
      <c r="R198" s="8"/>
      <c r="S198" s="7"/>
      <c r="T198" s="9"/>
      <c r="U198" s="7"/>
      <c r="V198" s="8"/>
      <c r="W198" s="7"/>
      <c r="X198" s="7"/>
      <c r="Y198" s="8"/>
      <c r="Z198" s="7"/>
      <c r="AA198" s="8"/>
    </row>
    <row r="199" spans="4:27" ht="15" thickTop="1" thickBot="1">
      <c r="D199" s="65"/>
      <c r="E199" s="51" t="s">
        <v>915</v>
      </c>
      <c r="F199" s="7"/>
      <c r="G199" s="8"/>
      <c r="H199" s="7"/>
      <c r="I199" s="6"/>
      <c r="J199" s="7"/>
      <c r="K199" s="8"/>
      <c r="L199" s="7"/>
      <c r="M199" s="8"/>
      <c r="N199" s="7"/>
      <c r="O199" s="8"/>
      <c r="P199" s="7"/>
      <c r="Q199" s="7"/>
      <c r="R199" s="8"/>
      <c r="S199" s="7"/>
      <c r="T199" s="9"/>
      <c r="U199" s="7"/>
      <c r="V199" s="8"/>
      <c r="W199" s="7"/>
      <c r="X199" s="7"/>
      <c r="Y199" s="8"/>
      <c r="Z199" s="7"/>
      <c r="AA199" s="8"/>
    </row>
    <row r="200" spans="4:27" ht="15" thickTop="1" thickBot="1">
      <c r="D200" s="65"/>
      <c r="E200" s="51" t="s">
        <v>507</v>
      </c>
      <c r="F200" s="7"/>
      <c r="G200" s="8"/>
      <c r="H200" s="7"/>
      <c r="I200" s="6"/>
      <c r="J200" s="7"/>
      <c r="K200" s="8"/>
      <c r="L200" s="7"/>
      <c r="M200" s="8"/>
      <c r="N200" s="7"/>
      <c r="O200" s="8"/>
      <c r="P200" s="7"/>
      <c r="Q200" s="7"/>
      <c r="R200" s="8"/>
      <c r="S200" s="7"/>
      <c r="T200" s="9"/>
      <c r="U200" s="7"/>
      <c r="V200" s="8"/>
      <c r="W200" s="7"/>
      <c r="X200" s="7"/>
      <c r="Y200" s="8"/>
      <c r="Z200" s="7"/>
      <c r="AA200" s="8"/>
    </row>
    <row r="201" spans="4:27" ht="15" thickTop="1" thickBot="1">
      <c r="D201" s="65"/>
      <c r="E201" s="51" t="s">
        <v>876</v>
      </c>
      <c r="F201" s="7"/>
      <c r="G201" s="8"/>
      <c r="H201" s="7"/>
      <c r="I201" s="6"/>
      <c r="J201" s="7"/>
      <c r="K201" s="8"/>
      <c r="L201" s="7"/>
      <c r="M201" s="8"/>
      <c r="N201" s="7"/>
      <c r="O201" s="8"/>
      <c r="P201" s="7"/>
      <c r="Q201" s="7"/>
      <c r="R201" s="8"/>
      <c r="S201" s="7"/>
      <c r="T201" s="9"/>
      <c r="U201" s="7"/>
      <c r="V201" s="8"/>
      <c r="W201" s="7"/>
      <c r="X201" s="7"/>
      <c r="Y201" s="8"/>
      <c r="Z201" s="7"/>
      <c r="AA201" s="8"/>
    </row>
    <row r="202" spans="4:27" ht="15" thickTop="1" thickBot="1">
      <c r="D202" s="65"/>
      <c r="E202" s="51" t="s">
        <v>453</v>
      </c>
      <c r="F202" s="7"/>
      <c r="G202" s="8"/>
      <c r="H202" s="7"/>
      <c r="I202" s="6"/>
      <c r="J202" s="7"/>
      <c r="K202" s="8"/>
      <c r="L202" s="7"/>
      <c r="M202" s="8"/>
      <c r="N202" s="7"/>
      <c r="O202" s="8"/>
      <c r="P202" s="7"/>
      <c r="Q202" s="7"/>
      <c r="R202" s="8"/>
      <c r="S202" s="7"/>
      <c r="T202" s="9"/>
      <c r="U202" s="7"/>
      <c r="V202" s="8"/>
      <c r="W202" s="7"/>
      <c r="X202" s="7"/>
      <c r="Y202" s="8"/>
      <c r="Z202" s="7"/>
      <c r="AA202" s="8"/>
    </row>
    <row r="203" spans="4:27" ht="15" thickTop="1" thickBot="1">
      <c r="D203" s="65"/>
      <c r="E203" s="51" t="s">
        <v>456</v>
      </c>
      <c r="F203" s="7"/>
      <c r="G203" s="8"/>
      <c r="H203" s="7"/>
      <c r="I203" s="6"/>
      <c r="J203" s="7"/>
      <c r="K203" s="8"/>
      <c r="L203" s="7"/>
      <c r="M203" s="8"/>
      <c r="N203" s="7"/>
      <c r="O203" s="8"/>
      <c r="P203" s="7"/>
      <c r="Q203" s="7"/>
      <c r="R203" s="8"/>
      <c r="S203" s="7"/>
      <c r="T203" s="9"/>
      <c r="U203" s="7"/>
      <c r="V203" s="8"/>
      <c r="W203" s="7"/>
      <c r="X203" s="7"/>
      <c r="Y203" s="8"/>
      <c r="Z203" s="7"/>
      <c r="AA203" s="8"/>
    </row>
    <row r="204" spans="4:27" ht="15" thickTop="1" thickBot="1">
      <c r="D204" s="65"/>
      <c r="E204" s="51" t="s">
        <v>487</v>
      </c>
      <c r="F204" s="7"/>
      <c r="G204" s="8"/>
      <c r="H204" s="7"/>
      <c r="I204" s="6"/>
      <c r="J204" s="7"/>
      <c r="K204" s="8"/>
      <c r="L204" s="7"/>
      <c r="M204" s="8"/>
      <c r="N204" s="7"/>
      <c r="O204" s="8"/>
      <c r="P204" s="7"/>
      <c r="Q204" s="7"/>
      <c r="R204" s="8"/>
      <c r="S204" s="7"/>
      <c r="T204" s="9"/>
      <c r="U204" s="7"/>
      <c r="V204" s="8"/>
      <c r="W204" s="7"/>
      <c r="X204" s="7"/>
      <c r="Y204" s="8"/>
      <c r="Z204" s="7"/>
      <c r="AA204" s="8"/>
    </row>
    <row r="205" spans="4:27" ht="15" thickTop="1" thickBot="1">
      <c r="D205" s="65"/>
      <c r="E205" s="51" t="s">
        <v>459</v>
      </c>
      <c r="F205" s="7"/>
      <c r="G205" s="8"/>
      <c r="H205" s="7"/>
      <c r="I205" s="6"/>
      <c r="J205" s="7"/>
      <c r="K205" s="8"/>
      <c r="L205" s="7"/>
      <c r="M205" s="8"/>
      <c r="N205" s="7"/>
      <c r="O205" s="8"/>
      <c r="P205" s="7"/>
      <c r="Q205" s="7"/>
      <c r="R205" s="8"/>
      <c r="S205" s="7"/>
      <c r="T205" s="9"/>
      <c r="U205" s="7"/>
      <c r="V205" s="8"/>
      <c r="W205" s="7"/>
      <c r="X205" s="7"/>
      <c r="Y205" s="8"/>
      <c r="Z205" s="7"/>
      <c r="AA205" s="8"/>
    </row>
    <row r="206" spans="4:27" ht="15" thickTop="1" thickBot="1">
      <c r="D206" s="65"/>
      <c r="E206" s="51" t="s">
        <v>486</v>
      </c>
      <c r="F206" s="7"/>
      <c r="G206" s="8"/>
      <c r="H206" s="7"/>
      <c r="I206" s="6"/>
      <c r="J206" s="7"/>
      <c r="K206" s="8"/>
      <c r="L206" s="7"/>
      <c r="M206" s="8"/>
      <c r="N206" s="7"/>
      <c r="O206" s="8"/>
      <c r="P206" s="7"/>
      <c r="Q206" s="7"/>
      <c r="R206" s="8"/>
      <c r="S206" s="7"/>
      <c r="T206" s="9"/>
      <c r="U206" s="7"/>
      <c r="V206" s="8"/>
      <c r="W206" s="7"/>
      <c r="X206" s="7"/>
      <c r="Y206" s="8"/>
      <c r="Z206" s="7"/>
      <c r="AA206" s="8"/>
    </row>
    <row r="207" spans="4:27" ht="15" thickTop="1" thickBot="1">
      <c r="D207" s="65"/>
      <c r="E207" s="51" t="s">
        <v>500</v>
      </c>
      <c r="F207" s="7"/>
      <c r="G207" s="8"/>
      <c r="H207" s="7"/>
      <c r="I207" s="6"/>
      <c r="J207" s="7"/>
      <c r="K207" s="8"/>
      <c r="L207" s="7"/>
      <c r="M207" s="8"/>
      <c r="N207" s="7"/>
      <c r="O207" s="8"/>
      <c r="P207" s="7"/>
      <c r="Q207" s="7"/>
      <c r="R207" s="8"/>
      <c r="S207" s="7"/>
      <c r="T207" s="9"/>
      <c r="U207" s="7"/>
      <c r="V207" s="8"/>
      <c r="W207" s="7"/>
      <c r="X207" s="7"/>
      <c r="Y207" s="8"/>
      <c r="Z207" s="7"/>
      <c r="AA207" s="8"/>
    </row>
    <row r="208" spans="4:27" ht="15" thickTop="1" thickBot="1">
      <c r="D208" s="65"/>
      <c r="E208" s="51" t="s">
        <v>468</v>
      </c>
      <c r="F208" s="7"/>
      <c r="G208" s="8"/>
      <c r="H208" s="7"/>
      <c r="I208" s="6"/>
      <c r="J208" s="7"/>
      <c r="K208" s="8"/>
      <c r="L208" s="7"/>
      <c r="M208" s="8"/>
      <c r="N208" s="7"/>
      <c r="O208" s="8"/>
      <c r="P208" s="7"/>
      <c r="Q208" s="7"/>
      <c r="R208" s="8"/>
      <c r="S208" s="7"/>
      <c r="T208" s="9"/>
      <c r="U208" s="7"/>
      <c r="V208" s="8"/>
      <c r="W208" s="7"/>
      <c r="X208" s="7"/>
      <c r="Y208" s="8"/>
      <c r="Z208" s="7"/>
      <c r="AA208" s="8"/>
    </row>
    <row r="209" spans="4:27" ht="15" thickTop="1" thickBot="1">
      <c r="D209" s="65"/>
      <c r="E209" s="51" t="s">
        <v>356</v>
      </c>
      <c r="F209" s="7"/>
      <c r="G209" s="8"/>
      <c r="H209" s="7"/>
      <c r="I209" s="6"/>
      <c r="J209" s="7"/>
      <c r="K209" s="8"/>
      <c r="L209" s="7"/>
      <c r="M209" s="8"/>
      <c r="N209" s="7"/>
      <c r="O209" s="8"/>
      <c r="P209" s="7"/>
      <c r="Q209" s="7"/>
      <c r="R209" s="8"/>
      <c r="S209" s="7"/>
      <c r="T209" s="9"/>
      <c r="U209" s="7"/>
      <c r="V209" s="8"/>
      <c r="W209" s="7"/>
      <c r="X209" s="7"/>
      <c r="Y209" s="8"/>
      <c r="Z209" s="7"/>
      <c r="AA209" s="8"/>
    </row>
    <row r="210" spans="4:27" ht="15" thickTop="1" thickBot="1">
      <c r="D210" s="65"/>
      <c r="E210" s="51" t="s">
        <v>495</v>
      </c>
      <c r="F210" s="7"/>
      <c r="G210" s="8"/>
      <c r="H210" s="7"/>
      <c r="I210" s="6"/>
      <c r="J210" s="7"/>
      <c r="K210" s="8"/>
      <c r="L210" s="7"/>
      <c r="M210" s="8"/>
      <c r="N210" s="7"/>
      <c r="O210" s="8"/>
      <c r="P210" s="7"/>
      <c r="Q210" s="7"/>
      <c r="R210" s="8"/>
      <c r="S210" s="7"/>
      <c r="T210" s="9"/>
      <c r="U210" s="7"/>
      <c r="V210" s="8"/>
      <c r="W210" s="7"/>
      <c r="X210" s="7"/>
      <c r="Y210" s="8"/>
      <c r="Z210" s="7"/>
      <c r="AA210" s="8"/>
    </row>
    <row r="211" spans="4:27" ht="15" thickTop="1" thickBot="1">
      <c r="D211" s="65"/>
      <c r="E211" s="51" t="s">
        <v>501</v>
      </c>
      <c r="F211" s="7"/>
      <c r="G211" s="8"/>
      <c r="H211" s="7"/>
      <c r="I211" s="6"/>
      <c r="J211" s="7"/>
      <c r="K211" s="8"/>
      <c r="L211" s="7"/>
      <c r="M211" s="8"/>
      <c r="N211" s="7"/>
      <c r="O211" s="8"/>
      <c r="P211" s="7"/>
      <c r="Q211" s="7"/>
      <c r="R211" s="8"/>
      <c r="S211" s="7"/>
      <c r="T211" s="9"/>
      <c r="U211" s="7"/>
      <c r="V211" s="8"/>
      <c r="W211" s="7"/>
      <c r="X211" s="7"/>
      <c r="Y211" s="8"/>
      <c r="Z211" s="7"/>
      <c r="AA211" s="8"/>
    </row>
    <row r="212" spans="4:27" ht="15" thickTop="1" thickBot="1">
      <c r="D212" s="65"/>
      <c r="E212" s="51" t="s">
        <v>466</v>
      </c>
      <c r="F212" s="7"/>
      <c r="G212" s="8"/>
      <c r="H212" s="7"/>
      <c r="I212" s="6"/>
      <c r="J212" s="7"/>
      <c r="K212" s="8"/>
      <c r="L212" s="7"/>
      <c r="M212" s="8"/>
      <c r="N212" s="7"/>
      <c r="O212" s="8"/>
      <c r="P212" s="7"/>
      <c r="Q212" s="7"/>
      <c r="R212" s="8"/>
      <c r="S212" s="7"/>
      <c r="T212" s="9"/>
      <c r="U212" s="7"/>
      <c r="V212" s="8"/>
      <c r="W212" s="7"/>
      <c r="X212" s="7"/>
      <c r="Y212" s="8"/>
      <c r="Z212" s="7"/>
      <c r="AA212" s="8"/>
    </row>
    <row r="213" spans="4:27" ht="15" thickTop="1" thickBot="1">
      <c r="D213" s="65"/>
      <c r="E213" s="51" t="s">
        <v>903</v>
      </c>
      <c r="F213" s="7"/>
      <c r="G213" s="8"/>
      <c r="H213" s="7"/>
      <c r="I213" s="6"/>
      <c r="J213" s="7"/>
      <c r="K213" s="8"/>
      <c r="L213" s="7"/>
      <c r="M213" s="8"/>
      <c r="N213" s="7"/>
      <c r="O213" s="8"/>
      <c r="P213" s="7"/>
      <c r="Q213" s="7"/>
      <c r="R213" s="8"/>
      <c r="S213" s="7"/>
      <c r="T213" s="9"/>
      <c r="U213" s="7"/>
      <c r="V213" s="8"/>
      <c r="W213" s="7"/>
      <c r="X213" s="7"/>
      <c r="Y213" s="8"/>
      <c r="Z213" s="7"/>
      <c r="AA213" s="8"/>
    </row>
    <row r="214" spans="4:27" ht="15" thickTop="1" thickBot="1">
      <c r="D214" s="65"/>
      <c r="E214" s="51" t="s">
        <v>1088</v>
      </c>
      <c r="F214" s="7"/>
      <c r="G214" s="8"/>
      <c r="H214" s="7"/>
      <c r="I214" s="6"/>
      <c r="J214" s="7"/>
      <c r="K214" s="8"/>
      <c r="L214" s="7"/>
      <c r="M214" s="8"/>
      <c r="N214" s="7"/>
      <c r="O214" s="8"/>
      <c r="P214" s="7"/>
      <c r="Q214" s="7"/>
      <c r="R214" s="8"/>
      <c r="S214" s="7"/>
      <c r="T214" s="9"/>
      <c r="U214" s="7"/>
      <c r="V214" s="8"/>
      <c r="W214" s="7"/>
      <c r="X214" s="7"/>
      <c r="Y214" s="8"/>
      <c r="Z214" s="7"/>
      <c r="AA214" s="8"/>
    </row>
    <row r="215" spans="4:27" ht="15" thickTop="1" thickBot="1">
      <c r="D215" s="65"/>
      <c r="E215" s="51" t="s">
        <v>494</v>
      </c>
      <c r="F215" s="7"/>
      <c r="G215" s="8"/>
      <c r="H215" s="7"/>
      <c r="I215" s="6"/>
      <c r="J215" s="7"/>
      <c r="K215" s="8"/>
      <c r="L215" s="7"/>
      <c r="M215" s="8"/>
      <c r="N215" s="7"/>
      <c r="O215" s="8"/>
      <c r="P215" s="7"/>
      <c r="Q215" s="7"/>
      <c r="R215" s="8"/>
      <c r="S215" s="7"/>
      <c r="T215" s="9"/>
      <c r="U215" s="7"/>
      <c r="V215" s="8"/>
      <c r="W215" s="7"/>
      <c r="X215" s="7"/>
      <c r="Y215" s="8"/>
      <c r="Z215" s="7"/>
      <c r="AA215" s="8"/>
    </row>
    <row r="216" spans="4:27" ht="15" thickTop="1" thickBot="1">
      <c r="D216" s="65"/>
      <c r="E216" s="51" t="s">
        <v>467</v>
      </c>
      <c r="F216" s="7"/>
      <c r="G216" s="8"/>
      <c r="H216" s="7"/>
      <c r="I216" s="6"/>
      <c r="J216" s="7"/>
      <c r="K216" s="8"/>
      <c r="L216" s="7"/>
      <c r="M216" s="8"/>
      <c r="N216" s="7"/>
      <c r="O216" s="8"/>
      <c r="P216" s="7"/>
      <c r="Q216" s="7"/>
      <c r="R216" s="8"/>
      <c r="S216" s="7"/>
      <c r="T216" s="9"/>
      <c r="U216" s="7"/>
      <c r="V216" s="8"/>
      <c r="W216" s="7"/>
      <c r="X216" s="7"/>
      <c r="Y216" s="8"/>
      <c r="Z216" s="7"/>
      <c r="AA216" s="8"/>
    </row>
    <row r="217" spans="4:27" ht="15" thickTop="1" thickBot="1">
      <c r="D217" s="65"/>
      <c r="E217" s="51" t="s">
        <v>503</v>
      </c>
      <c r="F217" s="7"/>
      <c r="G217" s="8"/>
      <c r="H217" s="7"/>
      <c r="I217" s="6"/>
      <c r="J217" s="7"/>
      <c r="K217" s="8"/>
      <c r="L217" s="7"/>
      <c r="M217" s="8"/>
      <c r="N217" s="7"/>
      <c r="O217" s="8"/>
      <c r="P217" s="7"/>
      <c r="Q217" s="7"/>
      <c r="R217" s="8"/>
      <c r="S217" s="7"/>
      <c r="T217" s="9"/>
      <c r="U217" s="7"/>
      <c r="V217" s="8"/>
      <c r="W217" s="7"/>
      <c r="X217" s="7"/>
      <c r="Y217" s="8"/>
      <c r="Z217" s="7"/>
      <c r="AA217" s="8"/>
    </row>
    <row r="218" spans="4:27" ht="15" thickTop="1" thickBot="1">
      <c r="D218" s="65"/>
      <c r="E218" s="51" t="s">
        <v>502</v>
      </c>
      <c r="F218" s="7"/>
      <c r="G218" s="8"/>
      <c r="H218" s="7"/>
      <c r="I218" s="6"/>
      <c r="J218" s="7"/>
      <c r="K218" s="8"/>
      <c r="L218" s="7"/>
      <c r="M218" s="8"/>
      <c r="N218" s="7"/>
      <c r="O218" s="8"/>
      <c r="P218" s="7"/>
      <c r="Q218" s="7"/>
      <c r="R218" s="8"/>
      <c r="S218" s="7"/>
      <c r="T218" s="9"/>
      <c r="U218" s="7"/>
      <c r="V218" s="8"/>
      <c r="W218" s="7"/>
      <c r="X218" s="7"/>
      <c r="Y218" s="8"/>
      <c r="Z218" s="7"/>
      <c r="AA218" s="8"/>
    </row>
    <row r="219" spans="4:27" ht="15" thickTop="1" thickBot="1">
      <c r="D219" s="65"/>
      <c r="E219" s="51" t="s">
        <v>909</v>
      </c>
      <c r="F219" s="7"/>
      <c r="G219" s="8"/>
      <c r="H219" s="7"/>
      <c r="I219" s="6"/>
      <c r="J219" s="7"/>
      <c r="K219" s="8"/>
      <c r="L219" s="7"/>
      <c r="M219" s="8"/>
      <c r="N219" s="7"/>
      <c r="O219" s="8"/>
      <c r="P219" s="7"/>
      <c r="Q219" s="7"/>
      <c r="R219" s="8"/>
      <c r="S219" s="7"/>
      <c r="T219" s="9"/>
      <c r="U219" s="7"/>
      <c r="V219" s="8"/>
      <c r="W219" s="7"/>
      <c r="X219" s="7"/>
      <c r="Y219" s="8"/>
      <c r="Z219" s="7"/>
      <c r="AA219" s="8"/>
    </row>
    <row r="220" spans="4:27" ht="15" thickTop="1" thickBot="1">
      <c r="D220" s="65"/>
      <c r="E220" s="51" t="s">
        <v>469</v>
      </c>
      <c r="F220" s="7"/>
      <c r="G220" s="8"/>
      <c r="H220" s="7"/>
      <c r="I220" s="6"/>
      <c r="J220" s="7"/>
      <c r="K220" s="8"/>
      <c r="L220" s="7"/>
      <c r="M220" s="8"/>
      <c r="N220" s="7"/>
      <c r="O220" s="8"/>
      <c r="P220" s="7"/>
      <c r="Q220" s="7"/>
      <c r="R220" s="8"/>
      <c r="S220" s="7"/>
      <c r="T220" s="9"/>
      <c r="U220" s="7"/>
      <c r="V220" s="8"/>
      <c r="W220" s="7"/>
      <c r="X220" s="7"/>
      <c r="Y220" s="8"/>
      <c r="Z220" s="7"/>
      <c r="AA220" s="8"/>
    </row>
    <row r="221" spans="4:27" ht="15" thickTop="1" thickBot="1">
      <c r="D221" s="65"/>
      <c r="E221" s="51" t="s">
        <v>902</v>
      </c>
      <c r="F221" s="7"/>
      <c r="G221" s="8"/>
      <c r="H221" s="7"/>
      <c r="I221" s="6"/>
      <c r="J221" s="7"/>
      <c r="K221" s="8"/>
      <c r="L221" s="7"/>
      <c r="M221" s="8"/>
      <c r="N221" s="7"/>
      <c r="O221" s="8"/>
      <c r="P221" s="7"/>
      <c r="Q221" s="7"/>
      <c r="R221" s="8"/>
      <c r="S221" s="7"/>
      <c r="T221" s="9"/>
      <c r="U221" s="7"/>
      <c r="V221" s="8"/>
      <c r="W221" s="7"/>
      <c r="X221" s="7"/>
      <c r="Y221" s="8"/>
      <c r="Z221" s="7"/>
      <c r="AA221" s="8"/>
    </row>
    <row r="222" spans="4:27" ht="15" thickTop="1" thickBot="1">
      <c r="D222" s="65"/>
      <c r="E222" s="51" t="s">
        <v>504</v>
      </c>
      <c r="F222" s="7"/>
      <c r="G222" s="8"/>
      <c r="H222" s="7"/>
      <c r="I222" s="6"/>
      <c r="J222" s="7"/>
      <c r="K222" s="8"/>
      <c r="L222" s="7"/>
      <c r="M222" s="8"/>
      <c r="N222" s="7"/>
      <c r="O222" s="8"/>
      <c r="P222" s="7"/>
      <c r="Q222" s="7"/>
      <c r="R222" s="8"/>
      <c r="S222" s="7"/>
      <c r="T222" s="9"/>
      <c r="U222" s="7"/>
      <c r="V222" s="8"/>
      <c r="W222" s="7"/>
      <c r="X222" s="7"/>
      <c r="Y222" s="8"/>
      <c r="Z222" s="7"/>
      <c r="AA222" s="8"/>
    </row>
    <row r="223" spans="4:27" ht="15" thickTop="1" thickBot="1">
      <c r="D223" s="65"/>
      <c r="E223" s="51" t="s">
        <v>488</v>
      </c>
      <c r="F223" s="7"/>
      <c r="G223" s="8"/>
      <c r="H223" s="7"/>
      <c r="I223" s="6"/>
      <c r="J223" s="7"/>
      <c r="K223" s="8"/>
      <c r="L223" s="7"/>
      <c r="M223" s="8"/>
      <c r="N223" s="7"/>
      <c r="O223" s="8"/>
      <c r="P223" s="7"/>
      <c r="Q223" s="7"/>
      <c r="R223" s="8"/>
      <c r="S223" s="7"/>
      <c r="T223" s="9"/>
      <c r="U223" s="7"/>
      <c r="V223" s="8"/>
      <c r="W223" s="7"/>
      <c r="X223" s="7"/>
      <c r="Y223" s="8"/>
      <c r="Z223" s="7"/>
      <c r="AA223" s="8"/>
    </row>
    <row r="224" spans="4:27" ht="15" thickTop="1" thickBot="1">
      <c r="D224" s="65"/>
      <c r="E224" s="51" t="s">
        <v>497</v>
      </c>
      <c r="F224" s="7"/>
      <c r="G224" s="8"/>
      <c r="H224" s="7"/>
      <c r="I224" s="6"/>
      <c r="J224" s="7"/>
      <c r="K224" s="8"/>
      <c r="L224" s="7"/>
      <c r="M224" s="8"/>
      <c r="N224" s="7"/>
      <c r="O224" s="8"/>
      <c r="P224" s="7"/>
      <c r="Q224" s="7"/>
      <c r="R224" s="8"/>
      <c r="S224" s="7"/>
      <c r="T224" s="9"/>
      <c r="U224" s="7"/>
      <c r="V224" s="8"/>
      <c r="W224" s="7"/>
      <c r="X224" s="7"/>
      <c r="Y224" s="8"/>
      <c r="Z224" s="7"/>
      <c r="AA224" s="8"/>
    </row>
    <row r="225" spans="4:27" ht="15" thickTop="1" thickBot="1">
      <c r="D225" s="65"/>
      <c r="E225" s="51" t="s">
        <v>880</v>
      </c>
      <c r="F225" s="7"/>
      <c r="G225" s="8"/>
      <c r="H225" s="7"/>
      <c r="I225" s="6"/>
      <c r="J225" s="7"/>
      <c r="K225" s="8"/>
      <c r="L225" s="7"/>
      <c r="M225" s="8"/>
      <c r="N225" s="7"/>
      <c r="O225" s="8"/>
      <c r="P225" s="7"/>
      <c r="Q225" s="7"/>
      <c r="R225" s="8"/>
      <c r="S225" s="7"/>
      <c r="T225" s="9"/>
      <c r="U225" s="7"/>
      <c r="V225" s="8"/>
      <c r="W225" s="7"/>
      <c r="X225" s="7"/>
      <c r="Y225" s="8"/>
      <c r="Z225" s="7"/>
      <c r="AA225" s="8"/>
    </row>
    <row r="226" spans="4:27" ht="15" thickTop="1" thickBot="1">
      <c r="D226" s="65"/>
      <c r="E226" s="51" t="s">
        <v>475</v>
      </c>
      <c r="F226" s="7"/>
      <c r="G226" s="8"/>
      <c r="H226" s="7"/>
      <c r="I226" s="6"/>
      <c r="J226" s="7"/>
      <c r="K226" s="8"/>
      <c r="L226" s="7"/>
      <c r="M226" s="8"/>
      <c r="N226" s="7"/>
      <c r="O226" s="8"/>
      <c r="P226" s="7"/>
      <c r="Q226" s="7"/>
      <c r="R226" s="8"/>
      <c r="S226" s="7"/>
      <c r="T226" s="9"/>
      <c r="U226" s="7"/>
      <c r="V226" s="8"/>
      <c r="W226" s="7"/>
      <c r="X226" s="7"/>
      <c r="Y226" s="8"/>
      <c r="Z226" s="7"/>
      <c r="AA226" s="8"/>
    </row>
    <row r="227" spans="4:27" ht="15" thickTop="1" thickBot="1">
      <c r="D227" s="65"/>
      <c r="E227" s="51" t="s">
        <v>907</v>
      </c>
      <c r="F227" s="7"/>
      <c r="G227" s="8"/>
      <c r="H227" s="7"/>
      <c r="I227" s="6"/>
      <c r="J227" s="7"/>
      <c r="K227" s="8"/>
      <c r="L227" s="7"/>
      <c r="M227" s="8"/>
      <c r="N227" s="7"/>
      <c r="O227" s="8"/>
      <c r="P227" s="7"/>
      <c r="Q227" s="7"/>
      <c r="R227" s="8"/>
      <c r="S227" s="7"/>
      <c r="T227" s="9"/>
      <c r="U227" s="7"/>
      <c r="V227" s="8"/>
      <c r="W227" s="7"/>
      <c r="X227" s="7"/>
      <c r="Y227" s="8"/>
      <c r="Z227" s="7"/>
      <c r="AA227" s="8"/>
    </row>
    <row r="228" spans="4:27" ht="15" thickTop="1" thickBot="1">
      <c r="D228" s="65"/>
      <c r="E228" s="51" t="s">
        <v>489</v>
      </c>
      <c r="F228" s="7"/>
      <c r="G228" s="8"/>
      <c r="H228" s="7"/>
      <c r="I228" s="6"/>
      <c r="J228" s="7"/>
      <c r="K228" s="8"/>
      <c r="L228" s="7"/>
      <c r="M228" s="8"/>
      <c r="N228" s="7"/>
      <c r="O228" s="8"/>
      <c r="P228" s="7"/>
      <c r="Q228" s="7"/>
      <c r="R228" s="8"/>
      <c r="S228" s="7"/>
      <c r="T228" s="9"/>
      <c r="U228" s="7"/>
      <c r="V228" s="8"/>
      <c r="W228" s="7"/>
      <c r="X228" s="7"/>
      <c r="Y228" s="8"/>
      <c r="Z228" s="7"/>
      <c r="AA228" s="8"/>
    </row>
    <row r="229" spans="4:27" ht="15" thickTop="1" thickBot="1">
      <c r="D229" s="65"/>
      <c r="E229" s="51" t="s">
        <v>493</v>
      </c>
      <c r="F229" s="7"/>
      <c r="G229" s="8"/>
      <c r="H229" s="7"/>
      <c r="I229" s="6"/>
      <c r="J229" s="7"/>
      <c r="K229" s="8"/>
      <c r="L229" s="7"/>
      <c r="M229" s="8"/>
      <c r="N229" s="7"/>
      <c r="O229" s="8"/>
      <c r="P229" s="7"/>
      <c r="Q229" s="7"/>
      <c r="R229" s="8"/>
      <c r="S229" s="7"/>
      <c r="T229" s="9"/>
      <c r="U229" s="7"/>
      <c r="V229" s="8"/>
      <c r="W229" s="7"/>
      <c r="X229" s="7"/>
      <c r="Y229" s="8"/>
      <c r="Z229" s="7"/>
      <c r="AA229" s="8"/>
    </row>
    <row r="230" spans="4:27" ht="15" thickTop="1" thickBot="1">
      <c r="D230" s="65"/>
      <c r="E230" s="51" t="s">
        <v>521</v>
      </c>
      <c r="F230" s="7"/>
      <c r="G230" s="8"/>
      <c r="H230" s="7"/>
      <c r="I230" s="6"/>
      <c r="J230" s="7"/>
      <c r="K230" s="8"/>
      <c r="L230" s="7"/>
      <c r="M230" s="8"/>
      <c r="N230" s="7"/>
      <c r="O230" s="8"/>
      <c r="P230" s="7"/>
      <c r="Q230" s="7"/>
      <c r="R230" s="8"/>
      <c r="S230" s="7"/>
      <c r="T230" s="9"/>
      <c r="U230" s="7"/>
      <c r="V230" s="8"/>
      <c r="W230" s="7"/>
      <c r="X230" s="7"/>
      <c r="Y230" s="8"/>
      <c r="Z230" s="7"/>
      <c r="AA230" s="8"/>
    </row>
    <row r="231" spans="4:27" ht="15" thickTop="1" thickBot="1">
      <c r="D231" s="65"/>
      <c r="E231" s="51" t="s">
        <v>506</v>
      </c>
      <c r="F231" s="7"/>
      <c r="G231" s="8"/>
      <c r="H231" s="7"/>
      <c r="I231" s="6"/>
      <c r="J231" s="7"/>
      <c r="K231" s="8"/>
      <c r="L231" s="7"/>
      <c r="M231" s="8"/>
      <c r="N231" s="7"/>
      <c r="O231" s="8"/>
      <c r="P231" s="7"/>
      <c r="Q231" s="7"/>
      <c r="R231" s="8"/>
      <c r="S231" s="7"/>
      <c r="T231" s="9"/>
      <c r="U231" s="7"/>
      <c r="V231" s="8"/>
      <c r="W231" s="7"/>
      <c r="X231" s="7"/>
      <c r="Y231" s="8"/>
      <c r="Z231" s="7"/>
      <c r="AA231" s="8"/>
    </row>
    <row r="232" spans="4:27" ht="15" thickTop="1" thickBot="1">
      <c r="D232" s="65"/>
      <c r="E232" s="51" t="s">
        <v>910</v>
      </c>
      <c r="F232" s="7"/>
      <c r="G232" s="8"/>
      <c r="H232" s="7"/>
      <c r="I232" s="6"/>
      <c r="J232" s="7"/>
      <c r="K232" s="8"/>
      <c r="L232" s="7"/>
      <c r="M232" s="8"/>
      <c r="N232" s="7"/>
      <c r="O232" s="8"/>
      <c r="P232" s="7"/>
      <c r="Q232" s="7"/>
      <c r="R232" s="8"/>
      <c r="S232" s="7"/>
      <c r="T232" s="9"/>
      <c r="U232" s="7"/>
      <c r="V232" s="8"/>
      <c r="W232" s="7"/>
      <c r="X232" s="7"/>
      <c r="Y232" s="8"/>
      <c r="Z232" s="7"/>
      <c r="AA232" s="8"/>
    </row>
    <row r="233" spans="4:27" ht="15" thickTop="1" thickBot="1">
      <c r="D233" s="65"/>
      <c r="E233" s="51" t="s">
        <v>883</v>
      </c>
      <c r="F233" s="7"/>
      <c r="G233" s="8"/>
      <c r="H233" s="7"/>
      <c r="I233" s="6"/>
      <c r="J233" s="7"/>
      <c r="K233" s="8"/>
      <c r="L233" s="7"/>
      <c r="M233" s="8"/>
      <c r="N233" s="7"/>
      <c r="O233" s="8"/>
      <c r="P233" s="7"/>
      <c r="Q233" s="7"/>
      <c r="R233" s="8"/>
      <c r="S233" s="7"/>
      <c r="T233" s="9"/>
      <c r="U233" s="7"/>
      <c r="V233" s="8"/>
      <c r="W233" s="7"/>
      <c r="X233" s="7"/>
      <c r="Y233" s="8"/>
      <c r="Z233" s="7"/>
      <c r="AA233" s="8"/>
    </row>
    <row r="234" spans="4:27" ht="15" thickTop="1" thickBot="1">
      <c r="D234" s="65"/>
      <c r="E234" s="51" t="s">
        <v>491</v>
      </c>
      <c r="F234" s="7"/>
      <c r="G234" s="8"/>
      <c r="H234" s="7"/>
      <c r="I234" s="6"/>
      <c r="J234" s="7"/>
      <c r="K234" s="8"/>
      <c r="L234" s="7"/>
      <c r="M234" s="8"/>
      <c r="N234" s="7"/>
      <c r="O234" s="8"/>
      <c r="P234" s="7"/>
      <c r="Q234" s="7"/>
      <c r="R234" s="8"/>
      <c r="S234" s="7"/>
      <c r="T234" s="9"/>
      <c r="U234" s="7"/>
      <c r="V234" s="8"/>
      <c r="W234" s="7"/>
      <c r="X234" s="7"/>
      <c r="Y234" s="8"/>
      <c r="Z234" s="7"/>
      <c r="AA234" s="8"/>
    </row>
    <row r="235" spans="4:27" ht="15" thickTop="1" thickBot="1">
      <c r="D235" s="65"/>
      <c r="E235" s="51" t="s">
        <v>496</v>
      </c>
      <c r="F235" s="7"/>
      <c r="G235" s="8"/>
      <c r="H235" s="7"/>
      <c r="I235" s="6"/>
      <c r="J235" s="7"/>
      <c r="K235" s="8"/>
      <c r="L235" s="7"/>
      <c r="M235" s="8"/>
      <c r="N235" s="7"/>
      <c r="O235" s="8"/>
      <c r="P235" s="7"/>
      <c r="Q235" s="7"/>
      <c r="R235" s="8"/>
      <c r="S235" s="7"/>
      <c r="T235" s="9"/>
      <c r="U235" s="7"/>
      <c r="V235" s="8"/>
      <c r="W235" s="7"/>
      <c r="X235" s="7"/>
      <c r="Y235" s="8"/>
      <c r="Z235" s="7"/>
      <c r="AA235" s="8"/>
    </row>
    <row r="236" spans="4:27" ht="15" thickTop="1" thickBot="1">
      <c r="D236" s="65"/>
      <c r="E236" s="51" t="s">
        <v>448</v>
      </c>
      <c r="F236" s="7"/>
      <c r="G236" s="8"/>
      <c r="H236" s="7"/>
      <c r="I236" s="6"/>
      <c r="J236" s="7"/>
      <c r="K236" s="8"/>
      <c r="L236" s="7"/>
      <c r="M236" s="8"/>
      <c r="N236" s="7"/>
      <c r="O236" s="8"/>
      <c r="P236" s="7"/>
      <c r="Q236" s="7"/>
      <c r="R236" s="8"/>
      <c r="S236" s="7"/>
      <c r="T236" s="9"/>
      <c r="U236" s="7"/>
      <c r="V236" s="8"/>
      <c r="W236" s="7"/>
      <c r="X236" s="7"/>
      <c r="Y236" s="8"/>
      <c r="Z236" s="7"/>
      <c r="AA236" s="8"/>
    </row>
    <row r="237" spans="4:27" ht="15" thickTop="1" thickBot="1">
      <c r="D237" s="65"/>
      <c r="E237" s="51" t="s">
        <v>449</v>
      </c>
      <c r="F237" s="7"/>
      <c r="G237" s="8"/>
      <c r="H237" s="7"/>
      <c r="I237" s="6"/>
      <c r="J237" s="7"/>
      <c r="K237" s="8"/>
      <c r="L237" s="7"/>
      <c r="M237" s="8"/>
      <c r="N237" s="7"/>
      <c r="O237" s="8"/>
      <c r="P237" s="7"/>
      <c r="Q237" s="7"/>
      <c r="R237" s="8"/>
      <c r="S237" s="7"/>
      <c r="T237" s="9"/>
      <c r="U237" s="7"/>
      <c r="V237" s="8"/>
      <c r="W237" s="7"/>
      <c r="X237" s="7"/>
      <c r="Y237" s="8"/>
      <c r="Z237" s="7"/>
      <c r="AA237" s="8"/>
    </row>
    <row r="238" spans="4:27" ht="15" thickTop="1" thickBot="1">
      <c r="D238" s="65"/>
      <c r="E238" s="51" t="s">
        <v>413</v>
      </c>
      <c r="F238" s="7"/>
      <c r="G238" s="8"/>
      <c r="H238" s="7"/>
      <c r="I238" s="6"/>
      <c r="J238" s="7"/>
      <c r="K238" s="8"/>
      <c r="L238" s="7"/>
      <c r="M238" s="8"/>
      <c r="N238" s="7"/>
      <c r="O238" s="8"/>
      <c r="P238" s="7"/>
      <c r="Q238" s="7"/>
      <c r="R238" s="8"/>
      <c r="S238" s="7"/>
      <c r="T238" s="9"/>
      <c r="U238" s="7"/>
      <c r="V238" s="8"/>
      <c r="W238" s="7"/>
      <c r="X238" s="7"/>
      <c r="Y238" s="8"/>
      <c r="Z238" s="7"/>
      <c r="AA238" s="8"/>
    </row>
    <row r="239" spans="4:27" ht="15" thickTop="1" thickBot="1">
      <c r="D239" s="65"/>
      <c r="E239" s="51" t="s">
        <v>836</v>
      </c>
      <c r="F239" s="7"/>
      <c r="G239" s="8"/>
      <c r="H239" s="7"/>
      <c r="I239" s="6"/>
      <c r="J239" s="7"/>
      <c r="K239" s="8"/>
      <c r="L239" s="7"/>
      <c r="M239" s="8"/>
      <c r="N239" s="7"/>
      <c r="O239" s="8"/>
      <c r="P239" s="7"/>
      <c r="Q239" s="7"/>
      <c r="R239" s="8"/>
      <c r="S239" s="7"/>
      <c r="T239" s="9"/>
      <c r="U239" s="7"/>
      <c r="V239" s="8"/>
      <c r="W239" s="7"/>
      <c r="X239" s="7"/>
      <c r="Y239" s="8"/>
      <c r="Z239" s="7"/>
      <c r="AA239" s="8"/>
    </row>
    <row r="240" spans="4:27" ht="15" thickTop="1" thickBot="1">
      <c r="D240" s="65"/>
      <c r="E240" s="51" t="s">
        <v>861</v>
      </c>
      <c r="F240" s="7"/>
      <c r="G240" s="8"/>
      <c r="H240" s="7"/>
      <c r="I240" s="6"/>
      <c r="J240" s="7"/>
      <c r="K240" s="8"/>
      <c r="L240" s="7"/>
      <c r="M240" s="8"/>
      <c r="N240" s="7"/>
      <c r="O240" s="8"/>
      <c r="P240" s="7"/>
      <c r="Q240" s="7"/>
      <c r="R240" s="8"/>
      <c r="S240" s="7"/>
      <c r="T240" s="9"/>
      <c r="U240" s="7"/>
      <c r="V240" s="8"/>
      <c r="W240" s="7"/>
      <c r="X240" s="7"/>
      <c r="Y240" s="8"/>
      <c r="Z240" s="7"/>
      <c r="AA240" s="8"/>
    </row>
    <row r="241" spans="4:27" ht="15" thickTop="1" thickBot="1">
      <c r="D241" s="65"/>
      <c r="E241" s="51" t="s">
        <v>1089</v>
      </c>
      <c r="F241" s="7"/>
      <c r="G241" s="8"/>
      <c r="H241" s="7"/>
      <c r="I241" s="6"/>
      <c r="J241" s="7"/>
      <c r="K241" s="8"/>
      <c r="L241" s="7"/>
      <c r="M241" s="8"/>
      <c r="N241" s="7"/>
      <c r="O241" s="8"/>
      <c r="P241" s="7"/>
      <c r="Q241" s="7"/>
      <c r="R241" s="8"/>
      <c r="S241" s="7"/>
      <c r="T241" s="9"/>
      <c r="U241" s="7"/>
      <c r="V241" s="8"/>
      <c r="W241" s="7"/>
      <c r="X241" s="7"/>
      <c r="Y241" s="8"/>
      <c r="Z241" s="7"/>
      <c r="AA241" s="8"/>
    </row>
    <row r="242" spans="4:27" ht="15" thickTop="1" thickBot="1">
      <c r="D242" s="65"/>
      <c r="E242" s="51" t="s">
        <v>424</v>
      </c>
      <c r="F242" s="7"/>
      <c r="G242" s="8"/>
      <c r="H242" s="7"/>
      <c r="I242" s="6"/>
      <c r="J242" s="7"/>
      <c r="K242" s="8"/>
      <c r="L242" s="7"/>
      <c r="M242" s="8"/>
      <c r="N242" s="7"/>
      <c r="O242" s="8"/>
      <c r="P242" s="7"/>
      <c r="Q242" s="7"/>
      <c r="R242" s="8"/>
      <c r="S242" s="7"/>
      <c r="T242" s="9"/>
      <c r="U242" s="7"/>
      <c r="V242" s="8"/>
      <c r="W242" s="7"/>
      <c r="X242" s="7"/>
      <c r="Y242" s="8"/>
      <c r="Z242" s="7"/>
      <c r="AA242" s="8"/>
    </row>
    <row r="243" spans="4:27" ht="15" thickTop="1" thickBot="1">
      <c r="D243" s="65"/>
      <c r="E243" s="51" t="s">
        <v>298</v>
      </c>
      <c r="F243" s="7"/>
      <c r="G243" s="8"/>
      <c r="H243" s="7"/>
      <c r="I243" s="6"/>
      <c r="J243" s="7"/>
      <c r="K243" s="8"/>
      <c r="L243" s="7"/>
      <c r="M243" s="8"/>
      <c r="N243" s="7"/>
      <c r="O243" s="8"/>
      <c r="P243" s="7"/>
      <c r="Q243" s="7"/>
      <c r="R243" s="8"/>
      <c r="S243" s="7"/>
      <c r="T243" s="9"/>
      <c r="U243" s="7"/>
      <c r="V243" s="8"/>
      <c r="W243" s="7"/>
      <c r="X243" s="7"/>
      <c r="Y243" s="8"/>
      <c r="Z243" s="7"/>
      <c r="AA243" s="8"/>
    </row>
    <row r="244" spans="4:27" ht="15" thickTop="1" thickBot="1">
      <c r="D244" s="65"/>
      <c r="E244" s="51" t="s">
        <v>443</v>
      </c>
      <c r="F244" s="7"/>
      <c r="G244" s="8"/>
      <c r="H244" s="7"/>
      <c r="I244" s="6"/>
      <c r="J244" s="7"/>
      <c r="K244" s="8"/>
      <c r="L244" s="7"/>
      <c r="M244" s="8"/>
      <c r="N244" s="7"/>
      <c r="O244" s="8"/>
      <c r="P244" s="7"/>
      <c r="Q244" s="7"/>
      <c r="R244" s="8"/>
      <c r="S244" s="7"/>
      <c r="T244" s="9"/>
      <c r="U244" s="7"/>
      <c r="V244" s="8"/>
      <c r="W244" s="7"/>
      <c r="X244" s="7"/>
      <c r="Y244" s="8"/>
      <c r="Z244" s="7"/>
      <c r="AA244" s="8"/>
    </row>
    <row r="245" spans="4:27" ht="15" thickTop="1" thickBot="1">
      <c r="D245" s="65"/>
      <c r="E245" s="51" t="s">
        <v>860</v>
      </c>
      <c r="F245" s="7"/>
      <c r="G245" s="8"/>
      <c r="H245" s="7"/>
      <c r="I245" s="6"/>
      <c r="J245" s="7"/>
      <c r="K245" s="8"/>
      <c r="L245" s="7"/>
      <c r="M245" s="8"/>
      <c r="N245" s="7"/>
      <c r="O245" s="8"/>
      <c r="P245" s="7"/>
      <c r="Q245" s="7"/>
      <c r="R245" s="8"/>
      <c r="S245" s="7"/>
      <c r="T245" s="9"/>
      <c r="U245" s="7"/>
      <c r="V245" s="8"/>
      <c r="W245" s="7"/>
      <c r="X245" s="7"/>
      <c r="Y245" s="8"/>
      <c r="Z245" s="7"/>
      <c r="AA245" s="8"/>
    </row>
    <row r="246" spans="4:27" ht="15" thickTop="1" thickBot="1">
      <c r="D246" s="65"/>
      <c r="E246" s="51" t="s">
        <v>862</v>
      </c>
      <c r="F246" s="7"/>
      <c r="G246" s="8"/>
      <c r="H246" s="7"/>
      <c r="I246" s="6"/>
      <c r="J246" s="7"/>
      <c r="K246" s="8"/>
      <c r="L246" s="7"/>
      <c r="M246" s="8"/>
      <c r="N246" s="7"/>
      <c r="O246" s="8"/>
      <c r="P246" s="7"/>
      <c r="Q246" s="7"/>
      <c r="R246" s="8"/>
      <c r="S246" s="7"/>
      <c r="T246" s="9"/>
      <c r="U246" s="7"/>
      <c r="V246" s="8"/>
      <c r="W246" s="7"/>
      <c r="X246" s="7"/>
      <c r="Y246" s="8"/>
      <c r="Z246" s="7"/>
      <c r="AA246" s="8"/>
    </row>
    <row r="247" spans="4:27" ht="15" thickTop="1" thickBot="1">
      <c r="D247" s="65"/>
      <c r="E247" s="51" t="s">
        <v>450</v>
      </c>
      <c r="F247" s="7"/>
      <c r="G247" s="8"/>
      <c r="H247" s="7"/>
      <c r="I247" s="6"/>
      <c r="J247" s="7"/>
      <c r="K247" s="8"/>
      <c r="L247" s="7"/>
      <c r="M247" s="8"/>
      <c r="N247" s="7"/>
      <c r="O247" s="8"/>
      <c r="P247" s="7"/>
      <c r="Q247" s="7"/>
      <c r="R247" s="8"/>
      <c r="S247" s="7"/>
      <c r="T247" s="9"/>
      <c r="U247" s="7"/>
      <c r="V247" s="8"/>
      <c r="W247" s="7"/>
      <c r="X247" s="7"/>
      <c r="Y247" s="8"/>
      <c r="Z247" s="7"/>
      <c r="AA247" s="8"/>
    </row>
    <row r="248" spans="4:27" ht="15" thickTop="1" thickBot="1">
      <c r="D248" s="65"/>
      <c r="E248" s="51" t="s">
        <v>865</v>
      </c>
      <c r="F248" s="7"/>
      <c r="G248" s="8"/>
      <c r="H248" s="7"/>
      <c r="I248" s="6"/>
      <c r="J248" s="7"/>
      <c r="K248" s="8"/>
      <c r="L248" s="7"/>
      <c r="M248" s="8"/>
      <c r="N248" s="7"/>
      <c r="O248" s="8"/>
      <c r="P248" s="7"/>
      <c r="Q248" s="7"/>
      <c r="R248" s="8"/>
      <c r="S248" s="7"/>
      <c r="T248" s="9"/>
      <c r="U248" s="7"/>
      <c r="V248" s="8"/>
      <c r="W248" s="7"/>
      <c r="X248" s="7"/>
      <c r="Y248" s="8"/>
      <c r="Z248" s="7"/>
      <c r="AA248" s="8"/>
    </row>
    <row r="249" spans="4:27" ht="15" thickTop="1" thickBot="1">
      <c r="D249" s="65"/>
      <c r="E249" s="51" t="s">
        <v>447</v>
      </c>
      <c r="F249" s="7"/>
      <c r="G249" s="8"/>
      <c r="H249" s="7"/>
      <c r="I249" s="6"/>
      <c r="J249" s="7"/>
      <c r="K249" s="8"/>
      <c r="L249" s="7"/>
      <c r="M249" s="8"/>
      <c r="N249" s="7"/>
      <c r="O249" s="8"/>
      <c r="P249" s="7"/>
      <c r="Q249" s="7"/>
      <c r="R249" s="8"/>
      <c r="S249" s="7"/>
      <c r="T249" s="9"/>
      <c r="U249" s="7"/>
      <c r="V249" s="8"/>
      <c r="W249" s="7"/>
      <c r="X249" s="7"/>
      <c r="Y249" s="8"/>
      <c r="Z249" s="7"/>
      <c r="AA249" s="8"/>
    </row>
    <row r="250" spans="4:27" ht="15" thickTop="1" thickBot="1">
      <c r="D250" s="65"/>
      <c r="E250" s="51" t="s">
        <v>445</v>
      </c>
      <c r="F250" s="7"/>
      <c r="G250" s="8"/>
      <c r="H250" s="7"/>
      <c r="I250" s="6"/>
      <c r="J250" s="7"/>
      <c r="K250" s="8"/>
      <c r="L250" s="7"/>
      <c r="M250" s="8"/>
      <c r="N250" s="7"/>
      <c r="O250" s="8"/>
      <c r="P250" s="7"/>
      <c r="Q250" s="7"/>
      <c r="R250" s="8"/>
      <c r="S250" s="7"/>
      <c r="T250" s="9"/>
      <c r="U250" s="7"/>
      <c r="V250" s="8"/>
      <c r="W250" s="7"/>
      <c r="X250" s="7"/>
      <c r="Y250" s="8"/>
      <c r="Z250" s="7"/>
      <c r="AA250" s="8"/>
    </row>
    <row r="251" spans="4:27" ht="15" thickTop="1" thickBot="1">
      <c r="D251" s="65"/>
      <c r="E251" s="51" t="s">
        <v>442</v>
      </c>
      <c r="F251" s="7"/>
      <c r="G251" s="8"/>
      <c r="H251" s="7"/>
      <c r="I251" s="6"/>
      <c r="J251" s="7"/>
      <c r="K251" s="8"/>
      <c r="L251" s="7"/>
      <c r="M251" s="8"/>
      <c r="N251" s="7"/>
      <c r="O251" s="8"/>
      <c r="P251" s="7"/>
      <c r="Q251" s="7"/>
      <c r="R251" s="8"/>
      <c r="S251" s="7"/>
      <c r="T251" s="9"/>
      <c r="U251" s="7"/>
      <c r="V251" s="8"/>
      <c r="W251" s="7"/>
      <c r="X251" s="7"/>
      <c r="Y251" s="8"/>
      <c r="Z251" s="7"/>
      <c r="AA251" s="8"/>
    </row>
    <row r="252" spans="4:27" ht="15" thickTop="1" thickBot="1">
      <c r="D252" s="65"/>
      <c r="E252" s="51" t="s">
        <v>441</v>
      </c>
      <c r="F252" s="7"/>
      <c r="G252" s="8"/>
      <c r="H252" s="7"/>
      <c r="I252" s="6"/>
      <c r="J252" s="7"/>
      <c r="K252" s="8"/>
      <c r="L252" s="7"/>
      <c r="M252" s="8"/>
      <c r="N252" s="7"/>
      <c r="O252" s="8"/>
      <c r="P252" s="7"/>
      <c r="Q252" s="7"/>
      <c r="R252" s="8"/>
      <c r="S252" s="7"/>
      <c r="T252" s="9"/>
      <c r="U252" s="7"/>
      <c r="V252" s="8"/>
      <c r="W252" s="7"/>
      <c r="X252" s="7"/>
      <c r="Y252" s="8"/>
      <c r="Z252" s="7"/>
      <c r="AA252" s="8"/>
    </row>
    <row r="253" spans="4:27" ht="15" thickTop="1" thickBot="1">
      <c r="D253" s="65"/>
      <c r="E253" s="51" t="s">
        <v>436</v>
      </c>
      <c r="F253" s="7"/>
      <c r="G253" s="8"/>
      <c r="H253" s="7"/>
      <c r="I253" s="6"/>
      <c r="J253" s="7"/>
      <c r="K253" s="8"/>
      <c r="L253" s="7"/>
      <c r="M253" s="8"/>
      <c r="N253" s="7"/>
      <c r="O253" s="8"/>
      <c r="P253" s="7"/>
      <c r="Q253" s="7"/>
      <c r="R253" s="8"/>
      <c r="S253" s="7"/>
      <c r="T253" s="9"/>
      <c r="U253" s="7"/>
      <c r="V253" s="8"/>
      <c r="W253" s="7"/>
      <c r="X253" s="7"/>
      <c r="Y253" s="8"/>
      <c r="Z253" s="7"/>
      <c r="AA253" s="8"/>
    </row>
    <row r="254" spans="4:27" ht="15" thickTop="1" thickBot="1">
      <c r="D254" s="65"/>
      <c r="E254" s="51" t="s">
        <v>866</v>
      </c>
      <c r="F254" s="7"/>
      <c r="G254" s="8"/>
      <c r="H254" s="7"/>
      <c r="I254" s="6"/>
      <c r="J254" s="7"/>
      <c r="K254" s="8"/>
      <c r="L254" s="7"/>
      <c r="M254" s="8"/>
      <c r="N254" s="7"/>
      <c r="O254" s="8"/>
      <c r="P254" s="7"/>
      <c r="Q254" s="7"/>
      <c r="R254" s="8"/>
      <c r="S254" s="7"/>
      <c r="T254" s="9"/>
      <c r="U254" s="7"/>
      <c r="V254" s="8"/>
      <c r="W254" s="7"/>
      <c r="X254" s="7"/>
      <c r="Y254" s="8"/>
      <c r="Z254" s="7"/>
      <c r="AA254" s="8"/>
    </row>
    <row r="255" spans="4:27" ht="15" thickTop="1" thickBot="1">
      <c r="D255" s="65"/>
      <c r="E255" s="51" t="s">
        <v>864</v>
      </c>
      <c r="F255" s="7"/>
      <c r="G255" s="8"/>
      <c r="H255" s="7"/>
      <c r="I255" s="6"/>
      <c r="J255" s="7"/>
      <c r="K255" s="8"/>
      <c r="L255" s="7"/>
      <c r="M255" s="8"/>
      <c r="N255" s="7"/>
      <c r="O255" s="8"/>
      <c r="P255" s="7"/>
      <c r="Q255" s="7"/>
      <c r="R255" s="8"/>
      <c r="S255" s="7"/>
      <c r="T255" s="9"/>
      <c r="U255" s="7"/>
      <c r="V255" s="8"/>
      <c r="W255" s="7"/>
      <c r="X255" s="7"/>
      <c r="Y255" s="8"/>
      <c r="Z255" s="7"/>
      <c r="AA255" s="8"/>
    </row>
    <row r="256" spans="4:27" ht="15" thickTop="1" thickBot="1">
      <c r="D256" s="65"/>
      <c r="E256" s="51" t="s">
        <v>841</v>
      </c>
      <c r="F256" s="7"/>
      <c r="G256" s="8"/>
      <c r="H256" s="7"/>
      <c r="I256" s="6"/>
      <c r="J256" s="7"/>
      <c r="K256" s="8"/>
      <c r="L256" s="7"/>
      <c r="M256" s="8"/>
      <c r="N256" s="7"/>
      <c r="O256" s="8"/>
      <c r="P256" s="7"/>
      <c r="Q256" s="7"/>
      <c r="R256" s="8"/>
      <c r="S256" s="7"/>
      <c r="T256" s="9"/>
      <c r="U256" s="7"/>
      <c r="V256" s="8"/>
      <c r="W256" s="7"/>
      <c r="X256" s="7"/>
      <c r="Y256" s="8"/>
      <c r="Z256" s="7"/>
      <c r="AA256" s="8"/>
    </row>
    <row r="257" spans="4:27" ht="15" thickTop="1" thickBot="1">
      <c r="D257" s="65"/>
      <c r="E257" s="51" t="s">
        <v>835</v>
      </c>
      <c r="F257" s="7"/>
      <c r="G257" s="8"/>
      <c r="H257" s="7"/>
      <c r="I257" s="6"/>
      <c r="J257" s="7"/>
      <c r="K257" s="8"/>
      <c r="L257" s="7"/>
      <c r="M257" s="8"/>
      <c r="N257" s="7"/>
      <c r="O257" s="8"/>
      <c r="P257" s="7"/>
      <c r="Q257" s="7"/>
      <c r="R257" s="8"/>
      <c r="S257" s="7"/>
      <c r="T257" s="9"/>
      <c r="U257" s="7"/>
      <c r="V257" s="8"/>
      <c r="W257" s="7"/>
      <c r="X257" s="7"/>
      <c r="Y257" s="8"/>
      <c r="Z257" s="7"/>
      <c r="AA257" s="8"/>
    </row>
    <row r="258" spans="4:27" ht="15" thickTop="1" thickBot="1">
      <c r="D258" s="65"/>
      <c r="E258" s="51" t="s">
        <v>837</v>
      </c>
      <c r="F258" s="7"/>
      <c r="G258" s="8"/>
      <c r="H258" s="7"/>
      <c r="I258" s="6"/>
      <c r="J258" s="7"/>
      <c r="K258" s="8"/>
      <c r="L258" s="7"/>
      <c r="M258" s="8"/>
      <c r="N258" s="7"/>
      <c r="O258" s="8"/>
      <c r="P258" s="7"/>
      <c r="Q258" s="7"/>
      <c r="R258" s="8"/>
      <c r="S258" s="7"/>
      <c r="T258" s="9"/>
      <c r="U258" s="7"/>
      <c r="V258" s="8"/>
      <c r="W258" s="7"/>
      <c r="X258" s="7"/>
      <c r="Y258" s="8"/>
      <c r="Z258" s="7"/>
      <c r="AA258" s="8"/>
    </row>
    <row r="259" spans="4:27" ht="15" thickTop="1" thickBot="1">
      <c r="D259" s="65"/>
      <c r="E259" s="51" t="s">
        <v>838</v>
      </c>
      <c r="F259" s="7"/>
      <c r="G259" s="8"/>
      <c r="H259" s="7"/>
      <c r="I259" s="6"/>
      <c r="J259" s="7"/>
      <c r="K259" s="8"/>
      <c r="L259" s="7"/>
      <c r="M259" s="8"/>
      <c r="N259" s="7"/>
      <c r="O259" s="8"/>
      <c r="P259" s="7"/>
      <c r="Q259" s="7"/>
      <c r="R259" s="8"/>
      <c r="S259" s="7"/>
      <c r="T259" s="9"/>
      <c r="U259" s="7"/>
      <c r="V259" s="8"/>
      <c r="W259" s="7"/>
      <c r="X259" s="7"/>
      <c r="Y259" s="8"/>
      <c r="Z259" s="7"/>
      <c r="AA259" s="8"/>
    </row>
    <row r="260" spans="4:27" ht="15" thickTop="1" thickBot="1">
      <c r="D260" s="65"/>
      <c r="E260" s="51" t="s">
        <v>869</v>
      </c>
      <c r="F260" s="7"/>
      <c r="G260" s="8"/>
      <c r="H260" s="7"/>
      <c r="I260" s="6"/>
      <c r="J260" s="7"/>
      <c r="K260" s="8"/>
      <c r="L260" s="7"/>
      <c r="M260" s="8"/>
      <c r="N260" s="7"/>
      <c r="O260" s="8"/>
      <c r="P260" s="7"/>
      <c r="Q260" s="7"/>
      <c r="R260" s="8"/>
      <c r="S260" s="7"/>
      <c r="T260" s="9"/>
      <c r="U260" s="7"/>
      <c r="V260" s="8"/>
      <c r="W260" s="7"/>
      <c r="X260" s="7"/>
      <c r="Y260" s="8"/>
      <c r="Z260" s="7"/>
      <c r="AA260" s="8"/>
    </row>
    <row r="261" spans="4:27" ht="15" thickTop="1" thickBot="1">
      <c r="D261" s="65"/>
      <c r="E261" s="51" t="s">
        <v>839</v>
      </c>
      <c r="F261" s="7"/>
      <c r="G261" s="8"/>
      <c r="H261" s="7"/>
      <c r="I261" s="6"/>
      <c r="J261" s="7"/>
      <c r="K261" s="8"/>
      <c r="L261" s="7"/>
      <c r="M261" s="8"/>
      <c r="N261" s="7"/>
      <c r="O261" s="8"/>
      <c r="P261" s="7"/>
      <c r="Q261" s="7"/>
      <c r="R261" s="8"/>
      <c r="S261" s="7"/>
      <c r="T261" s="9"/>
      <c r="U261" s="7"/>
      <c r="V261" s="8"/>
      <c r="W261" s="7"/>
      <c r="X261" s="7"/>
      <c r="Y261" s="8"/>
      <c r="Z261" s="7"/>
      <c r="AA261" s="8"/>
    </row>
    <row r="262" spans="4:27" ht="15" thickTop="1" thickBot="1">
      <c r="D262" s="65"/>
      <c r="E262" s="51" t="s">
        <v>840</v>
      </c>
      <c r="F262" s="7"/>
      <c r="G262" s="8"/>
      <c r="H262" s="7"/>
      <c r="I262" s="6"/>
      <c r="J262" s="7"/>
      <c r="K262" s="8"/>
      <c r="L262" s="7"/>
      <c r="M262" s="8"/>
      <c r="N262" s="7"/>
      <c r="O262" s="8"/>
      <c r="P262" s="7"/>
      <c r="Q262" s="7"/>
      <c r="R262" s="8"/>
      <c r="S262" s="7"/>
      <c r="T262" s="9"/>
      <c r="U262" s="7"/>
      <c r="V262" s="8"/>
      <c r="W262" s="7"/>
      <c r="X262" s="7"/>
      <c r="Y262" s="8"/>
      <c r="Z262" s="7"/>
      <c r="AA262" s="8"/>
    </row>
    <row r="263" spans="4:27" ht="15" thickTop="1" thickBot="1">
      <c r="D263" s="65"/>
      <c r="E263" s="51" t="s">
        <v>418</v>
      </c>
      <c r="F263" s="7"/>
      <c r="G263" s="8"/>
      <c r="H263" s="7"/>
      <c r="I263" s="6"/>
      <c r="J263" s="7"/>
      <c r="K263" s="8"/>
      <c r="L263" s="7"/>
      <c r="M263" s="8"/>
      <c r="N263" s="7"/>
      <c r="O263" s="8"/>
      <c r="P263" s="7"/>
      <c r="Q263" s="7"/>
      <c r="R263" s="8"/>
      <c r="S263" s="7"/>
      <c r="T263" s="9"/>
      <c r="U263" s="7"/>
      <c r="V263" s="8"/>
      <c r="W263" s="7"/>
      <c r="X263" s="7"/>
      <c r="Y263" s="8"/>
      <c r="Z263" s="7"/>
      <c r="AA263" s="8"/>
    </row>
    <row r="264" spans="4:27" ht="15" thickTop="1" thickBot="1">
      <c r="D264" s="65"/>
      <c r="E264" s="51" t="s">
        <v>439</v>
      </c>
      <c r="F264" s="7"/>
      <c r="G264" s="8"/>
      <c r="H264" s="7"/>
      <c r="I264" s="6"/>
      <c r="J264" s="7"/>
      <c r="K264" s="8"/>
      <c r="L264" s="7"/>
      <c r="M264" s="8"/>
      <c r="N264" s="7"/>
      <c r="O264" s="8"/>
      <c r="P264" s="7"/>
      <c r="Q264" s="7"/>
      <c r="R264" s="8"/>
      <c r="S264" s="7"/>
      <c r="T264" s="9"/>
      <c r="U264" s="7"/>
      <c r="V264" s="8"/>
      <c r="W264" s="7"/>
      <c r="X264" s="7"/>
      <c r="Y264" s="8"/>
      <c r="Z264" s="7"/>
      <c r="AA264" s="8"/>
    </row>
    <row r="265" spans="4:27" ht="15" thickTop="1" thickBot="1">
      <c r="D265" s="65"/>
      <c r="E265" s="51" t="s">
        <v>433</v>
      </c>
      <c r="F265" s="7"/>
      <c r="G265" s="8"/>
      <c r="H265" s="7"/>
      <c r="I265" s="6"/>
      <c r="J265" s="7"/>
      <c r="K265" s="8"/>
      <c r="L265" s="7"/>
      <c r="M265" s="8"/>
      <c r="N265" s="7"/>
      <c r="O265" s="8"/>
      <c r="P265" s="7"/>
      <c r="Q265" s="7"/>
      <c r="R265" s="8"/>
      <c r="S265" s="7"/>
      <c r="T265" s="9"/>
      <c r="U265" s="7"/>
      <c r="V265" s="8"/>
      <c r="W265" s="7"/>
      <c r="X265" s="7"/>
      <c r="Y265" s="8"/>
      <c r="Z265" s="7"/>
      <c r="AA265" s="8"/>
    </row>
    <row r="266" spans="4:27" ht="15" thickTop="1" thickBot="1">
      <c r="D266" s="65"/>
      <c r="E266" s="51" t="s">
        <v>416</v>
      </c>
      <c r="F266" s="7"/>
      <c r="G266" s="8"/>
      <c r="H266" s="7"/>
      <c r="I266" s="6"/>
      <c r="J266" s="7"/>
      <c r="K266" s="8"/>
      <c r="L266" s="7"/>
      <c r="M266" s="8"/>
      <c r="N266" s="7"/>
      <c r="O266" s="8"/>
      <c r="P266" s="7"/>
      <c r="Q266" s="7"/>
      <c r="R266" s="8"/>
      <c r="S266" s="7"/>
      <c r="T266" s="9"/>
      <c r="U266" s="7"/>
      <c r="V266" s="8"/>
      <c r="W266" s="7"/>
      <c r="X266" s="7"/>
      <c r="Y266" s="8"/>
      <c r="Z266" s="7"/>
      <c r="AA266" s="8"/>
    </row>
    <row r="267" spans="4:27" ht="15" thickTop="1" thickBot="1">
      <c r="D267" s="65"/>
      <c r="E267" s="51" t="s">
        <v>420</v>
      </c>
      <c r="F267" s="7"/>
      <c r="G267" s="8"/>
      <c r="H267" s="7"/>
      <c r="I267" s="6"/>
      <c r="J267" s="7"/>
      <c r="K267" s="8"/>
      <c r="L267" s="7"/>
      <c r="M267" s="8"/>
      <c r="N267" s="7"/>
      <c r="O267" s="8"/>
      <c r="P267" s="7"/>
      <c r="Q267" s="7"/>
      <c r="R267" s="8"/>
      <c r="S267" s="7"/>
      <c r="T267" s="9"/>
      <c r="U267" s="7"/>
      <c r="V267" s="8"/>
      <c r="W267" s="7"/>
      <c r="X267" s="7"/>
      <c r="Y267" s="8"/>
      <c r="Z267" s="7"/>
      <c r="AA267" s="8"/>
    </row>
    <row r="268" spans="4:27" ht="15" thickTop="1" thickBot="1">
      <c r="D268" s="65"/>
      <c r="E268" s="51" t="s">
        <v>852</v>
      </c>
      <c r="F268" s="7"/>
      <c r="G268" s="8"/>
      <c r="H268" s="7"/>
      <c r="I268" s="6"/>
      <c r="J268" s="7"/>
      <c r="K268" s="8"/>
      <c r="L268" s="7"/>
      <c r="M268" s="8"/>
      <c r="N268" s="7"/>
      <c r="O268" s="8"/>
      <c r="P268" s="7"/>
      <c r="Q268" s="7"/>
      <c r="R268" s="8"/>
      <c r="S268" s="7"/>
      <c r="T268" s="9"/>
      <c r="U268" s="7"/>
      <c r="V268" s="8"/>
      <c r="W268" s="7"/>
      <c r="X268" s="7"/>
      <c r="Y268" s="8"/>
      <c r="Z268" s="7"/>
      <c r="AA268" s="8"/>
    </row>
    <row r="269" spans="4:27" ht="15" thickTop="1" thickBot="1">
      <c r="D269" s="65"/>
      <c r="E269" s="51" t="s">
        <v>859</v>
      </c>
      <c r="F269" s="7"/>
      <c r="G269" s="8"/>
      <c r="H269" s="7"/>
      <c r="I269" s="6"/>
      <c r="J269" s="7"/>
      <c r="K269" s="8"/>
      <c r="L269" s="7"/>
      <c r="M269" s="8"/>
      <c r="N269" s="7"/>
      <c r="O269" s="8"/>
      <c r="P269" s="7"/>
      <c r="Q269" s="7"/>
      <c r="R269" s="8"/>
      <c r="S269" s="7"/>
      <c r="T269" s="9"/>
      <c r="U269" s="7"/>
      <c r="V269" s="8"/>
      <c r="W269" s="7"/>
      <c r="X269" s="7"/>
      <c r="Y269" s="8"/>
      <c r="Z269" s="7"/>
      <c r="AA269" s="8"/>
    </row>
    <row r="270" spans="4:27" ht="15" thickTop="1" thickBot="1">
      <c r="D270" s="65"/>
      <c r="E270" s="51" t="s">
        <v>1281</v>
      </c>
      <c r="F270" s="7"/>
      <c r="G270" s="8"/>
      <c r="H270" s="7"/>
      <c r="I270" s="6"/>
      <c r="J270" s="7"/>
      <c r="K270" s="8"/>
      <c r="L270" s="7"/>
      <c r="M270" s="8"/>
      <c r="N270" s="7"/>
      <c r="O270" s="8"/>
      <c r="P270" s="7"/>
      <c r="Q270" s="7"/>
      <c r="R270" s="8"/>
      <c r="S270" s="7"/>
      <c r="T270" s="9"/>
      <c r="U270" s="7"/>
      <c r="V270" s="8"/>
      <c r="W270" s="7"/>
      <c r="X270" s="7"/>
      <c r="Y270" s="8"/>
      <c r="Z270" s="7"/>
      <c r="AA270" s="8"/>
    </row>
    <row r="271" spans="4:27" ht="15" thickTop="1" thickBot="1">
      <c r="D271" s="65"/>
      <c r="E271" s="51" t="s">
        <v>438</v>
      </c>
      <c r="F271" s="7"/>
      <c r="G271" s="8"/>
      <c r="H271" s="7"/>
      <c r="I271" s="6"/>
      <c r="J271" s="7"/>
      <c r="K271" s="8"/>
      <c r="L271" s="7"/>
      <c r="M271" s="8"/>
      <c r="N271" s="7"/>
      <c r="O271" s="8"/>
      <c r="P271" s="7"/>
      <c r="Q271" s="7"/>
      <c r="R271" s="8"/>
      <c r="S271" s="7"/>
      <c r="T271" s="9"/>
      <c r="U271" s="7"/>
      <c r="V271" s="8"/>
      <c r="W271" s="7"/>
      <c r="X271" s="7"/>
      <c r="Y271" s="8"/>
      <c r="Z271" s="7"/>
      <c r="AA271" s="8"/>
    </row>
    <row r="272" spans="4:27" ht="15" thickTop="1" thickBot="1">
      <c r="D272" s="65"/>
      <c r="E272" s="51" t="s">
        <v>1082</v>
      </c>
      <c r="F272" s="7"/>
      <c r="G272" s="8"/>
      <c r="H272" s="7"/>
      <c r="I272" s="6"/>
      <c r="J272" s="7"/>
      <c r="K272" s="8"/>
      <c r="L272" s="7"/>
      <c r="M272" s="8"/>
      <c r="N272" s="7"/>
      <c r="O272" s="8"/>
      <c r="P272" s="7"/>
      <c r="Q272" s="7"/>
      <c r="R272" s="8"/>
      <c r="S272" s="7"/>
      <c r="T272" s="9"/>
      <c r="U272" s="7"/>
      <c r="V272" s="8"/>
      <c r="W272" s="7"/>
      <c r="X272" s="7"/>
      <c r="Y272" s="8"/>
      <c r="Z272" s="7"/>
      <c r="AA272" s="8"/>
    </row>
    <row r="273" spans="4:27" ht="15" thickTop="1" thickBot="1">
      <c r="D273" s="65"/>
      <c r="E273" s="51" t="s">
        <v>1282</v>
      </c>
      <c r="F273" s="7"/>
      <c r="G273" s="8"/>
      <c r="H273" s="7"/>
      <c r="I273" s="6"/>
      <c r="J273" s="7"/>
      <c r="K273" s="8"/>
      <c r="L273" s="7"/>
      <c r="M273" s="8"/>
      <c r="N273" s="7"/>
      <c r="O273" s="8"/>
      <c r="P273" s="7"/>
      <c r="Q273" s="7"/>
      <c r="R273" s="8"/>
      <c r="S273" s="7"/>
      <c r="T273" s="9"/>
      <c r="U273" s="7"/>
      <c r="V273" s="8"/>
      <c r="W273" s="7"/>
      <c r="X273" s="7"/>
      <c r="Y273" s="8"/>
      <c r="Z273" s="7"/>
      <c r="AA273" s="8"/>
    </row>
    <row r="274" spans="4:27" ht="15" thickTop="1" thickBot="1">
      <c r="D274" s="65"/>
      <c r="E274" s="51" t="s">
        <v>186</v>
      </c>
      <c r="F274" s="7"/>
      <c r="G274" s="8"/>
      <c r="H274" s="7"/>
      <c r="I274" s="6"/>
      <c r="J274" s="7"/>
      <c r="K274" s="8"/>
      <c r="L274" s="7"/>
      <c r="M274" s="8"/>
      <c r="N274" s="7"/>
      <c r="O274" s="8"/>
      <c r="P274" s="7"/>
      <c r="Q274" s="7"/>
      <c r="R274" s="8"/>
      <c r="S274" s="7"/>
      <c r="T274" s="9"/>
      <c r="U274" s="7"/>
      <c r="V274" s="8"/>
      <c r="W274" s="7"/>
      <c r="X274" s="7"/>
      <c r="Y274" s="8"/>
      <c r="Z274" s="7"/>
      <c r="AA274" s="8"/>
    </row>
    <row r="275" spans="4:27" ht="15" thickTop="1" thickBot="1">
      <c r="D275" s="65"/>
      <c r="E275" s="51" t="s">
        <v>1090</v>
      </c>
      <c r="F275" s="7"/>
      <c r="G275" s="8"/>
      <c r="H275" s="7"/>
      <c r="I275" s="6"/>
      <c r="J275" s="7"/>
      <c r="K275" s="8"/>
      <c r="L275" s="7"/>
      <c r="M275" s="8"/>
      <c r="N275" s="7"/>
      <c r="O275" s="8"/>
      <c r="P275" s="7"/>
      <c r="Q275" s="7"/>
      <c r="R275" s="8"/>
      <c r="S275" s="7"/>
      <c r="T275" s="9"/>
      <c r="U275" s="7"/>
      <c r="V275" s="8"/>
      <c r="W275" s="7"/>
      <c r="X275" s="7"/>
      <c r="Y275" s="8"/>
      <c r="Z275" s="7"/>
      <c r="AA275" s="8"/>
    </row>
    <row r="276" spans="4:27" ht="15" thickTop="1" thickBot="1">
      <c r="D276" s="65"/>
      <c r="E276" s="51" t="s">
        <v>190</v>
      </c>
      <c r="F276" s="7"/>
      <c r="G276" s="8"/>
      <c r="H276" s="7"/>
      <c r="I276" s="6"/>
      <c r="J276" s="7"/>
      <c r="K276" s="8"/>
      <c r="L276" s="7"/>
      <c r="M276" s="8"/>
      <c r="N276" s="7"/>
      <c r="O276" s="8"/>
      <c r="P276" s="7"/>
      <c r="Q276" s="7"/>
      <c r="R276" s="8"/>
      <c r="S276" s="7"/>
      <c r="T276" s="9"/>
      <c r="U276" s="7"/>
      <c r="V276" s="8"/>
      <c r="W276" s="7"/>
      <c r="X276" s="7"/>
      <c r="Y276" s="8"/>
      <c r="Z276" s="7"/>
      <c r="AA276" s="8"/>
    </row>
    <row r="277" spans="4:27" ht="15" thickTop="1" thickBot="1">
      <c r="D277" s="65"/>
      <c r="E277" s="51" t="s">
        <v>191</v>
      </c>
      <c r="F277" s="7"/>
      <c r="G277" s="8"/>
      <c r="H277" s="7"/>
      <c r="I277" s="6"/>
      <c r="J277" s="7"/>
      <c r="K277" s="8"/>
      <c r="L277" s="7"/>
      <c r="M277" s="8"/>
      <c r="N277" s="7"/>
      <c r="O277" s="8"/>
      <c r="P277" s="7"/>
      <c r="Q277" s="7"/>
      <c r="R277" s="8"/>
      <c r="S277" s="7"/>
      <c r="T277" s="9"/>
      <c r="U277" s="7"/>
      <c r="V277" s="8"/>
      <c r="W277" s="7"/>
      <c r="X277" s="7"/>
      <c r="Y277" s="8"/>
      <c r="Z277" s="7"/>
      <c r="AA277" s="8"/>
    </row>
    <row r="278" spans="4:27" ht="15" thickTop="1" thickBot="1">
      <c r="D278" s="65"/>
      <c r="E278" s="51" t="s">
        <v>193</v>
      </c>
      <c r="F278" s="7"/>
      <c r="G278" s="8"/>
      <c r="H278" s="7"/>
      <c r="I278" s="6"/>
      <c r="J278" s="7"/>
      <c r="K278" s="8"/>
      <c r="L278" s="7"/>
      <c r="M278" s="8"/>
      <c r="N278" s="7"/>
      <c r="O278" s="8"/>
      <c r="P278" s="7"/>
      <c r="Q278" s="7"/>
      <c r="R278" s="8"/>
      <c r="S278" s="7"/>
      <c r="T278" s="9"/>
      <c r="U278" s="7"/>
      <c r="V278" s="8"/>
      <c r="W278" s="7"/>
      <c r="X278" s="7"/>
      <c r="Y278" s="8"/>
      <c r="Z278" s="7"/>
      <c r="AA278" s="8"/>
    </row>
    <row r="279" spans="4:27" ht="15" thickTop="1" thickBot="1">
      <c r="D279" s="65"/>
      <c r="E279" s="51" t="s">
        <v>1283</v>
      </c>
      <c r="F279" s="7"/>
      <c r="G279" s="8"/>
      <c r="H279" s="7"/>
      <c r="I279" s="6"/>
      <c r="J279" s="7"/>
      <c r="K279" s="8"/>
      <c r="L279" s="7"/>
      <c r="M279" s="8"/>
      <c r="N279" s="7"/>
      <c r="O279" s="8"/>
      <c r="P279" s="7"/>
      <c r="Q279" s="7"/>
      <c r="R279" s="8"/>
      <c r="S279" s="7"/>
      <c r="T279" s="9"/>
      <c r="U279" s="7"/>
      <c r="V279" s="8"/>
      <c r="W279" s="7"/>
      <c r="X279" s="7"/>
      <c r="Y279" s="8"/>
      <c r="Z279" s="7"/>
      <c r="AA279" s="8"/>
    </row>
    <row r="280" spans="4:27" ht="15" thickTop="1" thickBot="1">
      <c r="D280" s="65"/>
      <c r="E280" s="51" t="s">
        <v>1284</v>
      </c>
      <c r="F280" s="7"/>
      <c r="G280" s="8"/>
      <c r="H280" s="7"/>
      <c r="I280" s="6"/>
      <c r="J280" s="7"/>
      <c r="K280" s="8"/>
      <c r="L280" s="7"/>
      <c r="M280" s="8"/>
      <c r="N280" s="7"/>
      <c r="O280" s="8"/>
      <c r="P280" s="7"/>
      <c r="Q280" s="7"/>
      <c r="R280" s="8"/>
      <c r="S280" s="7"/>
      <c r="T280" s="9"/>
      <c r="U280" s="7"/>
      <c r="V280" s="8"/>
      <c r="W280" s="7"/>
      <c r="X280" s="7"/>
      <c r="Y280" s="8"/>
      <c r="Z280" s="7"/>
      <c r="AA280" s="8"/>
    </row>
    <row r="281" spans="4:27" ht="15" thickTop="1" thickBot="1">
      <c r="D281" s="65"/>
      <c r="E281" s="51" t="s">
        <v>1007</v>
      </c>
      <c r="F281" s="7"/>
      <c r="G281" s="8"/>
      <c r="H281" s="7"/>
      <c r="I281" s="6"/>
      <c r="J281" s="7"/>
      <c r="K281" s="8"/>
      <c r="L281" s="7"/>
      <c r="M281" s="8"/>
      <c r="N281" s="7"/>
      <c r="O281" s="8"/>
      <c r="P281" s="7"/>
      <c r="Q281" s="7"/>
      <c r="R281" s="8"/>
      <c r="S281" s="7"/>
      <c r="T281" s="9"/>
      <c r="U281" s="7"/>
      <c r="V281" s="8"/>
      <c r="W281" s="7"/>
      <c r="X281" s="7"/>
      <c r="Y281" s="8"/>
      <c r="Z281" s="7"/>
      <c r="AA281" s="8"/>
    </row>
    <row r="282" spans="4:27" ht="15" thickTop="1" thickBot="1">
      <c r="D282" s="65"/>
      <c r="E282" s="51" t="s">
        <v>194</v>
      </c>
      <c r="F282" s="7"/>
      <c r="G282" s="8"/>
      <c r="H282" s="7"/>
      <c r="I282" s="6"/>
      <c r="J282" s="7"/>
      <c r="K282" s="8"/>
      <c r="L282" s="7"/>
      <c r="M282" s="8"/>
      <c r="N282" s="7"/>
      <c r="O282" s="8"/>
      <c r="P282" s="7"/>
      <c r="Q282" s="7"/>
      <c r="R282" s="8"/>
      <c r="S282" s="7"/>
      <c r="T282" s="9"/>
      <c r="U282" s="7"/>
      <c r="V282" s="8"/>
      <c r="W282" s="7"/>
      <c r="X282" s="7"/>
      <c r="Y282" s="8"/>
      <c r="Z282" s="7"/>
      <c r="AA282" s="8"/>
    </row>
    <row r="283" spans="4:27" ht="15" thickTop="1" thickBot="1">
      <c r="D283" s="65"/>
      <c r="E283" s="51" t="s">
        <v>1094</v>
      </c>
      <c r="F283" s="7"/>
      <c r="G283" s="8"/>
      <c r="H283" s="7"/>
      <c r="I283" s="6"/>
      <c r="J283" s="7"/>
      <c r="K283" s="8"/>
      <c r="L283" s="7"/>
      <c r="M283" s="8"/>
      <c r="N283" s="7"/>
      <c r="O283" s="8"/>
      <c r="P283" s="7"/>
      <c r="Q283" s="7"/>
      <c r="R283" s="8"/>
      <c r="S283" s="7"/>
      <c r="T283" s="9"/>
      <c r="U283" s="7"/>
      <c r="V283" s="8"/>
      <c r="W283" s="7"/>
      <c r="X283" s="7"/>
      <c r="Y283" s="8"/>
      <c r="Z283" s="7"/>
      <c r="AA283" s="8"/>
    </row>
    <row r="284" spans="4:27" ht="15" thickTop="1" thickBot="1">
      <c r="D284" s="65"/>
      <c r="E284" s="51" t="s">
        <v>235</v>
      </c>
      <c r="F284" s="7"/>
      <c r="G284" s="8"/>
      <c r="H284" s="7"/>
      <c r="I284" s="6"/>
      <c r="J284" s="7"/>
      <c r="K284" s="8"/>
      <c r="L284" s="7"/>
      <c r="M284" s="8"/>
      <c r="N284" s="7"/>
      <c r="O284" s="8"/>
      <c r="P284" s="7"/>
      <c r="Q284" s="7"/>
      <c r="R284" s="8"/>
      <c r="S284" s="7"/>
      <c r="T284" s="9"/>
      <c r="U284" s="7"/>
      <c r="V284" s="8"/>
      <c r="W284" s="7"/>
      <c r="X284" s="7"/>
      <c r="Y284" s="8"/>
      <c r="Z284" s="7"/>
      <c r="AA284" s="8"/>
    </row>
    <row r="285" spans="4:27" ht="15" thickTop="1" thickBot="1">
      <c r="D285" s="65"/>
      <c r="E285" s="51" t="s">
        <v>137</v>
      </c>
      <c r="F285" s="7"/>
      <c r="G285" s="8"/>
      <c r="H285" s="7"/>
      <c r="I285" s="6"/>
      <c r="J285" s="7"/>
      <c r="K285" s="8"/>
      <c r="L285" s="7"/>
      <c r="M285" s="8"/>
      <c r="N285" s="7"/>
      <c r="O285" s="8"/>
      <c r="P285" s="7"/>
      <c r="Q285" s="7"/>
      <c r="R285" s="8"/>
      <c r="S285" s="7"/>
      <c r="T285" s="9"/>
      <c r="U285" s="7"/>
      <c r="V285" s="8"/>
      <c r="W285" s="7"/>
      <c r="X285" s="7"/>
      <c r="Y285" s="8"/>
      <c r="Z285" s="7"/>
      <c r="AA285" s="8"/>
    </row>
    <row r="286" spans="4:27" ht="15" thickTop="1" thickBot="1">
      <c r="D286" s="65"/>
      <c r="E286" s="51" t="s">
        <v>237</v>
      </c>
      <c r="F286" s="7"/>
      <c r="G286" s="8"/>
      <c r="H286" s="7"/>
      <c r="I286" s="6"/>
      <c r="J286" s="7"/>
      <c r="K286" s="8"/>
      <c r="L286" s="7"/>
      <c r="M286" s="8"/>
      <c r="N286" s="7"/>
      <c r="O286" s="8"/>
      <c r="P286" s="7"/>
      <c r="Q286" s="7"/>
      <c r="R286" s="8"/>
      <c r="S286" s="7"/>
      <c r="T286" s="9"/>
      <c r="U286" s="7"/>
      <c r="V286" s="8"/>
      <c r="W286" s="7"/>
      <c r="X286" s="7"/>
      <c r="Y286" s="8"/>
      <c r="Z286" s="7"/>
      <c r="AA286" s="8"/>
    </row>
    <row r="287" spans="4:27" ht="15" thickTop="1" thickBot="1">
      <c r="D287" s="65"/>
      <c r="E287" s="51" t="s">
        <v>215</v>
      </c>
      <c r="F287" s="7"/>
      <c r="G287" s="8"/>
      <c r="H287" s="7"/>
      <c r="I287" s="6"/>
      <c r="J287" s="7"/>
      <c r="K287" s="8"/>
      <c r="L287" s="7"/>
      <c r="M287" s="8"/>
      <c r="N287" s="7"/>
      <c r="O287" s="8"/>
      <c r="P287" s="7"/>
      <c r="Q287" s="7"/>
      <c r="R287" s="8"/>
      <c r="S287" s="7"/>
      <c r="T287" s="9"/>
      <c r="U287" s="7"/>
      <c r="V287" s="8"/>
      <c r="W287" s="7"/>
      <c r="X287" s="7"/>
      <c r="Y287" s="8"/>
      <c r="Z287" s="7"/>
      <c r="AA287" s="8"/>
    </row>
    <row r="288" spans="4:27" ht="15" thickTop="1" thickBot="1">
      <c r="D288" s="65"/>
      <c r="E288" s="51" t="s">
        <v>1053</v>
      </c>
      <c r="F288" s="7"/>
      <c r="G288" s="8"/>
      <c r="H288" s="7"/>
      <c r="I288" s="6"/>
      <c r="J288" s="7"/>
      <c r="K288" s="8"/>
      <c r="L288" s="7"/>
      <c r="M288" s="8"/>
      <c r="N288" s="7"/>
      <c r="O288" s="8"/>
      <c r="P288" s="7"/>
      <c r="Q288" s="7"/>
      <c r="R288" s="8"/>
      <c r="S288" s="7"/>
      <c r="T288" s="9"/>
      <c r="U288" s="7"/>
      <c r="V288" s="8"/>
      <c r="W288" s="7"/>
      <c r="X288" s="7"/>
      <c r="Y288" s="8"/>
      <c r="Z288" s="7"/>
      <c r="AA288" s="8"/>
    </row>
    <row r="289" spans="4:27" ht="15" thickTop="1" thickBot="1">
      <c r="D289" s="65"/>
      <c r="E289" s="51" t="s">
        <v>1054</v>
      </c>
      <c r="F289" s="7"/>
      <c r="G289" s="8"/>
      <c r="H289" s="7"/>
      <c r="I289" s="6"/>
      <c r="J289" s="7"/>
      <c r="K289" s="8"/>
      <c r="L289" s="7"/>
      <c r="M289" s="8"/>
      <c r="N289" s="7"/>
      <c r="O289" s="8"/>
      <c r="P289" s="7"/>
      <c r="Q289" s="7"/>
      <c r="R289" s="8"/>
      <c r="S289" s="7"/>
      <c r="T289" s="9"/>
      <c r="U289" s="7"/>
      <c r="V289" s="8"/>
      <c r="W289" s="7"/>
      <c r="X289" s="7"/>
      <c r="Y289" s="8"/>
      <c r="Z289" s="7"/>
      <c r="AA289" s="8"/>
    </row>
    <row r="290" spans="4:27" ht="15" thickTop="1" thickBot="1">
      <c r="D290" s="65"/>
      <c r="E290" s="51" t="s">
        <v>220</v>
      </c>
      <c r="F290" s="7"/>
      <c r="G290" s="8"/>
      <c r="H290" s="7"/>
      <c r="I290" s="6"/>
      <c r="J290" s="7"/>
      <c r="K290" s="8"/>
      <c r="L290" s="7"/>
      <c r="M290" s="8"/>
      <c r="N290" s="7"/>
      <c r="O290" s="8"/>
      <c r="P290" s="7"/>
      <c r="Q290" s="7"/>
      <c r="R290" s="8"/>
      <c r="S290" s="7"/>
      <c r="T290" s="9"/>
      <c r="U290" s="7"/>
      <c r="V290" s="8"/>
      <c r="W290" s="7"/>
      <c r="X290" s="7"/>
      <c r="Y290" s="8"/>
      <c r="Z290" s="7"/>
      <c r="AA290" s="8"/>
    </row>
    <row r="291" spans="4:27" ht="15" thickTop="1" thickBot="1">
      <c r="D291" s="65"/>
      <c r="E291" s="51" t="s">
        <v>238</v>
      </c>
      <c r="F291" s="7"/>
      <c r="G291" s="8"/>
      <c r="H291" s="7"/>
      <c r="I291" s="6"/>
      <c r="J291" s="7"/>
      <c r="K291" s="8"/>
      <c r="L291" s="7"/>
      <c r="M291" s="8"/>
      <c r="N291" s="7"/>
      <c r="O291" s="8"/>
      <c r="P291" s="7"/>
      <c r="Q291" s="7"/>
      <c r="R291" s="8"/>
      <c r="S291" s="7"/>
      <c r="T291" s="9"/>
      <c r="U291" s="7"/>
      <c r="V291" s="8"/>
      <c r="W291" s="7"/>
      <c r="X291" s="7"/>
      <c r="Y291" s="8"/>
      <c r="Z291" s="7"/>
      <c r="AA291" s="8"/>
    </row>
    <row r="292" spans="4:27" ht="15" thickTop="1" thickBot="1">
      <c r="D292" s="65"/>
      <c r="E292" s="51" t="s">
        <v>239</v>
      </c>
      <c r="F292" s="7"/>
      <c r="G292" s="8"/>
      <c r="H292" s="7"/>
      <c r="I292" s="6"/>
      <c r="J292" s="7"/>
      <c r="K292" s="8"/>
      <c r="L292" s="7"/>
      <c r="M292" s="8"/>
      <c r="N292" s="7"/>
      <c r="O292" s="8"/>
      <c r="P292" s="7"/>
      <c r="Q292" s="7"/>
      <c r="R292" s="8"/>
      <c r="S292" s="7"/>
      <c r="T292" s="9"/>
      <c r="U292" s="7"/>
      <c r="V292" s="8"/>
      <c r="W292" s="7"/>
      <c r="X292" s="7"/>
      <c r="Y292" s="8"/>
      <c r="Z292" s="7"/>
      <c r="AA292" s="8"/>
    </row>
    <row r="293" spans="4:27" ht="15" thickTop="1" thickBot="1">
      <c r="D293" s="65"/>
      <c r="E293" s="51" t="s">
        <v>240</v>
      </c>
      <c r="F293" s="7"/>
      <c r="G293" s="8"/>
      <c r="H293" s="7"/>
      <c r="I293" s="6"/>
      <c r="J293" s="7"/>
      <c r="K293" s="8"/>
      <c r="L293" s="7"/>
      <c r="M293" s="8"/>
      <c r="N293" s="7"/>
      <c r="O293" s="8"/>
      <c r="P293" s="7"/>
      <c r="Q293" s="7"/>
      <c r="R293" s="8"/>
      <c r="S293" s="7"/>
      <c r="T293" s="9"/>
      <c r="U293" s="7"/>
      <c r="V293" s="8"/>
      <c r="W293" s="7"/>
      <c r="X293" s="7"/>
      <c r="Y293" s="8"/>
      <c r="Z293" s="7"/>
      <c r="AA293" s="8"/>
    </row>
    <row r="294" spans="4:27" ht="15" thickTop="1" thickBot="1">
      <c r="D294" s="65"/>
      <c r="E294" s="51" t="s">
        <v>1060</v>
      </c>
      <c r="F294" s="7"/>
      <c r="G294" s="8"/>
      <c r="H294" s="7"/>
      <c r="I294" s="6"/>
      <c r="J294" s="7"/>
      <c r="K294" s="8"/>
      <c r="L294" s="7"/>
      <c r="M294" s="8"/>
      <c r="N294" s="7"/>
      <c r="O294" s="8"/>
      <c r="P294" s="7"/>
      <c r="Q294" s="7"/>
      <c r="R294" s="8"/>
      <c r="S294" s="7"/>
      <c r="T294" s="9"/>
      <c r="U294" s="7"/>
      <c r="V294" s="8"/>
      <c r="W294" s="7"/>
      <c r="X294" s="7"/>
      <c r="Y294" s="8"/>
      <c r="Z294" s="7"/>
      <c r="AA294" s="8"/>
    </row>
    <row r="295" spans="4:27" ht="15" thickTop="1" thickBot="1">
      <c r="D295" s="65"/>
      <c r="E295" s="51" t="s">
        <v>241</v>
      </c>
      <c r="F295" s="7"/>
      <c r="G295" s="8"/>
      <c r="H295" s="7"/>
      <c r="I295" s="6"/>
      <c r="J295" s="7"/>
      <c r="K295" s="8"/>
      <c r="L295" s="7"/>
      <c r="M295" s="8"/>
      <c r="N295" s="7"/>
      <c r="O295" s="8"/>
      <c r="P295" s="7"/>
      <c r="Q295" s="7"/>
      <c r="R295" s="8"/>
      <c r="S295" s="7"/>
      <c r="T295" s="9"/>
      <c r="U295" s="7"/>
      <c r="V295" s="8"/>
      <c r="W295" s="7"/>
      <c r="X295" s="7"/>
      <c r="Y295" s="8"/>
      <c r="Z295" s="7"/>
      <c r="AA295" s="8"/>
    </row>
    <row r="296" spans="4:27" ht="15" thickTop="1" thickBot="1">
      <c r="D296" s="65"/>
      <c r="E296" s="51" t="s">
        <v>242</v>
      </c>
      <c r="F296" s="7"/>
      <c r="G296" s="8"/>
      <c r="H296" s="7"/>
      <c r="I296" s="6"/>
      <c r="J296" s="7"/>
      <c r="K296" s="8"/>
      <c r="L296" s="7"/>
      <c r="M296" s="8"/>
      <c r="N296" s="7"/>
      <c r="O296" s="8"/>
      <c r="P296" s="7"/>
      <c r="Q296" s="7"/>
      <c r="R296" s="8"/>
      <c r="S296" s="7"/>
      <c r="T296" s="9"/>
      <c r="U296" s="7"/>
      <c r="V296" s="8"/>
      <c r="W296" s="7"/>
      <c r="X296" s="7"/>
      <c r="Y296" s="8"/>
      <c r="Z296" s="7"/>
      <c r="AA296" s="8"/>
    </row>
    <row r="297" spans="4:27" ht="15" thickTop="1" thickBot="1">
      <c r="D297" s="65"/>
      <c r="E297" s="51" t="s">
        <v>139</v>
      </c>
      <c r="F297" s="7"/>
      <c r="G297" s="8"/>
      <c r="H297" s="7"/>
      <c r="I297" s="6"/>
      <c r="J297" s="7"/>
      <c r="K297" s="8"/>
      <c r="L297" s="7"/>
      <c r="M297" s="8"/>
      <c r="N297" s="7"/>
      <c r="O297" s="8"/>
      <c r="P297" s="7"/>
      <c r="Q297" s="7"/>
      <c r="R297" s="8"/>
      <c r="S297" s="7"/>
      <c r="T297" s="9"/>
      <c r="U297" s="7"/>
      <c r="V297" s="8"/>
      <c r="W297" s="7"/>
      <c r="X297" s="7"/>
      <c r="Y297" s="8"/>
      <c r="Z297" s="7"/>
      <c r="AA297" s="8"/>
    </row>
    <row r="298" spans="4:27" ht="15" thickTop="1" thickBot="1">
      <c r="D298" s="65"/>
      <c r="E298" s="51" t="s">
        <v>243</v>
      </c>
      <c r="F298" s="7"/>
      <c r="G298" s="8"/>
      <c r="H298" s="7"/>
      <c r="I298" s="6"/>
      <c r="J298" s="7"/>
      <c r="K298" s="8"/>
      <c r="L298" s="7"/>
      <c r="M298" s="8"/>
      <c r="N298" s="7"/>
      <c r="O298" s="8"/>
      <c r="P298" s="7"/>
      <c r="Q298" s="7"/>
      <c r="R298" s="8"/>
      <c r="S298" s="7"/>
      <c r="T298" s="9"/>
      <c r="U298" s="7"/>
      <c r="V298" s="8"/>
      <c r="W298" s="7"/>
      <c r="X298" s="7"/>
      <c r="Y298" s="8"/>
      <c r="Z298" s="7"/>
      <c r="AA298" s="8"/>
    </row>
    <row r="299" spans="4:27" ht="15" thickTop="1" thickBot="1">
      <c r="D299" s="65"/>
      <c r="E299" s="51" t="s">
        <v>244</v>
      </c>
      <c r="F299" s="7"/>
      <c r="G299" s="8"/>
      <c r="H299" s="7"/>
      <c r="I299" s="6"/>
      <c r="J299" s="7"/>
      <c r="K299" s="8"/>
      <c r="L299" s="7"/>
      <c r="M299" s="8"/>
      <c r="N299" s="7"/>
      <c r="O299" s="8"/>
      <c r="P299" s="7"/>
      <c r="Q299" s="7"/>
      <c r="R299" s="8"/>
      <c r="S299" s="7"/>
      <c r="T299" s="9"/>
      <c r="U299" s="7"/>
      <c r="V299" s="8"/>
      <c r="W299" s="7"/>
      <c r="X299" s="7"/>
      <c r="Y299" s="8"/>
      <c r="Z299" s="7"/>
      <c r="AA299" s="8"/>
    </row>
    <row r="300" spans="4:27" ht="15" thickTop="1" thickBot="1">
      <c r="D300" s="65"/>
      <c r="E300" s="51" t="s">
        <v>1061</v>
      </c>
      <c r="F300" s="7"/>
      <c r="G300" s="8"/>
      <c r="H300" s="7"/>
      <c r="I300" s="6"/>
      <c r="J300" s="7"/>
      <c r="K300" s="8"/>
      <c r="L300" s="7"/>
      <c r="M300" s="8"/>
      <c r="N300" s="7"/>
      <c r="O300" s="8"/>
      <c r="P300" s="7"/>
      <c r="Q300" s="7"/>
      <c r="R300" s="8"/>
      <c r="S300" s="7"/>
      <c r="T300" s="9"/>
      <c r="U300" s="7"/>
      <c r="V300" s="8"/>
      <c r="W300" s="7"/>
      <c r="X300" s="7"/>
      <c r="Y300" s="8"/>
      <c r="Z300" s="7"/>
      <c r="AA300" s="8"/>
    </row>
    <row r="301" spans="4:27" ht="15" thickTop="1" thickBot="1">
      <c r="D301" s="65"/>
      <c r="E301" s="51" t="s">
        <v>245</v>
      </c>
      <c r="F301" s="7"/>
      <c r="G301" s="8"/>
      <c r="H301" s="7"/>
      <c r="I301" s="6"/>
      <c r="J301" s="7"/>
      <c r="K301" s="8"/>
      <c r="L301" s="7"/>
      <c r="M301" s="8"/>
      <c r="N301" s="7"/>
      <c r="O301" s="8"/>
      <c r="P301" s="7"/>
      <c r="Q301" s="7"/>
      <c r="R301" s="8"/>
      <c r="S301" s="7"/>
      <c r="T301" s="9"/>
      <c r="U301" s="7"/>
      <c r="V301" s="8"/>
      <c r="W301" s="7"/>
      <c r="X301" s="7"/>
      <c r="Y301" s="8"/>
      <c r="Z301" s="7"/>
      <c r="AA301" s="8"/>
    </row>
    <row r="302" spans="4:27" ht="15" thickTop="1" thickBot="1">
      <c r="D302" s="65"/>
      <c r="E302" s="51" t="s">
        <v>246</v>
      </c>
      <c r="F302" s="7"/>
      <c r="G302" s="8"/>
      <c r="H302" s="7"/>
      <c r="I302" s="6"/>
      <c r="J302" s="7"/>
      <c r="K302" s="8"/>
      <c r="L302" s="7"/>
      <c r="M302" s="8"/>
      <c r="N302" s="7"/>
      <c r="O302" s="8"/>
      <c r="P302" s="7"/>
      <c r="Q302" s="7"/>
      <c r="R302" s="8"/>
      <c r="S302" s="7"/>
      <c r="T302" s="9"/>
      <c r="U302" s="7"/>
      <c r="V302" s="8"/>
      <c r="W302" s="7"/>
      <c r="X302" s="7"/>
      <c r="Y302" s="8"/>
      <c r="Z302" s="7"/>
      <c r="AA302" s="8"/>
    </row>
    <row r="303" spans="4:27" ht="15" thickTop="1" thickBot="1">
      <c r="D303" s="65"/>
      <c r="E303" s="51" t="s">
        <v>247</v>
      </c>
      <c r="F303" s="7"/>
      <c r="G303" s="8"/>
      <c r="H303" s="7"/>
      <c r="I303" s="6"/>
      <c r="J303" s="7"/>
      <c r="K303" s="8"/>
      <c r="L303" s="7"/>
      <c r="M303" s="8"/>
      <c r="N303" s="7"/>
      <c r="O303" s="8"/>
      <c r="P303" s="7"/>
      <c r="Q303" s="7"/>
      <c r="R303" s="8"/>
      <c r="S303" s="7"/>
      <c r="T303" s="9"/>
      <c r="U303" s="7"/>
      <c r="V303" s="8"/>
      <c r="W303" s="7"/>
      <c r="X303" s="7"/>
      <c r="Y303" s="8"/>
      <c r="Z303" s="7"/>
      <c r="AA303" s="8"/>
    </row>
    <row r="304" spans="4:27" ht="15" thickTop="1" thickBot="1">
      <c r="D304" s="65"/>
      <c r="E304" s="51" t="s">
        <v>248</v>
      </c>
      <c r="F304" s="7"/>
      <c r="G304" s="8"/>
      <c r="H304" s="7"/>
      <c r="I304" s="6"/>
      <c r="J304" s="7"/>
      <c r="K304" s="8"/>
      <c r="L304" s="7"/>
      <c r="M304" s="8"/>
      <c r="N304" s="7"/>
      <c r="O304" s="8"/>
      <c r="P304" s="7"/>
      <c r="Q304" s="7"/>
      <c r="R304" s="8"/>
      <c r="S304" s="7"/>
      <c r="T304" s="9"/>
      <c r="U304" s="7"/>
      <c r="V304" s="8"/>
      <c r="W304" s="7"/>
      <c r="X304" s="7"/>
      <c r="Y304" s="8"/>
      <c r="Z304" s="7"/>
      <c r="AA304" s="8"/>
    </row>
    <row r="305" spans="4:27" ht="15" thickTop="1" thickBot="1">
      <c r="D305" s="65"/>
      <c r="E305" s="51" t="s">
        <v>221</v>
      </c>
      <c r="F305" s="7"/>
      <c r="G305" s="8"/>
      <c r="H305" s="7"/>
      <c r="I305" s="6"/>
      <c r="J305" s="7"/>
      <c r="K305" s="8"/>
      <c r="L305" s="7"/>
      <c r="M305" s="8"/>
      <c r="N305" s="7"/>
      <c r="O305" s="8"/>
      <c r="P305" s="7"/>
      <c r="Q305" s="7"/>
      <c r="R305" s="8"/>
      <c r="S305" s="7"/>
      <c r="T305" s="9"/>
      <c r="U305" s="7"/>
      <c r="V305" s="8"/>
      <c r="W305" s="7"/>
      <c r="X305" s="7"/>
      <c r="Y305" s="8"/>
      <c r="Z305" s="7"/>
      <c r="AA305" s="8"/>
    </row>
    <row r="306" spans="4:27" ht="15" thickTop="1" thickBot="1">
      <c r="D306" s="65"/>
      <c r="E306" s="51" t="s">
        <v>249</v>
      </c>
      <c r="F306" s="7"/>
      <c r="G306" s="8"/>
      <c r="H306" s="7"/>
      <c r="I306" s="6"/>
      <c r="J306" s="7"/>
      <c r="K306" s="8"/>
      <c r="L306" s="7"/>
      <c r="M306" s="8"/>
      <c r="N306" s="7"/>
      <c r="O306" s="8"/>
      <c r="P306" s="7"/>
      <c r="Q306" s="7"/>
      <c r="R306" s="8"/>
      <c r="S306" s="7"/>
      <c r="T306" s="9"/>
      <c r="U306" s="7"/>
      <c r="V306" s="8"/>
      <c r="W306" s="7"/>
      <c r="X306" s="7"/>
      <c r="Y306" s="8"/>
      <c r="Z306" s="7"/>
      <c r="AA306" s="8"/>
    </row>
    <row r="307" spans="4:27" ht="15" thickTop="1" thickBot="1">
      <c r="D307" s="65"/>
      <c r="E307" s="51" t="s">
        <v>250</v>
      </c>
      <c r="F307" s="7"/>
      <c r="G307" s="8"/>
      <c r="H307" s="7"/>
      <c r="I307" s="6"/>
      <c r="J307" s="7"/>
      <c r="K307" s="8"/>
      <c r="L307" s="7"/>
      <c r="M307" s="8"/>
      <c r="N307" s="7"/>
      <c r="O307" s="8"/>
      <c r="P307" s="7"/>
      <c r="Q307" s="7"/>
      <c r="R307" s="8"/>
      <c r="S307" s="7"/>
      <c r="T307" s="9"/>
      <c r="U307" s="7"/>
      <c r="V307" s="8"/>
      <c r="W307" s="7"/>
      <c r="X307" s="7"/>
      <c r="Y307" s="8"/>
      <c r="Z307" s="7"/>
      <c r="AA307" s="8"/>
    </row>
    <row r="308" spans="4:27" ht="15" thickTop="1" thickBot="1">
      <c r="D308" s="65"/>
      <c r="E308" s="51" t="s">
        <v>251</v>
      </c>
      <c r="F308" s="7"/>
      <c r="G308" s="8"/>
      <c r="H308" s="7"/>
      <c r="I308" s="6"/>
      <c r="J308" s="7"/>
      <c r="K308" s="8"/>
      <c r="L308" s="7"/>
      <c r="M308" s="8"/>
      <c r="N308" s="7"/>
      <c r="O308" s="8"/>
      <c r="P308" s="7"/>
      <c r="Q308" s="7"/>
      <c r="R308" s="8"/>
      <c r="S308" s="7"/>
      <c r="T308" s="9"/>
      <c r="U308" s="7"/>
      <c r="V308" s="8"/>
      <c r="W308" s="7"/>
      <c r="X308" s="7"/>
      <c r="Y308" s="8"/>
      <c r="Z308" s="7"/>
      <c r="AA308" s="8"/>
    </row>
    <row r="309" spans="4:27" ht="15" thickTop="1" thickBot="1">
      <c r="D309" s="65"/>
      <c r="E309" s="51" t="s">
        <v>252</v>
      </c>
      <c r="F309" s="7"/>
      <c r="G309" s="8"/>
      <c r="H309" s="7"/>
      <c r="I309" s="6"/>
      <c r="J309" s="7"/>
      <c r="K309" s="8"/>
      <c r="L309" s="7"/>
      <c r="M309" s="8"/>
      <c r="N309" s="7"/>
      <c r="O309" s="8"/>
      <c r="P309" s="7"/>
      <c r="Q309" s="7"/>
      <c r="R309" s="8"/>
      <c r="S309" s="7"/>
      <c r="T309" s="9"/>
      <c r="U309" s="7"/>
      <c r="V309" s="8"/>
      <c r="W309" s="7"/>
      <c r="X309" s="7"/>
      <c r="Y309" s="8"/>
      <c r="Z309" s="7"/>
      <c r="AA309" s="8"/>
    </row>
    <row r="310" spans="4:27" ht="15" thickTop="1" thickBot="1">
      <c r="D310" s="65"/>
      <c r="E310" s="51" t="s">
        <v>718</v>
      </c>
      <c r="F310" s="7"/>
      <c r="G310" s="8"/>
      <c r="H310" s="7"/>
      <c r="I310" s="6"/>
      <c r="J310" s="7"/>
      <c r="K310" s="8"/>
      <c r="L310" s="7"/>
      <c r="M310" s="8"/>
      <c r="N310" s="7"/>
      <c r="O310" s="8"/>
      <c r="P310" s="7"/>
      <c r="Q310" s="7"/>
      <c r="R310" s="8"/>
      <c r="S310" s="7"/>
      <c r="T310" s="9"/>
      <c r="U310" s="7"/>
      <c r="V310" s="8"/>
      <c r="W310" s="7"/>
      <c r="X310" s="7"/>
      <c r="Y310" s="8"/>
      <c r="Z310" s="7"/>
      <c r="AA310" s="8"/>
    </row>
    <row r="311" spans="4:27" ht="15" thickTop="1" thickBot="1">
      <c r="D311" s="65"/>
      <c r="E311" s="51" t="s">
        <v>741</v>
      </c>
      <c r="F311" s="7"/>
      <c r="G311" s="8"/>
      <c r="H311" s="7"/>
      <c r="I311" s="6"/>
      <c r="J311" s="7"/>
      <c r="K311" s="8"/>
      <c r="L311" s="7"/>
      <c r="M311" s="8"/>
      <c r="N311" s="7"/>
      <c r="O311" s="8"/>
      <c r="P311" s="7"/>
      <c r="Q311" s="7"/>
      <c r="R311" s="8"/>
      <c r="S311" s="7"/>
      <c r="T311" s="9"/>
      <c r="U311" s="7"/>
      <c r="V311" s="8"/>
      <c r="W311" s="7"/>
      <c r="X311" s="7"/>
      <c r="Y311" s="8"/>
      <c r="Z311" s="7"/>
      <c r="AA311" s="8"/>
    </row>
    <row r="312" spans="4:27" ht="15" thickTop="1" thickBot="1">
      <c r="D312" s="65"/>
      <c r="E312" s="51" t="s">
        <v>1068</v>
      </c>
      <c r="F312" s="7"/>
      <c r="G312" s="8"/>
      <c r="H312" s="7"/>
      <c r="I312" s="6"/>
      <c r="J312" s="7"/>
      <c r="K312" s="8"/>
      <c r="L312" s="7"/>
      <c r="M312" s="8"/>
      <c r="N312" s="7"/>
      <c r="O312" s="8"/>
      <c r="P312" s="7"/>
      <c r="Q312" s="7"/>
      <c r="R312" s="8"/>
      <c r="S312" s="7"/>
      <c r="T312" s="9"/>
      <c r="U312" s="7"/>
      <c r="V312" s="8"/>
      <c r="W312" s="7"/>
      <c r="X312" s="7"/>
      <c r="Y312" s="8"/>
      <c r="Z312" s="7"/>
      <c r="AA312" s="8"/>
    </row>
    <row r="313" spans="4:27" ht="15" thickTop="1" thickBot="1">
      <c r="D313" s="65"/>
      <c r="E313" s="51" t="s">
        <v>723</v>
      </c>
      <c r="F313" s="7"/>
      <c r="G313" s="8"/>
      <c r="H313" s="7"/>
      <c r="I313" s="6"/>
      <c r="J313" s="7"/>
      <c r="K313" s="8"/>
      <c r="L313" s="7"/>
      <c r="M313" s="8"/>
      <c r="N313" s="7"/>
      <c r="O313" s="8"/>
      <c r="P313" s="7"/>
      <c r="Q313" s="7"/>
      <c r="R313" s="8"/>
      <c r="S313" s="7"/>
      <c r="T313" s="9"/>
      <c r="U313" s="7"/>
      <c r="V313" s="8"/>
      <c r="W313" s="7"/>
      <c r="X313" s="7"/>
      <c r="Y313" s="8"/>
      <c r="Z313" s="7"/>
      <c r="AA313" s="8"/>
    </row>
    <row r="314" spans="4:27" ht="15" thickTop="1" thickBot="1">
      <c r="D314" s="65"/>
      <c r="E314" s="51" t="s">
        <v>1100</v>
      </c>
      <c r="F314" s="7"/>
      <c r="G314" s="8"/>
      <c r="H314" s="7"/>
      <c r="I314" s="6"/>
      <c r="J314" s="7"/>
      <c r="K314" s="8"/>
      <c r="L314" s="7"/>
      <c r="M314" s="8"/>
      <c r="N314" s="7"/>
      <c r="O314" s="8"/>
      <c r="P314" s="7"/>
      <c r="Q314" s="7"/>
      <c r="R314" s="8"/>
      <c r="S314" s="7"/>
      <c r="T314" s="9"/>
      <c r="U314" s="7"/>
      <c r="V314" s="8"/>
      <c r="W314" s="7"/>
      <c r="X314" s="7"/>
      <c r="Y314" s="8"/>
      <c r="Z314" s="7"/>
      <c r="AA314" s="8"/>
    </row>
    <row r="315" spans="4:27" ht="15" thickTop="1" thickBot="1">
      <c r="D315" s="65"/>
      <c r="E315" s="51" t="s">
        <v>724</v>
      </c>
      <c r="F315" s="7"/>
      <c r="G315" s="8"/>
      <c r="H315" s="7"/>
      <c r="I315" s="6"/>
      <c r="J315" s="7"/>
      <c r="K315" s="8"/>
      <c r="L315" s="7"/>
      <c r="M315" s="8"/>
      <c r="N315" s="7"/>
      <c r="O315" s="8"/>
      <c r="P315" s="7"/>
      <c r="Q315" s="7"/>
      <c r="R315" s="8"/>
      <c r="S315" s="7"/>
      <c r="T315" s="9"/>
      <c r="U315" s="7"/>
      <c r="V315" s="8"/>
      <c r="W315" s="7"/>
      <c r="X315" s="7"/>
      <c r="Y315" s="8"/>
      <c r="Z315" s="7"/>
      <c r="AA315" s="8"/>
    </row>
    <row r="316" spans="4:27" ht="15" thickTop="1" thickBot="1">
      <c r="D316" s="65"/>
      <c r="E316" s="51" t="s">
        <v>703</v>
      </c>
      <c r="F316" s="7"/>
      <c r="G316" s="8"/>
      <c r="H316" s="7"/>
      <c r="I316" s="6"/>
      <c r="J316" s="7"/>
      <c r="K316" s="8"/>
      <c r="L316" s="7"/>
      <c r="M316" s="8"/>
      <c r="N316" s="7"/>
      <c r="O316" s="8"/>
      <c r="P316" s="7"/>
      <c r="Q316" s="7"/>
      <c r="R316" s="8"/>
      <c r="S316" s="7"/>
      <c r="T316" s="9"/>
      <c r="U316" s="7"/>
      <c r="V316" s="8"/>
      <c r="W316" s="7"/>
      <c r="X316" s="7"/>
      <c r="Y316" s="8"/>
      <c r="Z316" s="7"/>
      <c r="AA316" s="8"/>
    </row>
    <row r="317" spans="4:27" ht="15" thickTop="1" thickBot="1">
      <c r="D317" s="65"/>
      <c r="E317" s="51" t="s">
        <v>732</v>
      </c>
      <c r="F317" s="7"/>
      <c r="G317" s="8"/>
      <c r="H317" s="7"/>
      <c r="I317" s="6"/>
      <c r="J317" s="7"/>
      <c r="K317" s="8"/>
      <c r="L317" s="7"/>
      <c r="M317" s="8"/>
      <c r="N317" s="7"/>
      <c r="O317" s="8"/>
      <c r="P317" s="7"/>
      <c r="Q317" s="7"/>
      <c r="R317" s="8"/>
      <c r="S317" s="7"/>
      <c r="T317" s="9"/>
      <c r="U317" s="7"/>
      <c r="V317" s="8"/>
      <c r="W317" s="7"/>
      <c r="X317" s="7"/>
      <c r="Y317" s="8"/>
      <c r="Z317" s="7"/>
      <c r="AA317" s="8"/>
    </row>
    <row r="318" spans="4:27" ht="15" thickTop="1" thickBot="1">
      <c r="D318" s="65"/>
      <c r="E318" s="51" t="s">
        <v>965</v>
      </c>
      <c r="F318" s="7"/>
      <c r="G318" s="8"/>
      <c r="H318" s="7"/>
      <c r="I318" s="6"/>
      <c r="J318" s="7"/>
      <c r="K318" s="8"/>
      <c r="L318" s="7"/>
      <c r="M318" s="8"/>
      <c r="N318" s="7"/>
      <c r="O318" s="8"/>
      <c r="P318" s="7"/>
      <c r="Q318" s="7"/>
      <c r="R318" s="8"/>
      <c r="S318" s="7"/>
      <c r="T318" s="9"/>
      <c r="U318" s="7"/>
      <c r="V318" s="8"/>
      <c r="W318" s="7"/>
      <c r="X318" s="7"/>
      <c r="Y318" s="8"/>
      <c r="Z318" s="7"/>
      <c r="AA318" s="8"/>
    </row>
    <row r="319" spans="4:27" ht="15" thickTop="1" thickBot="1">
      <c r="D319" s="65"/>
      <c r="E319" s="51" t="s">
        <v>968</v>
      </c>
      <c r="F319" s="7"/>
      <c r="G319" s="8"/>
      <c r="H319" s="7"/>
      <c r="I319" s="6"/>
      <c r="J319" s="7"/>
      <c r="K319" s="8"/>
      <c r="L319" s="7"/>
      <c r="M319" s="8"/>
      <c r="N319" s="7"/>
      <c r="O319" s="8"/>
      <c r="P319" s="7"/>
      <c r="Q319" s="7"/>
      <c r="R319" s="8"/>
      <c r="S319" s="7"/>
      <c r="T319" s="9"/>
      <c r="U319" s="7"/>
      <c r="V319" s="8"/>
      <c r="W319" s="7"/>
      <c r="X319" s="7"/>
      <c r="Y319" s="8"/>
      <c r="Z319" s="7"/>
      <c r="AA319" s="8"/>
    </row>
    <row r="320" spans="4:27" ht="15" thickTop="1" thickBot="1">
      <c r="D320" s="65"/>
      <c r="E320" s="51" t="s">
        <v>714</v>
      </c>
      <c r="F320" s="7"/>
      <c r="G320" s="8"/>
      <c r="H320" s="7"/>
      <c r="I320" s="6"/>
      <c r="J320" s="7"/>
      <c r="K320" s="8"/>
      <c r="L320" s="7"/>
      <c r="M320" s="8"/>
      <c r="N320" s="7"/>
      <c r="O320" s="8"/>
      <c r="P320" s="7"/>
      <c r="Q320" s="7"/>
      <c r="R320" s="8"/>
      <c r="S320" s="7"/>
      <c r="T320" s="9"/>
      <c r="U320" s="7"/>
      <c r="V320" s="8"/>
      <c r="W320" s="7"/>
      <c r="X320" s="7"/>
      <c r="Y320" s="8"/>
      <c r="Z320" s="7"/>
      <c r="AA320" s="8"/>
    </row>
    <row r="321" spans="4:27" ht="15" thickTop="1" thickBot="1">
      <c r="D321" s="65"/>
      <c r="E321" s="51" t="s">
        <v>1117</v>
      </c>
      <c r="F321" s="7"/>
      <c r="G321" s="8"/>
      <c r="H321" s="7"/>
      <c r="I321" s="6"/>
      <c r="J321" s="7"/>
      <c r="K321" s="8"/>
      <c r="L321" s="7"/>
      <c r="M321" s="8"/>
      <c r="N321" s="7"/>
      <c r="O321" s="8"/>
      <c r="P321" s="7"/>
      <c r="Q321" s="7"/>
      <c r="R321" s="8"/>
      <c r="S321" s="7"/>
      <c r="T321" s="9"/>
      <c r="U321" s="7"/>
      <c r="V321" s="8"/>
      <c r="W321" s="7"/>
      <c r="X321" s="7"/>
      <c r="Y321" s="8"/>
      <c r="Z321" s="7"/>
      <c r="AA321" s="8"/>
    </row>
    <row r="322" spans="4:27" ht="15" thickTop="1" thickBot="1">
      <c r="D322" s="65"/>
      <c r="E322" s="51" t="s">
        <v>1285</v>
      </c>
      <c r="F322" s="7"/>
      <c r="G322" s="8"/>
      <c r="H322" s="7"/>
      <c r="I322" s="6"/>
      <c r="J322" s="7"/>
      <c r="K322" s="8"/>
      <c r="L322" s="7"/>
      <c r="M322" s="8"/>
      <c r="N322" s="7"/>
      <c r="O322" s="8"/>
      <c r="P322" s="7"/>
      <c r="Q322" s="7"/>
      <c r="R322" s="8"/>
      <c r="S322" s="7"/>
      <c r="T322" s="9"/>
      <c r="U322" s="7"/>
      <c r="V322" s="8"/>
      <c r="W322" s="7"/>
      <c r="X322" s="7"/>
      <c r="Y322" s="8"/>
      <c r="Z322" s="7"/>
      <c r="AA322" s="8"/>
    </row>
    <row r="323" spans="4:27" ht="15" thickTop="1" thickBot="1">
      <c r="D323" s="65"/>
      <c r="E323" s="51" t="s">
        <v>721</v>
      </c>
      <c r="F323" s="7"/>
      <c r="G323" s="8"/>
      <c r="H323" s="7"/>
      <c r="I323" s="6"/>
      <c r="J323" s="7"/>
      <c r="K323" s="8"/>
      <c r="L323" s="7"/>
      <c r="M323" s="8"/>
      <c r="N323" s="7"/>
      <c r="O323" s="8"/>
      <c r="P323" s="7"/>
      <c r="Q323" s="7"/>
      <c r="R323" s="8"/>
      <c r="S323" s="7"/>
      <c r="T323" s="9"/>
      <c r="U323" s="7"/>
      <c r="V323" s="8"/>
      <c r="W323" s="7"/>
      <c r="X323" s="7"/>
      <c r="Y323" s="8"/>
      <c r="Z323" s="7"/>
      <c r="AA323" s="8"/>
    </row>
    <row r="324" spans="4:27" ht="15" thickTop="1" thickBot="1">
      <c r="D324" s="65"/>
      <c r="E324" s="51" t="s">
        <v>1286</v>
      </c>
      <c r="F324" s="7"/>
      <c r="G324" s="8"/>
      <c r="H324" s="7"/>
      <c r="I324" s="6"/>
      <c r="J324" s="7"/>
      <c r="K324" s="8"/>
      <c r="L324" s="7"/>
      <c r="M324" s="8"/>
      <c r="N324" s="7"/>
      <c r="O324" s="8"/>
      <c r="P324" s="7"/>
      <c r="Q324" s="7"/>
      <c r="R324" s="8"/>
      <c r="S324" s="7"/>
      <c r="T324" s="9"/>
      <c r="U324" s="7"/>
      <c r="V324" s="8"/>
      <c r="W324" s="7"/>
      <c r="X324" s="7"/>
      <c r="Y324" s="8"/>
      <c r="Z324" s="7"/>
      <c r="AA324" s="8"/>
    </row>
    <row r="325" spans="4:27" ht="15" thickTop="1" thickBot="1">
      <c r="D325" s="65"/>
      <c r="E325" s="51" t="s">
        <v>985</v>
      </c>
      <c r="F325" s="7"/>
      <c r="G325" s="8"/>
      <c r="H325" s="7"/>
      <c r="I325" s="6"/>
      <c r="J325" s="7"/>
      <c r="K325" s="8"/>
      <c r="L325" s="7"/>
      <c r="M325" s="8"/>
      <c r="N325" s="7"/>
      <c r="O325" s="8"/>
      <c r="P325" s="7"/>
      <c r="Q325" s="7"/>
      <c r="R325" s="8"/>
      <c r="S325" s="7"/>
      <c r="T325" s="9"/>
      <c r="U325" s="7"/>
      <c r="V325" s="8"/>
      <c r="W325" s="7"/>
      <c r="X325" s="7"/>
      <c r="Y325" s="8"/>
      <c r="Z325" s="7"/>
      <c r="AA325" s="8"/>
    </row>
    <row r="326" spans="4:27" ht="15" thickTop="1" thickBot="1">
      <c r="D326" s="65"/>
      <c r="E326" s="51" t="s">
        <v>1092</v>
      </c>
      <c r="F326" s="7"/>
      <c r="G326" s="8"/>
      <c r="H326" s="7"/>
      <c r="I326" s="6"/>
      <c r="J326" s="7"/>
      <c r="K326" s="8"/>
      <c r="L326" s="7"/>
      <c r="M326" s="8"/>
      <c r="N326" s="7"/>
      <c r="O326" s="8"/>
      <c r="P326" s="7"/>
      <c r="Q326" s="7"/>
      <c r="R326" s="8"/>
      <c r="S326" s="7"/>
      <c r="T326" s="9"/>
      <c r="U326" s="7"/>
      <c r="V326" s="8"/>
      <c r="W326" s="7"/>
      <c r="X326" s="7"/>
      <c r="Y326" s="8"/>
      <c r="Z326" s="7"/>
      <c r="AA326" s="8"/>
    </row>
    <row r="327" spans="4:27" ht="15" thickTop="1" thickBot="1">
      <c r="D327" s="65"/>
      <c r="E327" s="51" t="s">
        <v>974</v>
      </c>
      <c r="F327" s="7"/>
      <c r="G327" s="8"/>
      <c r="H327" s="7"/>
      <c r="I327" s="6"/>
      <c r="J327" s="7"/>
      <c r="K327" s="8"/>
      <c r="L327" s="7"/>
      <c r="M327" s="8"/>
      <c r="N327" s="7"/>
      <c r="O327" s="8"/>
      <c r="P327" s="7"/>
      <c r="Q327" s="7"/>
      <c r="R327" s="8"/>
      <c r="S327" s="7"/>
      <c r="T327" s="9"/>
      <c r="U327" s="7"/>
      <c r="V327" s="8"/>
      <c r="W327" s="7"/>
      <c r="X327" s="7"/>
      <c r="Y327" s="8"/>
      <c r="Z327" s="7"/>
      <c r="AA327" s="8"/>
    </row>
    <row r="328" spans="4:27" ht="15" thickTop="1" thickBot="1">
      <c r="D328" s="65"/>
      <c r="E328" s="51" t="s">
        <v>1287</v>
      </c>
      <c r="F328" s="7"/>
      <c r="G328" s="8"/>
      <c r="H328" s="7"/>
      <c r="I328" s="6"/>
      <c r="J328" s="7"/>
      <c r="K328" s="8"/>
      <c r="L328" s="7"/>
      <c r="M328" s="8"/>
      <c r="N328" s="7"/>
      <c r="O328" s="8"/>
      <c r="P328" s="7"/>
      <c r="Q328" s="7"/>
      <c r="R328" s="8"/>
      <c r="S328" s="7"/>
      <c r="T328" s="9"/>
      <c r="U328" s="7"/>
      <c r="V328" s="8"/>
      <c r="W328" s="7"/>
      <c r="X328" s="7"/>
      <c r="Y328" s="8"/>
      <c r="Z328" s="7"/>
      <c r="AA328" s="8"/>
    </row>
    <row r="329" spans="4:27" ht="15" thickTop="1" thickBot="1">
      <c r="D329" s="65"/>
      <c r="E329" s="51" t="s">
        <v>1288</v>
      </c>
      <c r="F329" s="7"/>
      <c r="G329" s="8"/>
      <c r="H329" s="7"/>
      <c r="I329" s="6"/>
      <c r="J329" s="7"/>
      <c r="K329" s="8"/>
      <c r="L329" s="7"/>
      <c r="M329" s="8"/>
      <c r="N329" s="7"/>
      <c r="O329" s="8"/>
      <c r="P329" s="7"/>
      <c r="Q329" s="7"/>
      <c r="R329" s="8"/>
      <c r="S329" s="7"/>
      <c r="T329" s="9"/>
      <c r="U329" s="7"/>
      <c r="V329" s="8"/>
      <c r="W329" s="7"/>
      <c r="X329" s="7"/>
      <c r="Y329" s="8"/>
      <c r="Z329" s="7"/>
      <c r="AA329" s="8"/>
    </row>
    <row r="330" spans="4:27" ht="15" thickTop="1" thickBot="1">
      <c r="D330" s="65"/>
      <c r="E330" s="51" t="s">
        <v>38</v>
      </c>
      <c r="F330" s="7"/>
      <c r="G330" s="8"/>
      <c r="H330" s="7"/>
      <c r="I330" s="6"/>
      <c r="J330" s="7"/>
      <c r="K330" s="8"/>
      <c r="L330" s="7"/>
      <c r="M330" s="8"/>
      <c r="N330" s="7"/>
      <c r="O330" s="8"/>
      <c r="P330" s="7"/>
      <c r="Q330" s="7"/>
      <c r="R330" s="8"/>
      <c r="S330" s="7"/>
      <c r="T330" s="9"/>
      <c r="U330" s="7"/>
      <c r="V330" s="8"/>
      <c r="W330" s="7"/>
      <c r="X330" s="7"/>
      <c r="Y330" s="8"/>
      <c r="Z330" s="7"/>
      <c r="AA330" s="8"/>
    </row>
    <row r="331" spans="4:27" ht="15" thickTop="1" thickBot="1">
      <c r="D331" s="65"/>
      <c r="E331" s="51" t="s">
        <v>1289</v>
      </c>
      <c r="F331" s="7"/>
      <c r="G331" s="8"/>
      <c r="H331" s="7"/>
      <c r="I331" s="6"/>
      <c r="J331" s="7"/>
      <c r="K331" s="8"/>
      <c r="L331" s="7"/>
      <c r="M331" s="8"/>
      <c r="N331" s="7"/>
      <c r="O331" s="8"/>
      <c r="P331" s="7"/>
      <c r="Q331" s="7"/>
      <c r="R331" s="8"/>
      <c r="S331" s="7"/>
      <c r="T331" s="9"/>
      <c r="U331" s="7"/>
      <c r="V331" s="8"/>
      <c r="W331" s="7"/>
      <c r="X331" s="7"/>
      <c r="Y331" s="8"/>
      <c r="Z331" s="7"/>
      <c r="AA331" s="8"/>
    </row>
    <row r="332" spans="4:27" ht="15" thickTop="1" thickBot="1">
      <c r="D332" s="65"/>
      <c r="E332" s="51" t="s">
        <v>1290</v>
      </c>
      <c r="F332" s="7"/>
      <c r="G332" s="8"/>
      <c r="H332" s="7"/>
      <c r="I332" s="6"/>
      <c r="J332" s="7"/>
      <c r="K332" s="8"/>
      <c r="L332" s="7"/>
      <c r="M332" s="8"/>
      <c r="N332" s="7"/>
      <c r="O332" s="8"/>
      <c r="P332" s="7"/>
      <c r="Q332" s="7"/>
      <c r="R332" s="8"/>
      <c r="S332" s="7"/>
      <c r="T332" s="9"/>
      <c r="U332" s="7"/>
      <c r="V332" s="8"/>
      <c r="W332" s="7"/>
      <c r="X332" s="7"/>
      <c r="Y332" s="8"/>
      <c r="Z332" s="7"/>
      <c r="AA332" s="8"/>
    </row>
    <row r="333" spans="4:27" ht="15" thickTop="1" thickBot="1">
      <c r="D333" s="65"/>
      <c r="E333" s="51" t="s">
        <v>1111</v>
      </c>
      <c r="F333" s="7"/>
      <c r="G333" s="8"/>
      <c r="H333" s="7"/>
      <c r="I333" s="6"/>
      <c r="J333" s="7"/>
      <c r="K333" s="8"/>
      <c r="L333" s="7"/>
      <c r="M333" s="8"/>
      <c r="N333" s="7"/>
      <c r="O333" s="8"/>
      <c r="P333" s="7"/>
      <c r="Q333" s="7"/>
      <c r="R333" s="8"/>
      <c r="S333" s="7"/>
      <c r="T333" s="9"/>
      <c r="U333" s="7"/>
      <c r="V333" s="8"/>
      <c r="W333" s="7"/>
      <c r="X333" s="7"/>
      <c r="Y333" s="8"/>
      <c r="Z333" s="7"/>
      <c r="AA333" s="8"/>
    </row>
    <row r="334" spans="4:27" ht="15" thickTop="1" thickBot="1">
      <c r="D334" s="65"/>
      <c r="E334" s="51" t="s">
        <v>973</v>
      </c>
      <c r="F334" s="7"/>
      <c r="G334" s="8"/>
      <c r="H334" s="7"/>
      <c r="I334" s="6"/>
      <c r="J334" s="7"/>
      <c r="K334" s="8"/>
      <c r="L334" s="7"/>
      <c r="M334" s="8"/>
      <c r="N334" s="7"/>
      <c r="O334" s="8"/>
      <c r="P334" s="7"/>
      <c r="Q334" s="7"/>
      <c r="R334" s="8"/>
      <c r="S334" s="7"/>
      <c r="T334" s="9"/>
      <c r="U334" s="7"/>
      <c r="V334" s="8"/>
      <c r="W334" s="7"/>
      <c r="X334" s="7"/>
      <c r="Y334" s="8"/>
      <c r="Z334" s="7"/>
      <c r="AA334" s="8"/>
    </row>
    <row r="335" spans="4:27" ht="15" thickTop="1" thickBot="1">
      <c r="D335" s="65"/>
      <c r="E335" s="51" t="s">
        <v>1291</v>
      </c>
      <c r="F335" s="7"/>
      <c r="G335" s="8"/>
      <c r="H335" s="7"/>
      <c r="I335" s="6"/>
      <c r="J335" s="7"/>
      <c r="K335" s="8"/>
      <c r="L335" s="7"/>
      <c r="M335" s="8"/>
      <c r="N335" s="7"/>
      <c r="O335" s="8"/>
      <c r="P335" s="7"/>
      <c r="Q335" s="7"/>
      <c r="R335" s="8"/>
      <c r="S335" s="7"/>
      <c r="T335" s="9"/>
      <c r="U335" s="7"/>
      <c r="V335" s="8"/>
      <c r="W335" s="7"/>
      <c r="X335" s="7"/>
      <c r="Y335" s="8"/>
      <c r="Z335" s="7"/>
      <c r="AA335" s="8"/>
    </row>
    <row r="336" spans="4:27" ht="15" thickTop="1" thickBot="1">
      <c r="D336" s="65"/>
      <c r="E336" s="51" t="s">
        <v>993</v>
      </c>
      <c r="F336" s="7"/>
      <c r="G336" s="8"/>
      <c r="H336" s="7"/>
      <c r="I336" s="6"/>
      <c r="J336" s="7"/>
      <c r="K336" s="8"/>
      <c r="L336" s="7"/>
      <c r="M336" s="8"/>
      <c r="N336" s="7"/>
      <c r="O336" s="8"/>
      <c r="P336" s="7"/>
      <c r="Q336" s="7"/>
      <c r="R336" s="8"/>
      <c r="S336" s="7"/>
      <c r="T336" s="9"/>
      <c r="U336" s="7"/>
      <c r="V336" s="8"/>
      <c r="W336" s="7"/>
      <c r="X336" s="7"/>
      <c r="Y336" s="8"/>
      <c r="Z336" s="7"/>
      <c r="AA336" s="8"/>
    </row>
    <row r="337" spans="4:27" ht="15" thickTop="1" thickBot="1">
      <c r="D337" s="65"/>
      <c r="E337" s="51" t="s">
        <v>975</v>
      </c>
      <c r="F337" s="7"/>
      <c r="G337" s="8"/>
      <c r="H337" s="7"/>
      <c r="I337" s="6"/>
      <c r="J337" s="7"/>
      <c r="K337" s="8"/>
      <c r="L337" s="7"/>
      <c r="M337" s="8"/>
      <c r="N337" s="7"/>
      <c r="O337" s="8"/>
      <c r="P337" s="7"/>
      <c r="Q337" s="7"/>
      <c r="R337" s="8"/>
      <c r="S337" s="7"/>
      <c r="T337" s="9"/>
      <c r="U337" s="7"/>
      <c r="V337" s="8"/>
      <c r="W337" s="7"/>
      <c r="X337" s="7"/>
      <c r="Y337" s="8"/>
      <c r="Z337" s="7"/>
      <c r="AA337" s="8"/>
    </row>
    <row r="338" spans="4:27" ht="15" thickTop="1" thickBot="1">
      <c r="D338" s="65"/>
      <c r="E338" s="51" t="s">
        <v>731</v>
      </c>
      <c r="F338" s="7"/>
      <c r="G338" s="8"/>
      <c r="H338" s="7"/>
      <c r="I338" s="6"/>
      <c r="J338" s="7"/>
      <c r="K338" s="8"/>
      <c r="L338" s="7"/>
      <c r="M338" s="8"/>
      <c r="N338" s="7"/>
      <c r="O338" s="8"/>
      <c r="P338" s="7"/>
      <c r="Q338" s="7"/>
      <c r="R338" s="8"/>
      <c r="S338" s="7"/>
      <c r="T338" s="9"/>
      <c r="U338" s="7"/>
      <c r="V338" s="8"/>
      <c r="W338" s="7"/>
      <c r="X338" s="7"/>
      <c r="Y338" s="8"/>
      <c r="Z338" s="7"/>
      <c r="AA338" s="8"/>
    </row>
    <row r="339" spans="4:27" ht="15" thickTop="1" thickBot="1">
      <c r="D339" s="65"/>
      <c r="E339" s="51" t="s">
        <v>706</v>
      </c>
      <c r="F339" s="7"/>
      <c r="G339" s="8"/>
      <c r="H339" s="7"/>
      <c r="I339" s="6"/>
      <c r="J339" s="7"/>
      <c r="K339" s="8"/>
      <c r="L339" s="7"/>
      <c r="M339" s="8"/>
      <c r="N339" s="7"/>
      <c r="O339" s="8"/>
      <c r="P339" s="7"/>
      <c r="Q339" s="7"/>
      <c r="R339" s="8"/>
      <c r="S339" s="7"/>
      <c r="T339" s="9"/>
      <c r="U339" s="7"/>
      <c r="V339" s="8"/>
      <c r="W339" s="7"/>
      <c r="X339" s="7"/>
      <c r="Y339" s="8"/>
      <c r="Z339" s="7"/>
      <c r="AA339" s="8"/>
    </row>
    <row r="340" spans="4:27" ht="15" thickTop="1" thickBot="1">
      <c r="D340" s="65"/>
      <c r="E340" s="51" t="s">
        <v>143</v>
      </c>
      <c r="F340" s="7"/>
      <c r="G340" s="8"/>
      <c r="H340" s="7"/>
      <c r="I340" s="6"/>
      <c r="J340" s="7"/>
      <c r="K340" s="8"/>
      <c r="L340" s="7"/>
      <c r="M340" s="8"/>
      <c r="N340" s="7"/>
      <c r="O340" s="8"/>
      <c r="P340" s="7"/>
      <c r="Q340" s="7"/>
      <c r="R340" s="8"/>
      <c r="S340" s="7"/>
      <c r="T340" s="9"/>
      <c r="U340" s="7"/>
      <c r="V340" s="8"/>
      <c r="W340" s="7"/>
      <c r="X340" s="7"/>
      <c r="Y340" s="8"/>
      <c r="Z340" s="7"/>
      <c r="AA340" s="8"/>
    </row>
    <row r="341" spans="4:27" ht="15" thickTop="1" thickBot="1">
      <c r="D341" s="65"/>
      <c r="E341" s="51" t="s">
        <v>230</v>
      </c>
      <c r="F341" s="7"/>
      <c r="G341" s="8"/>
      <c r="H341" s="7"/>
      <c r="I341" s="6"/>
      <c r="J341" s="7"/>
      <c r="K341" s="8"/>
      <c r="L341" s="7"/>
      <c r="M341" s="8"/>
      <c r="N341" s="7"/>
      <c r="O341" s="8"/>
      <c r="P341" s="7"/>
      <c r="Q341" s="7"/>
      <c r="R341" s="8"/>
      <c r="S341" s="7"/>
      <c r="T341" s="9"/>
      <c r="U341" s="7"/>
      <c r="V341" s="8"/>
      <c r="W341" s="7"/>
      <c r="X341" s="7"/>
      <c r="Y341" s="8"/>
      <c r="Z341" s="7"/>
      <c r="AA341" s="8"/>
    </row>
    <row r="342" spans="4:27" ht="15" thickTop="1" thickBot="1">
      <c r="D342" s="65"/>
      <c r="E342" s="51" t="s">
        <v>144</v>
      </c>
      <c r="F342" s="7"/>
      <c r="G342" s="8"/>
      <c r="H342" s="7"/>
      <c r="I342" s="6"/>
      <c r="J342" s="7"/>
      <c r="K342" s="8"/>
      <c r="L342" s="7"/>
      <c r="M342" s="8"/>
      <c r="N342" s="7"/>
      <c r="O342" s="8"/>
      <c r="P342" s="7"/>
      <c r="Q342" s="7"/>
      <c r="R342" s="8"/>
      <c r="S342" s="7"/>
      <c r="T342" s="9"/>
      <c r="U342" s="7"/>
      <c r="V342" s="8"/>
      <c r="W342" s="7"/>
      <c r="X342" s="7"/>
      <c r="Y342" s="8"/>
      <c r="Z342" s="7"/>
      <c r="AA342" s="8"/>
    </row>
    <row r="343" spans="4:27" ht="15" thickTop="1" thickBot="1">
      <c r="D343" s="65"/>
      <c r="E343" s="51" t="s">
        <v>145</v>
      </c>
      <c r="F343" s="7"/>
      <c r="G343" s="8"/>
      <c r="H343" s="7"/>
      <c r="I343" s="6"/>
      <c r="J343" s="7"/>
      <c r="K343" s="8"/>
      <c r="L343" s="7"/>
      <c r="M343" s="8"/>
      <c r="N343" s="7"/>
      <c r="O343" s="8"/>
      <c r="P343" s="7"/>
      <c r="Q343" s="7"/>
      <c r="R343" s="8"/>
      <c r="S343" s="7"/>
      <c r="T343" s="9"/>
      <c r="U343" s="7"/>
      <c r="V343" s="8"/>
      <c r="W343" s="7"/>
      <c r="X343" s="7"/>
      <c r="Y343" s="8"/>
      <c r="Z343" s="7"/>
      <c r="AA343" s="8"/>
    </row>
    <row r="344" spans="4:27" ht="15" thickTop="1" thickBot="1">
      <c r="D344" s="65"/>
      <c r="E344" s="51" t="s">
        <v>146</v>
      </c>
      <c r="F344" s="7"/>
      <c r="G344" s="8"/>
      <c r="H344" s="7"/>
      <c r="I344" s="6"/>
      <c r="J344" s="7"/>
      <c r="K344" s="8"/>
      <c r="L344" s="7"/>
      <c r="M344" s="8"/>
      <c r="N344" s="7"/>
      <c r="O344" s="8"/>
      <c r="P344" s="7"/>
      <c r="Q344" s="7"/>
      <c r="R344" s="8"/>
      <c r="S344" s="7"/>
      <c r="T344" s="9"/>
      <c r="U344" s="7"/>
      <c r="V344" s="8"/>
      <c r="W344" s="7"/>
      <c r="X344" s="7"/>
      <c r="Y344" s="8"/>
      <c r="Z344" s="7"/>
      <c r="AA344" s="8"/>
    </row>
    <row r="345" spans="4:27" ht="15" thickTop="1" thickBot="1">
      <c r="D345" s="65"/>
      <c r="E345" s="51" t="s">
        <v>1038</v>
      </c>
      <c r="F345" s="7"/>
      <c r="G345" s="8"/>
      <c r="H345" s="7"/>
      <c r="I345" s="6"/>
      <c r="J345" s="7"/>
      <c r="K345" s="8"/>
      <c r="L345" s="7"/>
      <c r="M345" s="8"/>
      <c r="N345" s="7"/>
      <c r="O345" s="8"/>
      <c r="P345" s="7"/>
      <c r="Q345" s="7"/>
      <c r="R345" s="8"/>
      <c r="S345" s="7"/>
      <c r="T345" s="9"/>
      <c r="U345" s="7"/>
      <c r="V345" s="8"/>
      <c r="W345" s="7"/>
      <c r="X345" s="7"/>
      <c r="Y345" s="8"/>
      <c r="Z345" s="7"/>
      <c r="AA345" s="8"/>
    </row>
    <row r="346" spans="4:27" ht="15" thickTop="1" thickBot="1">
      <c r="D346" s="65"/>
      <c r="E346" s="51" t="s">
        <v>1030</v>
      </c>
      <c r="F346" s="7"/>
      <c r="G346" s="8"/>
      <c r="H346" s="7"/>
      <c r="I346" s="6"/>
      <c r="J346" s="7"/>
      <c r="K346" s="8"/>
      <c r="L346" s="7"/>
      <c r="M346" s="8"/>
      <c r="N346" s="7"/>
      <c r="O346" s="8"/>
      <c r="P346" s="7"/>
      <c r="Q346" s="7"/>
      <c r="R346" s="8"/>
      <c r="S346" s="7"/>
      <c r="T346" s="9"/>
      <c r="U346" s="7"/>
      <c r="V346" s="8"/>
      <c r="W346" s="7"/>
      <c r="X346" s="7"/>
      <c r="Y346" s="8"/>
      <c r="Z346" s="7"/>
      <c r="AA346" s="8"/>
    </row>
    <row r="347" spans="4:27" ht="15" thickTop="1" thickBot="1">
      <c r="D347" s="65"/>
      <c r="E347" s="51" t="s">
        <v>1026</v>
      </c>
      <c r="F347" s="7"/>
      <c r="G347" s="8"/>
      <c r="H347" s="7"/>
      <c r="I347" s="6"/>
      <c r="J347" s="7"/>
      <c r="K347" s="8"/>
      <c r="L347" s="7"/>
      <c r="M347" s="8"/>
      <c r="N347" s="7"/>
      <c r="O347" s="8"/>
      <c r="P347" s="7"/>
      <c r="Q347" s="7"/>
      <c r="R347" s="8"/>
      <c r="S347" s="7"/>
      <c r="T347" s="9"/>
      <c r="U347" s="7"/>
      <c r="V347" s="8"/>
      <c r="W347" s="7"/>
      <c r="X347" s="7"/>
      <c r="Y347" s="8"/>
      <c r="Z347" s="7"/>
      <c r="AA347" s="8"/>
    </row>
    <row r="348" spans="4:27" ht="15" thickTop="1" thickBot="1">
      <c r="D348" s="65"/>
      <c r="E348" s="51" t="s">
        <v>1292</v>
      </c>
      <c r="F348" s="7"/>
      <c r="G348" s="8"/>
      <c r="H348" s="7"/>
      <c r="I348" s="6"/>
      <c r="J348" s="7"/>
      <c r="K348" s="8"/>
      <c r="L348" s="7"/>
      <c r="M348" s="8"/>
      <c r="N348" s="7"/>
      <c r="O348" s="8"/>
      <c r="P348" s="7"/>
      <c r="Q348" s="7"/>
      <c r="R348" s="8"/>
      <c r="S348" s="7"/>
      <c r="T348" s="9"/>
      <c r="U348" s="7"/>
      <c r="V348" s="8"/>
      <c r="W348" s="7"/>
      <c r="X348" s="7"/>
      <c r="Y348" s="8"/>
      <c r="Z348" s="7"/>
      <c r="AA348" s="8"/>
    </row>
    <row r="349" spans="4:27" ht="15" thickTop="1" thickBot="1">
      <c r="D349" s="65"/>
      <c r="E349" s="51" t="s">
        <v>229</v>
      </c>
      <c r="F349" s="7"/>
      <c r="G349" s="8"/>
      <c r="H349" s="7"/>
      <c r="I349" s="6"/>
      <c r="J349" s="7"/>
      <c r="K349" s="8"/>
      <c r="L349" s="7"/>
      <c r="M349" s="8"/>
      <c r="N349" s="7"/>
      <c r="O349" s="8"/>
      <c r="P349" s="7"/>
      <c r="Q349" s="7"/>
      <c r="R349" s="8"/>
      <c r="S349" s="7"/>
      <c r="T349" s="9"/>
      <c r="U349" s="7"/>
      <c r="V349" s="8"/>
      <c r="W349" s="7"/>
      <c r="X349" s="7"/>
      <c r="Y349" s="8"/>
      <c r="Z349" s="7"/>
      <c r="AA349" s="8"/>
    </row>
    <row r="350" spans="4:27" ht="15" thickTop="1" thickBot="1">
      <c r="D350" s="65"/>
      <c r="E350" s="51" t="s">
        <v>196</v>
      </c>
      <c r="F350" s="7"/>
      <c r="G350" s="8"/>
      <c r="H350" s="7"/>
      <c r="I350" s="6"/>
      <c r="J350" s="7"/>
      <c r="K350" s="8"/>
      <c r="L350" s="7"/>
      <c r="M350" s="8"/>
      <c r="N350" s="7"/>
      <c r="O350" s="8"/>
      <c r="P350" s="7"/>
      <c r="Q350" s="7"/>
      <c r="R350" s="8"/>
      <c r="S350" s="7"/>
      <c r="T350" s="9"/>
      <c r="U350" s="7"/>
      <c r="V350" s="8"/>
      <c r="W350" s="7"/>
      <c r="X350" s="7"/>
      <c r="Y350" s="8"/>
      <c r="Z350" s="7"/>
      <c r="AA350" s="8"/>
    </row>
    <row r="351" spans="4:27" ht="15" thickTop="1" thickBot="1">
      <c r="D351" s="65"/>
      <c r="E351" s="51" t="s">
        <v>1017</v>
      </c>
      <c r="F351" s="7"/>
      <c r="G351" s="8"/>
      <c r="H351" s="7"/>
      <c r="I351" s="6"/>
      <c r="J351" s="7"/>
      <c r="K351" s="8"/>
      <c r="L351" s="7"/>
      <c r="M351" s="8"/>
      <c r="N351" s="7"/>
      <c r="O351" s="8"/>
      <c r="P351" s="7"/>
      <c r="Q351" s="7"/>
      <c r="R351" s="8"/>
      <c r="S351" s="7"/>
      <c r="T351" s="9"/>
      <c r="U351" s="7"/>
      <c r="V351" s="8"/>
      <c r="W351" s="7"/>
      <c r="X351" s="7"/>
      <c r="Y351" s="8"/>
      <c r="Z351" s="7"/>
      <c r="AA351" s="8"/>
    </row>
    <row r="352" spans="4:27" ht="15" thickTop="1" thickBot="1">
      <c r="D352" s="65"/>
      <c r="E352" s="51" t="s">
        <v>222</v>
      </c>
      <c r="F352" s="7"/>
      <c r="G352" s="8"/>
      <c r="H352" s="7"/>
      <c r="I352" s="6"/>
      <c r="J352" s="7"/>
      <c r="K352" s="8"/>
      <c r="L352" s="7"/>
      <c r="M352" s="8"/>
      <c r="N352" s="7"/>
      <c r="O352" s="8"/>
      <c r="P352" s="7"/>
      <c r="Q352" s="7"/>
      <c r="R352" s="8"/>
      <c r="S352" s="7"/>
      <c r="T352" s="9"/>
      <c r="U352" s="7"/>
      <c r="V352" s="8"/>
      <c r="W352" s="7"/>
      <c r="X352" s="7"/>
      <c r="Y352" s="8"/>
      <c r="Z352" s="7"/>
      <c r="AA352" s="8"/>
    </row>
    <row r="353" spans="4:27" ht="15" thickTop="1" thickBot="1">
      <c r="D353" s="65"/>
      <c r="E353" s="51" t="s">
        <v>207</v>
      </c>
      <c r="F353" s="7"/>
      <c r="G353" s="8"/>
      <c r="H353" s="7"/>
      <c r="I353" s="6"/>
      <c r="J353" s="7"/>
      <c r="K353" s="8"/>
      <c r="L353" s="7"/>
      <c r="M353" s="8"/>
      <c r="N353" s="7"/>
      <c r="O353" s="8"/>
      <c r="P353" s="7"/>
      <c r="Q353" s="7"/>
      <c r="R353" s="8"/>
      <c r="S353" s="7"/>
      <c r="T353" s="9"/>
      <c r="U353" s="7"/>
      <c r="V353" s="8"/>
      <c r="W353" s="7"/>
      <c r="X353" s="7"/>
      <c r="Y353" s="8"/>
      <c r="Z353" s="7"/>
      <c r="AA353" s="8"/>
    </row>
    <row r="354" spans="4:27" ht="15" thickTop="1" thickBot="1">
      <c r="D354" s="65"/>
      <c r="E354" s="51" t="s">
        <v>280</v>
      </c>
      <c r="F354" s="7"/>
      <c r="G354" s="8"/>
      <c r="H354" s="7"/>
      <c r="I354" s="6"/>
      <c r="J354" s="7"/>
      <c r="K354" s="8"/>
      <c r="L354" s="7"/>
      <c r="M354" s="8"/>
      <c r="N354" s="7"/>
      <c r="O354" s="8"/>
      <c r="P354" s="7"/>
      <c r="Q354" s="7"/>
      <c r="R354" s="8"/>
      <c r="S354" s="7"/>
      <c r="T354" s="9"/>
      <c r="U354" s="7"/>
      <c r="V354" s="8"/>
      <c r="W354" s="7"/>
      <c r="X354" s="7"/>
      <c r="Y354" s="8"/>
      <c r="Z354" s="7"/>
      <c r="AA354" s="8"/>
    </row>
    <row r="355" spans="4:27" ht="15" thickTop="1" thickBot="1">
      <c r="D355" s="65"/>
      <c r="E355" s="51" t="s">
        <v>197</v>
      </c>
      <c r="F355" s="7"/>
      <c r="G355" s="8"/>
      <c r="H355" s="7"/>
      <c r="I355" s="6"/>
      <c r="J355" s="7"/>
      <c r="K355" s="8"/>
      <c r="L355" s="7"/>
      <c r="M355" s="8"/>
      <c r="N355" s="7"/>
      <c r="O355" s="8"/>
      <c r="P355" s="7"/>
      <c r="Q355" s="7"/>
      <c r="R355" s="8"/>
      <c r="S355" s="7"/>
      <c r="T355" s="9"/>
      <c r="U355" s="7"/>
      <c r="V355" s="8"/>
      <c r="W355" s="7"/>
      <c r="X355" s="7"/>
      <c r="Y355" s="8"/>
      <c r="Z355" s="7"/>
      <c r="AA355" s="8"/>
    </row>
    <row r="356" spans="4:27" ht="15" thickTop="1" thickBot="1">
      <c r="D356" s="65"/>
      <c r="E356" s="51" t="s">
        <v>199</v>
      </c>
      <c r="F356" s="7"/>
      <c r="G356" s="8"/>
      <c r="H356" s="7"/>
      <c r="I356" s="6"/>
      <c r="J356" s="7"/>
      <c r="K356" s="8"/>
      <c r="L356" s="7"/>
      <c r="M356" s="8"/>
      <c r="N356" s="7"/>
      <c r="O356" s="8"/>
      <c r="P356" s="7"/>
      <c r="Q356" s="7"/>
      <c r="R356" s="8"/>
      <c r="S356" s="7"/>
      <c r="T356" s="9"/>
      <c r="U356" s="7"/>
      <c r="V356" s="8"/>
      <c r="W356" s="7"/>
      <c r="X356" s="7"/>
      <c r="Y356" s="8"/>
      <c r="Z356" s="7"/>
      <c r="AA356" s="8"/>
    </row>
    <row r="357" spans="4:27" ht="15" thickTop="1" thickBot="1">
      <c r="D357" s="65"/>
      <c r="E357" s="51" t="s">
        <v>1008</v>
      </c>
      <c r="F357" s="7"/>
      <c r="G357" s="8"/>
      <c r="H357" s="7"/>
      <c r="I357" s="6"/>
      <c r="J357" s="7"/>
      <c r="K357" s="8"/>
      <c r="L357" s="7"/>
      <c r="M357" s="8"/>
      <c r="N357" s="7"/>
      <c r="O357" s="8"/>
      <c r="P357" s="7"/>
      <c r="Q357" s="7"/>
      <c r="R357" s="8"/>
      <c r="S357" s="7"/>
      <c r="T357" s="9"/>
      <c r="U357" s="7"/>
      <c r="V357" s="8"/>
      <c r="W357" s="7"/>
      <c r="X357" s="7"/>
      <c r="Y357" s="8"/>
      <c r="Z357" s="7"/>
      <c r="AA357" s="8"/>
    </row>
    <row r="358" spans="4:27" ht="15" thickTop="1" thickBot="1">
      <c r="D358" s="65"/>
      <c r="E358" s="51" t="s">
        <v>271</v>
      </c>
      <c r="F358" s="7"/>
      <c r="G358" s="8"/>
      <c r="H358" s="7"/>
      <c r="I358" s="6"/>
      <c r="J358" s="7"/>
      <c r="K358" s="8"/>
      <c r="L358" s="7"/>
      <c r="M358" s="8"/>
      <c r="N358" s="7"/>
      <c r="O358" s="8"/>
      <c r="P358" s="7"/>
      <c r="Q358" s="7"/>
      <c r="R358" s="8"/>
      <c r="S358" s="7"/>
      <c r="T358" s="9"/>
      <c r="U358" s="7"/>
      <c r="V358" s="8"/>
      <c r="W358" s="7"/>
      <c r="X358" s="7"/>
      <c r="Y358" s="8"/>
      <c r="Z358" s="7"/>
      <c r="AA358" s="8"/>
    </row>
    <row r="359" spans="4:27" ht="15" thickTop="1" thickBot="1">
      <c r="D359" s="65"/>
      <c r="E359" s="51" t="s">
        <v>272</v>
      </c>
      <c r="F359" s="7"/>
      <c r="G359" s="8"/>
      <c r="H359" s="7"/>
      <c r="I359" s="6"/>
      <c r="J359" s="7"/>
      <c r="K359" s="8"/>
      <c r="L359" s="7"/>
      <c r="M359" s="8"/>
      <c r="N359" s="7"/>
      <c r="O359" s="8"/>
      <c r="P359" s="7"/>
      <c r="Q359" s="7"/>
      <c r="R359" s="8"/>
      <c r="S359" s="7"/>
      <c r="T359" s="9"/>
      <c r="U359" s="7"/>
      <c r="V359" s="8"/>
      <c r="W359" s="7"/>
      <c r="X359" s="7"/>
      <c r="Y359" s="8"/>
      <c r="Z359" s="7"/>
      <c r="AA359" s="8"/>
    </row>
    <row r="360" spans="4:27" ht="15" thickTop="1" thickBot="1">
      <c r="D360" s="65"/>
      <c r="E360" s="51" t="s">
        <v>1293</v>
      </c>
      <c r="F360" s="7"/>
      <c r="G360" s="8"/>
      <c r="H360" s="7"/>
      <c r="I360" s="6"/>
      <c r="J360" s="7"/>
      <c r="K360" s="8"/>
      <c r="L360" s="7"/>
      <c r="M360" s="8"/>
      <c r="N360" s="7"/>
      <c r="O360" s="8"/>
      <c r="P360" s="7"/>
      <c r="Q360" s="7"/>
      <c r="R360" s="8"/>
      <c r="S360" s="7"/>
      <c r="T360" s="9"/>
      <c r="U360" s="7"/>
      <c r="V360" s="8"/>
      <c r="W360" s="7"/>
      <c r="X360" s="7"/>
      <c r="Y360" s="8"/>
      <c r="Z360" s="7"/>
      <c r="AA360" s="8"/>
    </row>
    <row r="361" spans="4:27" ht="15" thickTop="1" thickBot="1">
      <c r="D361" s="65"/>
      <c r="E361" s="51" t="s">
        <v>1104</v>
      </c>
      <c r="F361" s="7"/>
      <c r="G361" s="8"/>
      <c r="H361" s="7"/>
      <c r="I361" s="6"/>
      <c r="J361" s="7"/>
      <c r="K361" s="8"/>
      <c r="L361" s="7"/>
      <c r="M361" s="8"/>
      <c r="N361" s="7"/>
      <c r="O361" s="8"/>
      <c r="P361" s="7"/>
      <c r="Q361" s="7"/>
      <c r="R361" s="8"/>
      <c r="S361" s="7"/>
      <c r="T361" s="9"/>
      <c r="U361" s="7"/>
      <c r="V361" s="8"/>
      <c r="W361" s="7"/>
      <c r="X361" s="7"/>
      <c r="Y361" s="8"/>
      <c r="Z361" s="7"/>
      <c r="AA361" s="8"/>
    </row>
    <row r="362" spans="4:27" ht="15" thickTop="1" thickBot="1">
      <c r="D362" s="65"/>
      <c r="E362" s="51" t="s">
        <v>1106</v>
      </c>
      <c r="F362" s="7"/>
      <c r="G362" s="8"/>
      <c r="H362" s="7"/>
      <c r="I362" s="6"/>
      <c r="J362" s="7"/>
      <c r="K362" s="8"/>
      <c r="L362" s="7"/>
      <c r="M362" s="8"/>
      <c r="N362" s="7"/>
      <c r="O362" s="8"/>
      <c r="P362" s="7"/>
      <c r="Q362" s="7"/>
      <c r="R362" s="8"/>
      <c r="S362" s="7"/>
      <c r="T362" s="9"/>
      <c r="U362" s="7"/>
      <c r="V362" s="8"/>
      <c r="W362" s="7"/>
      <c r="X362" s="7"/>
      <c r="Y362" s="8"/>
      <c r="Z362" s="7"/>
      <c r="AA362" s="8"/>
    </row>
    <row r="363" spans="4:27" ht="15" thickTop="1" thickBot="1">
      <c r="D363" s="65"/>
      <c r="E363" s="51" t="s">
        <v>1108</v>
      </c>
      <c r="F363" s="7"/>
      <c r="G363" s="8"/>
      <c r="H363" s="7"/>
      <c r="I363" s="6"/>
      <c r="J363" s="7"/>
      <c r="K363" s="8"/>
      <c r="L363" s="7"/>
      <c r="M363" s="8"/>
      <c r="N363" s="7"/>
      <c r="O363" s="8"/>
      <c r="P363" s="7"/>
      <c r="Q363" s="7"/>
      <c r="R363" s="8"/>
      <c r="S363" s="7"/>
      <c r="T363" s="9"/>
      <c r="U363" s="7"/>
      <c r="V363" s="8"/>
      <c r="W363" s="7"/>
      <c r="X363" s="7"/>
      <c r="Y363" s="8"/>
      <c r="Z363" s="7"/>
      <c r="AA363" s="8"/>
    </row>
    <row r="364" spans="4:27" ht="15" thickTop="1" thickBot="1">
      <c r="D364" s="65"/>
      <c r="E364" s="51" t="s">
        <v>1294</v>
      </c>
      <c r="F364" s="7"/>
      <c r="G364" s="8"/>
      <c r="H364" s="7"/>
      <c r="I364" s="6"/>
      <c r="J364" s="7"/>
      <c r="K364" s="8"/>
      <c r="L364" s="7"/>
      <c r="M364" s="8"/>
      <c r="N364" s="7"/>
      <c r="O364" s="8"/>
      <c r="P364" s="7"/>
      <c r="Q364" s="7"/>
      <c r="R364" s="8"/>
      <c r="S364" s="7"/>
      <c r="T364" s="9"/>
      <c r="U364" s="7"/>
      <c r="V364" s="8"/>
      <c r="W364" s="7"/>
      <c r="X364" s="7"/>
      <c r="Y364" s="8"/>
      <c r="Z364" s="7"/>
      <c r="AA364" s="8"/>
    </row>
    <row r="365" spans="4:27" ht="15" thickTop="1" thickBot="1">
      <c r="D365" s="65"/>
      <c r="E365" s="51" t="s">
        <v>1109</v>
      </c>
      <c r="F365" s="7"/>
      <c r="G365" s="8"/>
      <c r="H365" s="7"/>
      <c r="I365" s="6"/>
      <c r="J365" s="7"/>
      <c r="K365" s="8"/>
      <c r="L365" s="7"/>
      <c r="M365" s="8"/>
      <c r="N365" s="7"/>
      <c r="O365" s="8"/>
      <c r="P365" s="7"/>
      <c r="Q365" s="7"/>
      <c r="R365" s="8"/>
      <c r="S365" s="7"/>
      <c r="T365" s="9"/>
      <c r="U365" s="7"/>
      <c r="V365" s="8"/>
      <c r="W365" s="7"/>
      <c r="X365" s="7"/>
      <c r="Y365" s="8"/>
      <c r="Z365" s="7"/>
      <c r="AA365" s="8"/>
    </row>
    <row r="366" spans="4:27" ht="15" thickTop="1" thickBot="1">
      <c r="D366" s="65"/>
      <c r="E366" s="51" t="s">
        <v>1295</v>
      </c>
      <c r="F366" s="7"/>
      <c r="G366" s="8"/>
      <c r="H366" s="7"/>
      <c r="I366" s="6"/>
      <c r="J366" s="7"/>
      <c r="K366" s="8"/>
      <c r="L366" s="7"/>
      <c r="M366" s="8"/>
      <c r="N366" s="7"/>
      <c r="O366" s="8"/>
      <c r="P366" s="7"/>
      <c r="Q366" s="7"/>
      <c r="R366" s="8"/>
      <c r="S366" s="7"/>
      <c r="T366" s="9"/>
      <c r="U366" s="7"/>
      <c r="V366" s="8"/>
      <c r="W366" s="7"/>
      <c r="X366" s="7"/>
      <c r="Y366" s="8"/>
      <c r="Z366" s="7"/>
      <c r="AA366" s="8"/>
    </row>
    <row r="367" spans="4:27" ht="15" thickTop="1" thickBot="1">
      <c r="D367" s="65"/>
      <c r="E367" s="51" t="s">
        <v>1014</v>
      </c>
      <c r="F367" s="7"/>
      <c r="G367" s="8"/>
      <c r="H367" s="7"/>
      <c r="I367" s="6"/>
      <c r="J367" s="7"/>
      <c r="K367" s="8"/>
      <c r="L367" s="7"/>
      <c r="M367" s="8"/>
      <c r="N367" s="7"/>
      <c r="O367" s="8"/>
      <c r="P367" s="7"/>
      <c r="Q367" s="7"/>
      <c r="R367" s="8"/>
      <c r="S367" s="7"/>
      <c r="T367" s="9"/>
      <c r="U367" s="7"/>
      <c r="V367" s="8"/>
      <c r="W367" s="7"/>
      <c r="X367" s="7"/>
      <c r="Y367" s="8"/>
      <c r="Z367" s="7"/>
      <c r="AA367" s="8"/>
    </row>
    <row r="368" spans="4:27" ht="15" thickTop="1" thickBot="1">
      <c r="D368" s="65"/>
      <c r="E368" s="51" t="s">
        <v>200</v>
      </c>
      <c r="F368" s="7"/>
      <c r="G368" s="8"/>
      <c r="H368" s="7"/>
      <c r="I368" s="6"/>
      <c r="J368" s="7"/>
      <c r="K368" s="8"/>
      <c r="L368" s="7"/>
      <c r="M368" s="8"/>
      <c r="N368" s="7"/>
      <c r="O368" s="8"/>
      <c r="P368" s="7"/>
      <c r="Q368" s="7"/>
      <c r="R368" s="8"/>
      <c r="S368" s="7"/>
      <c r="T368" s="9"/>
      <c r="U368" s="7"/>
      <c r="V368" s="8"/>
      <c r="W368" s="7"/>
      <c r="X368" s="7"/>
      <c r="Y368" s="8"/>
      <c r="Z368" s="7"/>
      <c r="AA368" s="8"/>
    </row>
    <row r="369" spans="4:27" ht="15" thickTop="1" thickBot="1">
      <c r="D369" s="65"/>
      <c r="E369" s="51" t="s">
        <v>277</v>
      </c>
      <c r="F369" s="7"/>
      <c r="G369" s="8"/>
      <c r="H369" s="7"/>
      <c r="I369" s="6"/>
      <c r="J369" s="7"/>
      <c r="K369" s="8"/>
      <c r="L369" s="7"/>
      <c r="M369" s="8"/>
      <c r="N369" s="7"/>
      <c r="O369" s="8"/>
      <c r="P369" s="7"/>
      <c r="Q369" s="7"/>
      <c r="R369" s="8"/>
      <c r="S369" s="7"/>
      <c r="T369" s="9"/>
      <c r="U369" s="7"/>
      <c r="V369" s="8"/>
      <c r="W369" s="7"/>
      <c r="X369" s="7"/>
      <c r="Y369" s="8"/>
      <c r="Z369" s="7"/>
      <c r="AA369" s="8"/>
    </row>
    <row r="370" spans="4:27" ht="15" thickTop="1" thickBot="1">
      <c r="D370" s="65"/>
      <c r="E370" s="51" t="s">
        <v>1012</v>
      </c>
      <c r="F370" s="7"/>
      <c r="G370" s="8"/>
      <c r="H370" s="7"/>
      <c r="I370" s="6"/>
      <c r="J370" s="7"/>
      <c r="K370" s="8"/>
      <c r="L370" s="7"/>
      <c r="M370" s="8"/>
      <c r="N370" s="7"/>
      <c r="O370" s="8"/>
      <c r="P370" s="7"/>
      <c r="Q370" s="7"/>
      <c r="R370" s="8"/>
      <c r="S370" s="7"/>
      <c r="T370" s="9"/>
      <c r="U370" s="7"/>
      <c r="V370" s="8"/>
      <c r="W370" s="7"/>
      <c r="X370" s="7"/>
      <c r="Y370" s="8"/>
      <c r="Z370" s="7"/>
      <c r="AA370" s="8"/>
    </row>
    <row r="371" spans="4:27" ht="15" thickTop="1" thickBot="1">
      <c r="D371" s="65"/>
      <c r="E371" s="51" t="s">
        <v>201</v>
      </c>
      <c r="F371" s="7"/>
      <c r="G371" s="8"/>
      <c r="H371" s="7"/>
      <c r="I371" s="6"/>
      <c r="J371" s="7"/>
      <c r="K371" s="8"/>
      <c r="L371" s="7"/>
      <c r="M371" s="8"/>
      <c r="N371" s="7"/>
      <c r="O371" s="8"/>
      <c r="P371" s="7"/>
      <c r="Q371" s="7"/>
      <c r="R371" s="8"/>
      <c r="S371" s="7"/>
      <c r="T371" s="9"/>
      <c r="U371" s="7"/>
      <c r="V371" s="8"/>
      <c r="W371" s="7"/>
      <c r="X371" s="7"/>
      <c r="Y371" s="8"/>
      <c r="Z371" s="7"/>
      <c r="AA371" s="8"/>
    </row>
    <row r="372" spans="4:27" ht="15" thickTop="1" thickBot="1">
      <c r="D372" s="65"/>
      <c r="E372" s="51" t="s">
        <v>203</v>
      </c>
      <c r="F372" s="7"/>
      <c r="G372" s="8"/>
      <c r="H372" s="7"/>
      <c r="I372" s="6"/>
      <c r="J372" s="7"/>
      <c r="K372" s="8"/>
      <c r="L372" s="7"/>
      <c r="M372" s="8"/>
      <c r="N372" s="7"/>
      <c r="O372" s="8"/>
      <c r="P372" s="7"/>
      <c r="Q372" s="7"/>
      <c r="R372" s="8"/>
      <c r="S372" s="7"/>
      <c r="T372" s="9"/>
      <c r="U372" s="7"/>
      <c r="V372" s="8"/>
      <c r="W372" s="7"/>
      <c r="X372" s="7"/>
      <c r="Y372" s="8"/>
      <c r="Z372" s="7"/>
      <c r="AA372" s="8"/>
    </row>
    <row r="373" spans="4:27" ht="15" thickTop="1" thickBot="1">
      <c r="D373" s="65"/>
      <c r="E373" s="51" t="s">
        <v>1001</v>
      </c>
      <c r="F373" s="7"/>
      <c r="G373" s="8"/>
      <c r="H373" s="7"/>
      <c r="I373" s="6"/>
      <c r="J373" s="7"/>
      <c r="K373" s="8"/>
      <c r="L373" s="7"/>
      <c r="M373" s="8"/>
      <c r="N373" s="7"/>
      <c r="O373" s="8"/>
      <c r="P373" s="7"/>
      <c r="Q373" s="7"/>
      <c r="R373" s="8"/>
      <c r="S373" s="7"/>
      <c r="T373" s="9"/>
      <c r="U373" s="7"/>
      <c r="V373" s="8"/>
      <c r="W373" s="7"/>
      <c r="X373" s="7"/>
      <c r="Y373" s="8"/>
      <c r="Z373" s="7"/>
      <c r="AA373" s="8"/>
    </row>
    <row r="374" spans="4:27" ht="15" thickTop="1" thickBot="1">
      <c r="D374" s="65"/>
      <c r="E374" s="51" t="s">
        <v>1010</v>
      </c>
      <c r="F374" s="7"/>
      <c r="G374" s="8"/>
      <c r="H374" s="7"/>
      <c r="I374" s="6"/>
      <c r="J374" s="7"/>
      <c r="K374" s="8"/>
      <c r="L374" s="7"/>
      <c r="M374" s="8"/>
      <c r="N374" s="7"/>
      <c r="O374" s="8"/>
      <c r="P374" s="7"/>
      <c r="Q374" s="7"/>
      <c r="R374" s="8"/>
      <c r="S374" s="7"/>
      <c r="T374" s="9"/>
      <c r="U374" s="7"/>
      <c r="V374" s="8"/>
      <c r="W374" s="7"/>
      <c r="X374" s="7"/>
      <c r="Y374" s="8"/>
      <c r="Z374" s="7"/>
      <c r="AA374" s="8"/>
    </row>
    <row r="375" spans="4:27" ht="15" thickTop="1" thickBot="1">
      <c r="D375" s="65"/>
      <c r="E375" s="51" t="s">
        <v>285</v>
      </c>
      <c r="F375" s="7"/>
      <c r="G375" s="8"/>
      <c r="H375" s="7"/>
      <c r="I375" s="6"/>
      <c r="J375" s="7"/>
      <c r="K375" s="8"/>
      <c r="L375" s="7"/>
      <c r="M375" s="8"/>
      <c r="N375" s="7"/>
      <c r="O375" s="8"/>
      <c r="P375" s="7"/>
      <c r="Q375" s="7"/>
      <c r="R375" s="8"/>
      <c r="S375" s="7"/>
      <c r="T375" s="9"/>
      <c r="U375" s="7"/>
      <c r="V375" s="8"/>
      <c r="W375" s="7"/>
      <c r="X375" s="7"/>
      <c r="Y375" s="8"/>
      <c r="Z375" s="7"/>
      <c r="AA375" s="8"/>
    </row>
    <row r="376" spans="4:27" ht="15" thickTop="1" thickBot="1">
      <c r="D376" s="65"/>
      <c r="E376" s="51" t="s">
        <v>1003</v>
      </c>
      <c r="F376" s="7"/>
      <c r="G376" s="8"/>
      <c r="H376" s="7"/>
      <c r="I376" s="6"/>
      <c r="J376" s="7"/>
      <c r="K376" s="8"/>
      <c r="L376" s="7"/>
      <c r="M376" s="8"/>
      <c r="N376" s="7"/>
      <c r="O376" s="8"/>
      <c r="P376" s="7"/>
      <c r="Q376" s="7"/>
      <c r="R376" s="8"/>
      <c r="S376" s="7"/>
      <c r="T376" s="9"/>
      <c r="U376" s="7"/>
      <c r="V376" s="8"/>
      <c r="W376" s="7"/>
      <c r="X376" s="7"/>
      <c r="Y376" s="8"/>
      <c r="Z376" s="7"/>
      <c r="AA376" s="8"/>
    </row>
    <row r="377" spans="4:27" ht="15" thickTop="1" thickBot="1">
      <c r="D377" s="65"/>
      <c r="E377" s="51" t="s">
        <v>1296</v>
      </c>
      <c r="F377" s="7"/>
      <c r="G377" s="8"/>
      <c r="H377" s="7"/>
      <c r="I377" s="6"/>
      <c r="J377" s="7"/>
      <c r="K377" s="8"/>
      <c r="L377" s="7"/>
      <c r="M377" s="8"/>
      <c r="N377" s="7"/>
      <c r="O377" s="8"/>
      <c r="P377" s="7"/>
      <c r="Q377" s="7"/>
      <c r="R377" s="8"/>
      <c r="S377" s="7"/>
      <c r="T377" s="9"/>
      <c r="U377" s="7"/>
      <c r="V377" s="8"/>
      <c r="W377" s="7"/>
      <c r="X377" s="7"/>
      <c r="Y377" s="8"/>
      <c r="Z377" s="7"/>
      <c r="AA377" s="8"/>
    </row>
    <row r="378" spans="4:27" ht="15" thickTop="1" thickBot="1">
      <c r="D378" s="65"/>
      <c r="E378" s="51" t="s">
        <v>1124</v>
      </c>
      <c r="F378" s="7"/>
      <c r="G378" s="8"/>
      <c r="H378" s="7"/>
      <c r="I378" s="6"/>
      <c r="J378" s="7"/>
      <c r="K378" s="8"/>
      <c r="L378" s="7"/>
      <c r="M378" s="8"/>
      <c r="N378" s="7"/>
      <c r="O378" s="8"/>
      <c r="P378" s="7"/>
      <c r="Q378" s="7"/>
      <c r="R378" s="8"/>
      <c r="S378" s="7"/>
      <c r="T378" s="9"/>
      <c r="U378" s="7"/>
      <c r="V378" s="8"/>
      <c r="W378" s="7"/>
      <c r="X378" s="7"/>
      <c r="Y378" s="8"/>
      <c r="Z378" s="7"/>
      <c r="AA378" s="8"/>
    </row>
    <row r="379" spans="4:27" ht="15" thickTop="1" thickBot="1">
      <c r="D379" s="65"/>
      <c r="E379" s="51" t="s">
        <v>1125</v>
      </c>
      <c r="F379" s="7"/>
      <c r="G379" s="8"/>
      <c r="H379" s="7"/>
      <c r="I379" s="6"/>
      <c r="J379" s="7"/>
      <c r="K379" s="8"/>
      <c r="L379" s="7"/>
      <c r="M379" s="8"/>
      <c r="N379" s="7"/>
      <c r="O379" s="8"/>
      <c r="P379" s="7"/>
      <c r="Q379" s="7"/>
      <c r="R379" s="8"/>
      <c r="S379" s="7"/>
      <c r="T379" s="9"/>
      <c r="U379" s="7"/>
      <c r="V379" s="8"/>
      <c r="W379" s="7"/>
      <c r="X379" s="7"/>
      <c r="Y379" s="8"/>
      <c r="Z379" s="7"/>
      <c r="AA379" s="8"/>
    </row>
    <row r="380" spans="4:27" ht="15" thickTop="1" thickBot="1">
      <c r="D380" s="65"/>
      <c r="E380" s="51" t="s">
        <v>1126</v>
      </c>
      <c r="F380" s="7"/>
      <c r="G380" s="8"/>
      <c r="H380" s="7"/>
      <c r="I380" s="6"/>
      <c r="J380" s="7"/>
      <c r="K380" s="8"/>
      <c r="L380" s="7"/>
      <c r="M380" s="8"/>
      <c r="N380" s="7"/>
      <c r="O380" s="8"/>
      <c r="P380" s="7"/>
      <c r="Q380" s="7"/>
      <c r="R380" s="8"/>
      <c r="S380" s="7"/>
      <c r="T380" s="9"/>
      <c r="U380" s="7"/>
      <c r="V380" s="8"/>
      <c r="W380" s="7"/>
      <c r="X380" s="7"/>
      <c r="Y380" s="8"/>
      <c r="Z380" s="7"/>
      <c r="AA380" s="8"/>
    </row>
    <row r="381" spans="4:27" ht="15" thickTop="1" thickBot="1">
      <c r="D381" s="65"/>
      <c r="E381" s="51" t="s">
        <v>1127</v>
      </c>
      <c r="F381" s="7"/>
      <c r="G381" s="8"/>
      <c r="H381" s="7"/>
      <c r="I381" s="6"/>
      <c r="J381" s="7"/>
      <c r="K381" s="8"/>
      <c r="L381" s="7"/>
      <c r="M381" s="8"/>
      <c r="N381" s="7"/>
      <c r="O381" s="8"/>
      <c r="P381" s="7"/>
      <c r="Q381" s="7"/>
      <c r="R381" s="8"/>
      <c r="S381" s="7"/>
      <c r="T381" s="9"/>
      <c r="U381" s="7"/>
      <c r="V381" s="8"/>
      <c r="W381" s="7"/>
      <c r="X381" s="7"/>
      <c r="Y381" s="8"/>
      <c r="Z381" s="7"/>
      <c r="AA381" s="8"/>
    </row>
    <row r="382" spans="4:27" ht="15" thickTop="1" thickBot="1">
      <c r="D382" s="65"/>
      <c r="E382" s="51" t="s">
        <v>1128</v>
      </c>
      <c r="F382" s="7"/>
      <c r="G382" s="8"/>
      <c r="H382" s="7"/>
      <c r="I382" s="6"/>
      <c r="J382" s="7"/>
      <c r="K382" s="8"/>
      <c r="L382" s="7"/>
      <c r="M382" s="8"/>
      <c r="N382" s="7"/>
      <c r="O382" s="8"/>
      <c r="P382" s="7"/>
      <c r="Q382" s="7"/>
      <c r="R382" s="8"/>
      <c r="S382" s="7"/>
      <c r="T382" s="9"/>
      <c r="U382" s="7"/>
      <c r="V382" s="8"/>
      <c r="W382" s="7"/>
      <c r="X382" s="7"/>
      <c r="Y382" s="8"/>
      <c r="Z382" s="7"/>
      <c r="AA382" s="8"/>
    </row>
    <row r="383" spans="4:27" ht="15" thickTop="1" thickBot="1">
      <c r="D383" s="65"/>
      <c r="E383" s="51" t="s">
        <v>1129</v>
      </c>
      <c r="F383" s="7"/>
      <c r="G383" s="8"/>
      <c r="H383" s="7"/>
      <c r="I383" s="6"/>
      <c r="J383" s="7"/>
      <c r="K383" s="8"/>
      <c r="L383" s="7"/>
      <c r="M383" s="8"/>
      <c r="N383" s="7"/>
      <c r="O383" s="8"/>
      <c r="P383" s="7"/>
      <c r="Q383" s="7"/>
      <c r="R383" s="8"/>
      <c r="S383" s="7"/>
      <c r="T383" s="9"/>
      <c r="U383" s="7"/>
      <c r="V383" s="8"/>
      <c r="W383" s="7"/>
      <c r="X383" s="7"/>
      <c r="Y383" s="8"/>
      <c r="Z383" s="7"/>
      <c r="AA383" s="8"/>
    </row>
    <row r="384" spans="4:27" ht="15" thickTop="1" thickBot="1">
      <c r="D384" s="65"/>
      <c r="E384" s="51" t="s">
        <v>1019</v>
      </c>
      <c r="F384" s="7"/>
      <c r="G384" s="8"/>
      <c r="H384" s="7"/>
      <c r="I384" s="6"/>
      <c r="J384" s="7"/>
      <c r="K384" s="8"/>
      <c r="L384" s="7"/>
      <c r="M384" s="8"/>
      <c r="N384" s="7"/>
      <c r="O384" s="8"/>
      <c r="P384" s="7"/>
      <c r="Q384" s="7"/>
      <c r="R384" s="8"/>
      <c r="S384" s="7"/>
      <c r="T384" s="9"/>
      <c r="U384" s="7"/>
      <c r="V384" s="8"/>
      <c r="W384" s="7"/>
      <c r="X384" s="7"/>
      <c r="Y384" s="8"/>
      <c r="Z384" s="7"/>
      <c r="AA384" s="8"/>
    </row>
    <row r="385" spans="4:27" ht="15" thickTop="1" thickBot="1">
      <c r="D385" s="65"/>
      <c r="E385" s="51" t="s">
        <v>1016</v>
      </c>
      <c r="F385" s="7"/>
      <c r="G385" s="8"/>
      <c r="H385" s="7"/>
      <c r="I385" s="6"/>
      <c r="J385" s="7"/>
      <c r="K385" s="8"/>
      <c r="L385" s="7"/>
      <c r="M385" s="8"/>
      <c r="N385" s="7"/>
      <c r="O385" s="8"/>
      <c r="P385" s="7"/>
      <c r="Q385" s="7"/>
      <c r="R385" s="8"/>
      <c r="S385" s="7"/>
      <c r="T385" s="9"/>
      <c r="U385" s="7"/>
      <c r="V385" s="8"/>
      <c r="W385" s="7"/>
      <c r="X385" s="7"/>
      <c r="Y385" s="8"/>
      <c r="Z385" s="7"/>
      <c r="AA385" s="8"/>
    </row>
    <row r="386" spans="4:27" ht="15" thickTop="1" thickBot="1">
      <c r="D386" s="65"/>
      <c r="E386" s="51" t="s">
        <v>742</v>
      </c>
      <c r="F386" s="7"/>
      <c r="G386" s="8"/>
      <c r="H386" s="7"/>
      <c r="I386" s="6"/>
      <c r="J386" s="7"/>
      <c r="K386" s="8"/>
      <c r="L386" s="7"/>
      <c r="M386" s="8"/>
      <c r="N386" s="7"/>
      <c r="O386" s="8"/>
      <c r="P386" s="7"/>
      <c r="Q386" s="7"/>
      <c r="R386" s="8"/>
      <c r="S386" s="7"/>
      <c r="T386" s="9"/>
      <c r="U386" s="7"/>
      <c r="V386" s="8"/>
      <c r="W386" s="7"/>
      <c r="X386" s="7"/>
      <c r="Y386" s="8"/>
      <c r="Z386" s="7"/>
      <c r="AA386" s="8"/>
    </row>
    <row r="387" spans="4:27" ht="15" thickTop="1" thickBot="1">
      <c r="D387" s="65"/>
      <c r="E387" s="51" t="s">
        <v>990</v>
      </c>
      <c r="F387" s="7"/>
      <c r="G387" s="8"/>
      <c r="H387" s="7"/>
      <c r="I387" s="6"/>
      <c r="J387" s="7"/>
      <c r="K387" s="8"/>
      <c r="L387" s="7"/>
      <c r="M387" s="8"/>
      <c r="N387" s="7"/>
      <c r="O387" s="8"/>
      <c r="P387" s="7"/>
      <c r="Q387" s="7"/>
      <c r="R387" s="8"/>
      <c r="S387" s="7"/>
      <c r="T387" s="9"/>
      <c r="U387" s="7"/>
      <c r="V387" s="8"/>
      <c r="W387" s="7"/>
      <c r="X387" s="7"/>
      <c r="Y387" s="8"/>
      <c r="Z387" s="7"/>
      <c r="AA387" s="8"/>
    </row>
    <row r="388" spans="4:27" ht="15" thickTop="1" thickBot="1">
      <c r="D388" s="65"/>
      <c r="E388" s="51" t="s">
        <v>988</v>
      </c>
      <c r="F388" s="7"/>
      <c r="G388" s="8"/>
      <c r="H388" s="7"/>
      <c r="I388" s="6"/>
      <c r="J388" s="7"/>
      <c r="K388" s="8"/>
      <c r="L388" s="7"/>
      <c r="M388" s="8"/>
      <c r="N388" s="7"/>
      <c r="O388" s="8"/>
      <c r="P388" s="7"/>
      <c r="Q388" s="7"/>
      <c r="R388" s="8"/>
      <c r="S388" s="7"/>
      <c r="T388" s="9"/>
      <c r="U388" s="7"/>
      <c r="V388" s="8"/>
      <c r="W388" s="7"/>
      <c r="X388" s="7"/>
      <c r="Y388" s="8"/>
      <c r="Z388" s="7"/>
      <c r="AA388" s="8"/>
    </row>
    <row r="389" spans="4:27" ht="15" thickTop="1" thickBot="1">
      <c r="D389" s="65"/>
      <c r="E389" s="51" t="s">
        <v>986</v>
      </c>
      <c r="F389" s="7"/>
      <c r="G389" s="8"/>
      <c r="H389" s="7"/>
      <c r="I389" s="6"/>
      <c r="J389" s="7"/>
      <c r="K389" s="8"/>
      <c r="L389" s="7"/>
      <c r="M389" s="8"/>
      <c r="N389" s="7"/>
      <c r="O389" s="8"/>
      <c r="P389" s="7"/>
      <c r="Q389" s="7"/>
      <c r="R389" s="8"/>
      <c r="S389" s="7"/>
      <c r="T389" s="9"/>
      <c r="U389" s="7"/>
      <c r="V389" s="8"/>
      <c r="W389" s="7"/>
      <c r="X389" s="7"/>
      <c r="Y389" s="8"/>
      <c r="Z389" s="7"/>
      <c r="AA389" s="8"/>
    </row>
    <row r="390" spans="4:27" ht="15" thickTop="1" thickBot="1">
      <c r="D390" s="65"/>
      <c r="E390" s="51" t="s">
        <v>987</v>
      </c>
      <c r="F390" s="7"/>
      <c r="G390" s="8"/>
      <c r="H390" s="7"/>
      <c r="I390" s="6"/>
      <c r="J390" s="7"/>
      <c r="K390" s="8"/>
      <c r="L390" s="7"/>
      <c r="M390" s="8"/>
      <c r="N390" s="7"/>
      <c r="O390" s="8"/>
      <c r="P390" s="7"/>
      <c r="Q390" s="7"/>
      <c r="R390" s="8"/>
      <c r="S390" s="7"/>
      <c r="T390" s="9"/>
      <c r="U390" s="7"/>
      <c r="V390" s="8"/>
      <c r="W390" s="7"/>
      <c r="X390" s="7"/>
      <c r="Y390" s="8"/>
      <c r="Z390" s="7"/>
      <c r="AA390" s="8"/>
    </row>
    <row r="391" spans="4:27" ht="15" thickTop="1" thickBot="1">
      <c r="D391" s="65"/>
      <c r="E391" s="51" t="s">
        <v>1297</v>
      </c>
      <c r="F391" s="7"/>
      <c r="G391" s="8"/>
      <c r="H391" s="7"/>
      <c r="I391" s="6"/>
      <c r="J391" s="7"/>
      <c r="K391" s="8"/>
      <c r="L391" s="7"/>
      <c r="M391" s="8"/>
      <c r="N391" s="7"/>
      <c r="O391" s="8"/>
      <c r="P391" s="7"/>
      <c r="Q391" s="7"/>
      <c r="R391" s="8"/>
      <c r="S391" s="7"/>
      <c r="T391" s="9"/>
      <c r="U391" s="7"/>
      <c r="V391" s="8"/>
      <c r="W391" s="7"/>
      <c r="X391" s="7"/>
      <c r="Y391" s="8"/>
      <c r="Z391" s="7"/>
      <c r="AA391" s="8"/>
    </row>
    <row r="392" spans="4:27" ht="15" thickTop="1" thickBot="1">
      <c r="D392" s="65"/>
      <c r="E392" s="51" t="s">
        <v>1050</v>
      </c>
      <c r="F392" s="7"/>
      <c r="G392" s="8"/>
      <c r="H392" s="7"/>
      <c r="I392" s="6"/>
      <c r="J392" s="7"/>
      <c r="K392" s="8"/>
      <c r="L392" s="7"/>
      <c r="M392" s="8"/>
      <c r="N392" s="7"/>
      <c r="O392" s="8"/>
      <c r="P392" s="7"/>
      <c r="Q392" s="7"/>
      <c r="R392" s="8"/>
      <c r="S392" s="7"/>
      <c r="T392" s="9"/>
      <c r="U392" s="7"/>
      <c r="V392" s="8"/>
      <c r="W392" s="7"/>
      <c r="X392" s="7"/>
      <c r="Y392" s="8"/>
      <c r="Z392" s="7"/>
      <c r="AA392" s="8"/>
    </row>
    <row r="393" spans="4:27" ht="15" thickTop="1" thickBot="1">
      <c r="D393" s="65"/>
      <c r="E393" s="51" t="s">
        <v>1048</v>
      </c>
      <c r="F393" s="7"/>
      <c r="G393" s="8"/>
      <c r="H393" s="7"/>
      <c r="I393" s="6"/>
      <c r="J393" s="7"/>
      <c r="K393" s="8"/>
      <c r="L393" s="7"/>
      <c r="M393" s="8"/>
      <c r="N393" s="7"/>
      <c r="O393" s="8"/>
      <c r="P393" s="7"/>
      <c r="Q393" s="7"/>
      <c r="R393" s="8"/>
      <c r="S393" s="7"/>
      <c r="T393" s="9"/>
      <c r="U393" s="7"/>
      <c r="V393" s="8"/>
      <c r="W393" s="7"/>
      <c r="X393" s="7"/>
      <c r="Y393" s="8"/>
      <c r="Z393" s="7"/>
      <c r="AA393" s="8"/>
    </row>
    <row r="394" spans="4:27" ht="15" thickTop="1" thickBot="1">
      <c r="D394" s="65"/>
      <c r="E394" s="51" t="s">
        <v>1049</v>
      </c>
      <c r="F394" s="7"/>
      <c r="G394" s="8"/>
      <c r="H394" s="7"/>
      <c r="I394" s="6"/>
      <c r="J394" s="7"/>
      <c r="K394" s="8"/>
      <c r="L394" s="7"/>
      <c r="M394" s="8"/>
      <c r="N394" s="7"/>
      <c r="O394" s="8"/>
      <c r="P394" s="7"/>
      <c r="Q394" s="7"/>
      <c r="R394" s="8"/>
      <c r="S394" s="7"/>
      <c r="T394" s="9"/>
      <c r="U394" s="7"/>
      <c r="V394" s="8"/>
      <c r="W394" s="7"/>
      <c r="X394" s="7"/>
      <c r="Y394" s="8"/>
      <c r="Z394" s="7"/>
      <c r="AA394" s="8"/>
    </row>
    <row r="395" spans="4:27" ht="15" thickTop="1" thickBot="1">
      <c r="D395" s="65"/>
      <c r="E395" s="51" t="s">
        <v>151</v>
      </c>
      <c r="F395" s="7"/>
      <c r="G395" s="8"/>
      <c r="H395" s="7"/>
      <c r="I395" s="6"/>
      <c r="J395" s="7"/>
      <c r="K395" s="8"/>
      <c r="L395" s="7"/>
      <c r="M395" s="8"/>
      <c r="N395" s="7"/>
      <c r="O395" s="8"/>
      <c r="P395" s="7"/>
      <c r="Q395" s="7"/>
      <c r="R395" s="8"/>
      <c r="S395" s="7"/>
      <c r="T395" s="9"/>
      <c r="U395" s="7"/>
      <c r="V395" s="8"/>
      <c r="W395" s="7"/>
      <c r="X395" s="7"/>
      <c r="Y395" s="8"/>
      <c r="Z395" s="7"/>
      <c r="AA395" s="8"/>
    </row>
    <row r="396" spans="4:27" ht="15" thickTop="1" thickBot="1">
      <c r="D396" s="65"/>
      <c r="E396" s="51" t="s">
        <v>223</v>
      </c>
      <c r="F396" s="7"/>
      <c r="G396" s="8"/>
      <c r="H396" s="7"/>
      <c r="I396" s="6"/>
      <c r="J396" s="7"/>
      <c r="K396" s="8"/>
      <c r="L396" s="7"/>
      <c r="M396" s="8"/>
      <c r="N396" s="7"/>
      <c r="O396" s="8"/>
      <c r="P396" s="7"/>
      <c r="Q396" s="7"/>
      <c r="R396" s="8"/>
      <c r="S396" s="7"/>
      <c r="T396" s="9"/>
      <c r="U396" s="7"/>
      <c r="V396" s="8"/>
      <c r="W396" s="7"/>
      <c r="X396" s="7"/>
      <c r="Y396" s="8"/>
      <c r="Z396" s="7"/>
      <c r="AA396" s="8"/>
    </row>
    <row r="397" spans="4:27" ht="15" thickTop="1" thickBot="1">
      <c r="D397" s="65"/>
      <c r="E397" s="51" t="s">
        <v>152</v>
      </c>
      <c r="F397" s="7"/>
      <c r="G397" s="8"/>
      <c r="H397" s="7"/>
      <c r="I397" s="6"/>
      <c r="J397" s="7"/>
      <c r="K397" s="8"/>
      <c r="L397" s="7"/>
      <c r="M397" s="8"/>
      <c r="N397" s="7"/>
      <c r="O397" s="8"/>
      <c r="P397" s="7"/>
      <c r="Q397" s="7"/>
      <c r="R397" s="8"/>
      <c r="S397" s="7"/>
      <c r="T397" s="9"/>
      <c r="U397" s="7"/>
      <c r="V397" s="8"/>
      <c r="W397" s="7"/>
      <c r="X397" s="7"/>
      <c r="Y397" s="8"/>
      <c r="Z397" s="7"/>
      <c r="AA397" s="8"/>
    </row>
    <row r="398" spans="4:27" ht="15" thickTop="1" thickBot="1">
      <c r="D398" s="65"/>
      <c r="E398" s="51" t="s">
        <v>153</v>
      </c>
      <c r="F398" s="7"/>
      <c r="G398" s="8"/>
      <c r="H398" s="7"/>
      <c r="I398" s="6"/>
      <c r="J398" s="7"/>
      <c r="K398" s="8"/>
      <c r="L398" s="7"/>
      <c r="M398" s="8"/>
      <c r="N398" s="7"/>
      <c r="O398" s="8"/>
      <c r="P398" s="7"/>
      <c r="Q398" s="7"/>
      <c r="R398" s="8"/>
      <c r="S398" s="7"/>
      <c r="T398" s="9"/>
      <c r="U398" s="7"/>
      <c r="V398" s="8"/>
      <c r="W398" s="7"/>
      <c r="X398" s="7"/>
      <c r="Y398" s="8"/>
      <c r="Z398" s="7"/>
      <c r="AA398" s="8"/>
    </row>
    <row r="399" spans="4:27" ht="15" thickTop="1" thickBot="1">
      <c r="D399" s="65"/>
      <c r="E399" s="51" t="s">
        <v>154</v>
      </c>
      <c r="F399" s="7"/>
      <c r="G399" s="8"/>
      <c r="H399" s="7"/>
      <c r="I399" s="6"/>
      <c r="J399" s="7"/>
      <c r="K399" s="8"/>
      <c r="L399" s="7"/>
      <c r="M399" s="8"/>
      <c r="N399" s="7"/>
      <c r="O399" s="8"/>
      <c r="P399" s="7"/>
      <c r="Q399" s="7"/>
      <c r="R399" s="8"/>
      <c r="S399" s="7"/>
      <c r="T399" s="9"/>
      <c r="U399" s="7"/>
      <c r="V399" s="8"/>
      <c r="W399" s="7"/>
      <c r="X399" s="7"/>
      <c r="Y399" s="8"/>
      <c r="Z399" s="7"/>
      <c r="AA399" s="8"/>
    </row>
    <row r="400" spans="4:27" ht="15" thickTop="1" thickBot="1">
      <c r="D400" s="65"/>
      <c r="E400" s="51" t="s">
        <v>155</v>
      </c>
      <c r="F400" s="7"/>
      <c r="G400" s="8"/>
      <c r="H400" s="7"/>
      <c r="I400" s="6"/>
      <c r="J400" s="7"/>
      <c r="K400" s="8"/>
      <c r="L400" s="7"/>
      <c r="M400" s="8"/>
      <c r="N400" s="7"/>
      <c r="O400" s="8"/>
      <c r="P400" s="7"/>
      <c r="Q400" s="7"/>
      <c r="R400" s="8"/>
      <c r="S400" s="7"/>
      <c r="T400" s="9"/>
      <c r="U400" s="7"/>
      <c r="V400" s="8"/>
      <c r="W400" s="7"/>
      <c r="X400" s="7"/>
      <c r="Y400" s="8"/>
      <c r="Z400" s="7"/>
      <c r="AA400" s="8"/>
    </row>
    <row r="401" spans="4:27" ht="15" thickTop="1" thickBot="1">
      <c r="D401" s="65"/>
      <c r="E401" s="51" t="s">
        <v>156</v>
      </c>
      <c r="F401" s="7"/>
      <c r="G401" s="8"/>
      <c r="H401" s="7"/>
      <c r="I401" s="6"/>
      <c r="J401" s="7"/>
      <c r="K401" s="8"/>
      <c r="L401" s="7"/>
      <c r="M401" s="8"/>
      <c r="N401" s="7"/>
      <c r="O401" s="8"/>
      <c r="P401" s="7"/>
      <c r="Q401" s="7"/>
      <c r="R401" s="8"/>
      <c r="S401" s="7"/>
      <c r="T401" s="9"/>
      <c r="U401" s="7"/>
      <c r="V401" s="8"/>
      <c r="W401" s="7"/>
      <c r="X401" s="7"/>
      <c r="Y401" s="8"/>
      <c r="Z401" s="7"/>
      <c r="AA401" s="8"/>
    </row>
    <row r="402" spans="4:27" ht="15" thickTop="1" thickBot="1">
      <c r="D402" s="65"/>
      <c r="E402" s="51" t="s">
        <v>253</v>
      </c>
      <c r="F402" s="7"/>
      <c r="G402" s="8"/>
      <c r="H402" s="7"/>
      <c r="I402" s="6"/>
      <c r="J402" s="7"/>
      <c r="K402" s="8"/>
      <c r="L402" s="7"/>
      <c r="M402" s="8"/>
      <c r="N402" s="7"/>
      <c r="O402" s="8"/>
      <c r="P402" s="7"/>
      <c r="Q402" s="7"/>
      <c r="R402" s="8"/>
      <c r="S402" s="7"/>
      <c r="T402" s="9"/>
      <c r="U402" s="7"/>
      <c r="V402" s="8"/>
      <c r="W402" s="7"/>
      <c r="X402" s="7"/>
      <c r="Y402" s="8"/>
      <c r="Z402" s="7"/>
      <c r="AA402" s="8"/>
    </row>
    <row r="403" spans="4:27" ht="15" thickTop="1" thickBot="1">
      <c r="D403" s="65"/>
      <c r="E403" s="51" t="s">
        <v>254</v>
      </c>
      <c r="F403" s="7"/>
      <c r="G403" s="8"/>
      <c r="H403" s="7"/>
      <c r="I403" s="6"/>
      <c r="J403" s="7"/>
      <c r="K403" s="8"/>
      <c r="L403" s="7"/>
      <c r="M403" s="8"/>
      <c r="N403" s="7"/>
      <c r="O403" s="8"/>
      <c r="P403" s="7"/>
      <c r="Q403" s="7"/>
      <c r="R403" s="8"/>
      <c r="S403" s="7"/>
      <c r="T403" s="9"/>
      <c r="U403" s="7"/>
      <c r="V403" s="8"/>
      <c r="W403" s="7"/>
      <c r="X403" s="7"/>
      <c r="Y403" s="8"/>
      <c r="Z403" s="7"/>
      <c r="AA403" s="8"/>
    </row>
    <row r="404" spans="4:27" ht="15" thickTop="1" thickBot="1">
      <c r="D404" s="65"/>
      <c r="E404" s="51" t="s">
        <v>224</v>
      </c>
      <c r="F404" s="7"/>
      <c r="G404" s="8"/>
      <c r="H404" s="7"/>
      <c r="I404" s="6"/>
      <c r="J404" s="7"/>
      <c r="K404" s="8"/>
      <c r="L404" s="7"/>
      <c r="M404" s="8"/>
      <c r="N404" s="7"/>
      <c r="O404" s="8"/>
      <c r="P404" s="7"/>
      <c r="Q404" s="7"/>
      <c r="R404" s="8"/>
      <c r="S404" s="7"/>
      <c r="T404" s="9"/>
      <c r="U404" s="7"/>
      <c r="V404" s="8"/>
      <c r="W404" s="7"/>
      <c r="X404" s="7"/>
      <c r="Y404" s="8"/>
      <c r="Z404" s="7"/>
      <c r="AA404" s="8"/>
    </row>
    <row r="405" spans="4:27" ht="15" thickTop="1" thickBot="1">
      <c r="D405" s="65"/>
      <c r="E405" s="51" t="s">
        <v>157</v>
      </c>
      <c r="F405" s="7"/>
      <c r="G405" s="8"/>
      <c r="H405" s="7"/>
      <c r="I405" s="6"/>
      <c r="J405" s="7"/>
      <c r="K405" s="8"/>
      <c r="L405" s="7"/>
      <c r="M405" s="8"/>
      <c r="N405" s="7"/>
      <c r="O405" s="8"/>
      <c r="P405" s="7"/>
      <c r="Q405" s="7"/>
      <c r="R405" s="8"/>
      <c r="S405" s="7"/>
      <c r="T405" s="9"/>
      <c r="U405" s="7"/>
      <c r="V405" s="8"/>
      <c r="W405" s="7"/>
      <c r="X405" s="7"/>
      <c r="Y405" s="8"/>
      <c r="Z405" s="7"/>
      <c r="AA405" s="8"/>
    </row>
    <row r="406" spans="4:27" ht="15" thickTop="1" thickBot="1">
      <c r="D406" s="65"/>
      <c r="E406" s="51" t="s">
        <v>225</v>
      </c>
      <c r="F406" s="7"/>
      <c r="G406" s="8"/>
      <c r="H406" s="7"/>
      <c r="I406" s="6"/>
      <c r="J406" s="7"/>
      <c r="K406" s="8"/>
      <c r="L406" s="7"/>
      <c r="M406" s="8"/>
      <c r="N406" s="7"/>
      <c r="O406" s="8"/>
      <c r="P406" s="7"/>
      <c r="Q406" s="7"/>
      <c r="R406" s="8"/>
      <c r="S406" s="7"/>
      <c r="T406" s="9"/>
      <c r="U406" s="7"/>
      <c r="V406" s="8"/>
      <c r="W406" s="7"/>
      <c r="X406" s="7"/>
      <c r="Y406" s="8"/>
      <c r="Z406" s="7"/>
      <c r="AA406" s="8"/>
    </row>
    <row r="407" spans="4:27" ht="15" thickTop="1" thickBot="1">
      <c r="D407" s="65"/>
      <c r="E407" s="51" t="s">
        <v>158</v>
      </c>
      <c r="F407" s="7"/>
      <c r="G407" s="8"/>
      <c r="H407" s="7"/>
      <c r="I407" s="6"/>
      <c r="J407" s="7"/>
      <c r="K407" s="8"/>
      <c r="L407" s="7"/>
      <c r="M407" s="8"/>
      <c r="N407" s="7"/>
      <c r="O407" s="8"/>
      <c r="P407" s="7"/>
      <c r="Q407" s="7"/>
      <c r="R407" s="8"/>
      <c r="S407" s="7"/>
      <c r="T407" s="9"/>
      <c r="U407" s="7"/>
      <c r="V407" s="8"/>
      <c r="W407" s="7"/>
      <c r="X407" s="7"/>
      <c r="Y407" s="8"/>
      <c r="Z407" s="7"/>
      <c r="AA407" s="8"/>
    </row>
    <row r="408" spans="4:27" ht="15" thickTop="1" thickBot="1">
      <c r="D408" s="65"/>
      <c r="E408" s="51" t="s">
        <v>255</v>
      </c>
      <c r="F408" s="7"/>
      <c r="G408" s="8"/>
      <c r="H408" s="7"/>
      <c r="I408" s="6"/>
      <c r="J408" s="7"/>
      <c r="K408" s="8"/>
      <c r="L408" s="7"/>
      <c r="M408" s="8"/>
      <c r="N408" s="7"/>
      <c r="O408" s="8"/>
      <c r="P408" s="7"/>
      <c r="Q408" s="7"/>
      <c r="R408" s="8"/>
      <c r="S408" s="7"/>
      <c r="T408" s="9"/>
      <c r="U408" s="7"/>
      <c r="V408" s="8"/>
      <c r="W408" s="7"/>
      <c r="X408" s="7"/>
      <c r="Y408" s="8"/>
      <c r="Z408" s="7"/>
      <c r="AA408" s="8"/>
    </row>
    <row r="409" spans="4:27" ht="15" thickTop="1" thickBot="1">
      <c r="D409" s="65"/>
      <c r="E409" s="51" t="s">
        <v>159</v>
      </c>
      <c r="F409" s="7"/>
      <c r="G409" s="8"/>
      <c r="H409" s="7"/>
      <c r="I409" s="6"/>
      <c r="J409" s="7"/>
      <c r="K409" s="8"/>
      <c r="L409" s="7"/>
      <c r="M409" s="8"/>
      <c r="N409" s="7"/>
      <c r="O409" s="8"/>
      <c r="P409" s="7"/>
      <c r="Q409" s="7"/>
      <c r="R409" s="8"/>
      <c r="S409" s="7"/>
      <c r="T409" s="9"/>
      <c r="U409" s="7"/>
      <c r="V409" s="8"/>
      <c r="W409" s="7"/>
      <c r="X409" s="7"/>
      <c r="Y409" s="8"/>
      <c r="Z409" s="7"/>
      <c r="AA409" s="8"/>
    </row>
    <row r="410" spans="4:27" ht="15" thickTop="1" thickBot="1">
      <c r="D410" s="65"/>
      <c r="E410" s="51" t="s">
        <v>1140</v>
      </c>
      <c r="F410" s="7"/>
      <c r="G410" s="8"/>
      <c r="H410" s="7"/>
      <c r="I410" s="6"/>
      <c r="J410" s="7"/>
      <c r="K410" s="8"/>
      <c r="L410" s="7"/>
      <c r="M410" s="8"/>
      <c r="N410" s="7"/>
      <c r="O410" s="8"/>
      <c r="P410" s="7"/>
      <c r="Q410" s="7"/>
      <c r="R410" s="8"/>
      <c r="S410" s="7"/>
      <c r="T410" s="9"/>
      <c r="U410" s="7"/>
      <c r="V410" s="8"/>
      <c r="W410" s="7"/>
      <c r="X410" s="7"/>
      <c r="Y410" s="8"/>
      <c r="Z410" s="7"/>
      <c r="AA410" s="8"/>
    </row>
    <row r="411" spans="4:27" ht="15" thickTop="1" thickBot="1">
      <c r="D411" s="65"/>
      <c r="E411" s="51" t="s">
        <v>160</v>
      </c>
      <c r="F411" s="7"/>
      <c r="G411" s="8"/>
      <c r="H411" s="7"/>
      <c r="I411" s="6"/>
      <c r="J411" s="7"/>
      <c r="K411" s="8"/>
      <c r="L411" s="7"/>
      <c r="M411" s="8"/>
      <c r="N411" s="7"/>
      <c r="O411" s="8"/>
      <c r="P411" s="7"/>
      <c r="Q411" s="7"/>
      <c r="R411" s="8"/>
      <c r="S411" s="7"/>
      <c r="T411" s="9"/>
      <c r="U411" s="7"/>
      <c r="V411" s="8"/>
      <c r="W411" s="7"/>
      <c r="X411" s="7"/>
      <c r="Y411" s="8"/>
      <c r="Z411" s="7"/>
      <c r="AA411" s="8"/>
    </row>
    <row r="412" spans="4:27" ht="15" thickTop="1" thickBot="1">
      <c r="D412" s="65"/>
      <c r="E412" s="51" t="s">
        <v>257</v>
      </c>
      <c r="F412" s="7"/>
      <c r="G412" s="8"/>
      <c r="H412" s="7"/>
      <c r="I412" s="6"/>
      <c r="J412" s="7"/>
      <c r="K412" s="8"/>
      <c r="L412" s="7"/>
      <c r="M412" s="8"/>
      <c r="N412" s="7"/>
      <c r="O412" s="8"/>
      <c r="P412" s="7"/>
      <c r="Q412" s="7"/>
      <c r="R412" s="8"/>
      <c r="S412" s="7"/>
      <c r="T412" s="9"/>
      <c r="U412" s="7"/>
      <c r="V412" s="8"/>
      <c r="W412" s="7"/>
      <c r="X412" s="7"/>
      <c r="Y412" s="8"/>
      <c r="Z412" s="7"/>
      <c r="AA412" s="8"/>
    </row>
    <row r="413" spans="4:27" ht="15" thickTop="1" thickBot="1">
      <c r="D413" s="65"/>
      <c r="E413" s="51" t="s">
        <v>161</v>
      </c>
      <c r="F413" s="7"/>
      <c r="G413" s="8"/>
      <c r="H413" s="7"/>
      <c r="I413" s="6"/>
      <c r="J413" s="7"/>
      <c r="K413" s="8"/>
      <c r="L413" s="7"/>
      <c r="M413" s="8"/>
      <c r="N413" s="7"/>
      <c r="O413" s="8"/>
      <c r="P413" s="7"/>
      <c r="Q413" s="7"/>
      <c r="R413" s="8"/>
      <c r="S413" s="7"/>
      <c r="T413" s="9"/>
      <c r="U413" s="7"/>
      <c r="V413" s="8"/>
      <c r="W413" s="7"/>
      <c r="X413" s="7"/>
      <c r="Y413" s="8"/>
      <c r="Z413" s="7"/>
      <c r="AA413" s="8"/>
    </row>
    <row r="414" spans="4:27" ht="15" thickTop="1" thickBot="1">
      <c r="D414" s="65"/>
      <c r="E414" s="51" t="s">
        <v>162</v>
      </c>
      <c r="F414" s="7"/>
      <c r="G414" s="8"/>
      <c r="H414" s="7"/>
      <c r="I414" s="6"/>
      <c r="J414" s="7"/>
      <c r="K414" s="8"/>
      <c r="L414" s="7"/>
      <c r="M414" s="8"/>
      <c r="N414" s="7"/>
      <c r="O414" s="8"/>
      <c r="P414" s="7"/>
      <c r="Q414" s="7"/>
      <c r="R414" s="8"/>
      <c r="S414" s="7"/>
      <c r="T414" s="9"/>
      <c r="U414" s="7"/>
      <c r="V414" s="8"/>
      <c r="W414" s="7"/>
      <c r="X414" s="7"/>
      <c r="Y414" s="8"/>
      <c r="Z414" s="7"/>
      <c r="AA414" s="8"/>
    </row>
    <row r="415" spans="4:27" ht="15" thickTop="1" thickBot="1">
      <c r="D415" s="65"/>
      <c r="E415" s="51" t="s">
        <v>1043</v>
      </c>
      <c r="F415" s="7"/>
      <c r="G415" s="8"/>
      <c r="H415" s="7"/>
      <c r="I415" s="6"/>
      <c r="J415" s="7"/>
      <c r="K415" s="8"/>
      <c r="L415" s="7"/>
      <c r="M415" s="8"/>
      <c r="N415" s="7"/>
      <c r="O415" s="8"/>
      <c r="P415" s="7"/>
      <c r="Q415" s="7"/>
      <c r="R415" s="8"/>
      <c r="S415" s="7"/>
      <c r="T415" s="9"/>
      <c r="U415" s="7"/>
      <c r="V415" s="8"/>
      <c r="W415" s="7"/>
      <c r="X415" s="7"/>
      <c r="Y415" s="8"/>
      <c r="Z415" s="7"/>
      <c r="AA415" s="8"/>
    </row>
    <row r="416" spans="4:27" ht="15" thickTop="1" thickBot="1">
      <c r="D416" s="65"/>
      <c r="E416" s="51" t="s">
        <v>976</v>
      </c>
      <c r="F416" s="7"/>
      <c r="G416" s="8"/>
      <c r="H416" s="7"/>
      <c r="I416" s="6"/>
      <c r="J416" s="7"/>
      <c r="K416" s="8"/>
      <c r="L416" s="7"/>
      <c r="M416" s="8"/>
      <c r="N416" s="7"/>
      <c r="O416" s="8"/>
      <c r="P416" s="7"/>
      <c r="Q416" s="7"/>
      <c r="R416" s="8"/>
      <c r="S416" s="7"/>
      <c r="T416" s="9"/>
      <c r="U416" s="7"/>
      <c r="V416" s="8"/>
      <c r="W416" s="7"/>
      <c r="X416" s="7"/>
      <c r="Y416" s="8"/>
      <c r="Z416" s="7"/>
      <c r="AA416" s="8"/>
    </row>
    <row r="417" spans="4:27" ht="15" thickTop="1" thickBot="1">
      <c r="D417" s="65"/>
      <c r="E417" s="51" t="s">
        <v>977</v>
      </c>
      <c r="F417" s="7"/>
      <c r="G417" s="8"/>
      <c r="H417" s="7"/>
      <c r="I417" s="6"/>
      <c r="J417" s="7"/>
      <c r="K417" s="8"/>
      <c r="L417" s="7"/>
      <c r="M417" s="8"/>
      <c r="N417" s="7"/>
      <c r="O417" s="8"/>
      <c r="P417" s="7"/>
      <c r="Q417" s="7"/>
      <c r="R417" s="8"/>
      <c r="S417" s="7"/>
      <c r="T417" s="9"/>
      <c r="U417" s="7"/>
      <c r="V417" s="8"/>
      <c r="W417" s="7"/>
      <c r="X417" s="7"/>
      <c r="Y417" s="8"/>
      <c r="Z417" s="7"/>
      <c r="AA417" s="8"/>
    </row>
    <row r="418" spans="4:27" ht="15" thickTop="1" thickBot="1">
      <c r="D418" s="65"/>
      <c r="E418" s="51" t="s">
        <v>710</v>
      </c>
      <c r="F418" s="7"/>
      <c r="G418" s="8"/>
      <c r="H418" s="7"/>
      <c r="I418" s="6"/>
      <c r="J418" s="7"/>
      <c r="K418" s="8"/>
      <c r="L418" s="7"/>
      <c r="M418" s="8"/>
      <c r="N418" s="7"/>
      <c r="O418" s="8"/>
      <c r="P418" s="7"/>
      <c r="Q418" s="7"/>
      <c r="R418" s="8"/>
      <c r="S418" s="7"/>
      <c r="T418" s="9"/>
      <c r="U418" s="7"/>
      <c r="V418" s="8"/>
      <c r="W418" s="7"/>
      <c r="X418" s="7"/>
      <c r="Y418" s="8"/>
      <c r="Z418" s="7"/>
      <c r="AA418" s="8"/>
    </row>
    <row r="419" spans="4:27" ht="15" thickTop="1" thickBot="1">
      <c r="D419" s="65"/>
      <c r="E419" s="51" t="s">
        <v>746</v>
      </c>
      <c r="F419" s="7"/>
      <c r="G419" s="8"/>
      <c r="H419" s="7"/>
      <c r="I419" s="6"/>
      <c r="J419" s="7"/>
      <c r="K419" s="8"/>
      <c r="L419" s="7"/>
      <c r="M419" s="8"/>
      <c r="N419" s="7"/>
      <c r="O419" s="8"/>
      <c r="P419" s="7"/>
      <c r="Q419" s="7"/>
      <c r="R419" s="8"/>
      <c r="S419" s="7"/>
      <c r="T419" s="9"/>
      <c r="U419" s="7"/>
      <c r="V419" s="8"/>
      <c r="W419" s="7"/>
      <c r="X419" s="7"/>
      <c r="Y419" s="8"/>
      <c r="Z419" s="7"/>
      <c r="AA419" s="8"/>
    </row>
    <row r="420" spans="4:27" ht="15" thickTop="1" thickBot="1">
      <c r="D420" s="65"/>
      <c r="E420" s="51" t="s">
        <v>700</v>
      </c>
      <c r="F420" s="7"/>
      <c r="G420" s="8"/>
      <c r="H420" s="7"/>
      <c r="I420" s="6"/>
      <c r="J420" s="7"/>
      <c r="K420" s="8"/>
      <c r="L420" s="7"/>
      <c r="M420" s="8"/>
      <c r="N420" s="7"/>
      <c r="O420" s="8"/>
      <c r="P420" s="7"/>
      <c r="Q420" s="7"/>
      <c r="R420" s="8"/>
      <c r="S420" s="7"/>
      <c r="T420" s="9"/>
      <c r="U420" s="7"/>
      <c r="V420" s="8"/>
      <c r="W420" s="7"/>
      <c r="X420" s="7"/>
      <c r="Y420" s="8"/>
      <c r="Z420" s="7"/>
      <c r="AA420" s="8"/>
    </row>
    <row r="421" spans="4:27" ht="15" thickTop="1" thickBot="1">
      <c r="D421" s="65"/>
      <c r="E421" s="51" t="s">
        <v>961</v>
      </c>
      <c r="F421" s="7"/>
      <c r="G421" s="8"/>
      <c r="H421" s="7"/>
      <c r="I421" s="6"/>
      <c r="J421" s="7"/>
      <c r="K421" s="8"/>
      <c r="L421" s="7"/>
      <c r="M421" s="8"/>
      <c r="N421" s="7"/>
      <c r="O421" s="8"/>
      <c r="P421" s="7"/>
      <c r="Q421" s="7"/>
      <c r="R421" s="8"/>
      <c r="S421" s="7"/>
      <c r="T421" s="9"/>
      <c r="U421" s="7"/>
      <c r="V421" s="8"/>
      <c r="W421" s="7"/>
      <c r="X421" s="7"/>
      <c r="Y421" s="8"/>
      <c r="Z421" s="7"/>
      <c r="AA421" s="8"/>
    </row>
    <row r="422" spans="4:27" ht="15" thickTop="1" thickBot="1">
      <c r="D422" s="65"/>
      <c r="E422" s="51" t="s">
        <v>1298</v>
      </c>
      <c r="F422" s="7"/>
      <c r="G422" s="8"/>
      <c r="H422" s="7"/>
      <c r="I422" s="6"/>
      <c r="J422" s="7"/>
      <c r="K422" s="8"/>
      <c r="L422" s="7"/>
      <c r="M422" s="8"/>
      <c r="N422" s="7"/>
      <c r="O422" s="8"/>
      <c r="P422" s="7"/>
      <c r="Q422" s="7"/>
      <c r="R422" s="8"/>
      <c r="S422" s="7"/>
      <c r="T422" s="9"/>
      <c r="U422" s="7"/>
      <c r="V422" s="8"/>
      <c r="W422" s="7"/>
      <c r="X422" s="7"/>
      <c r="Y422" s="8"/>
      <c r="Z422" s="7"/>
      <c r="AA422" s="8"/>
    </row>
    <row r="423" spans="4:27" ht="15" thickTop="1" thickBot="1">
      <c r="D423" s="65"/>
      <c r="E423" s="51" t="s">
        <v>1096</v>
      </c>
      <c r="F423" s="7"/>
      <c r="G423" s="8"/>
      <c r="H423" s="7"/>
      <c r="I423" s="6"/>
      <c r="J423" s="7"/>
      <c r="K423" s="8"/>
      <c r="L423" s="7"/>
      <c r="M423" s="8"/>
      <c r="N423" s="7"/>
      <c r="O423" s="8"/>
      <c r="P423" s="7"/>
      <c r="Q423" s="7"/>
      <c r="R423" s="8"/>
      <c r="S423" s="7"/>
      <c r="T423" s="9"/>
      <c r="U423" s="7"/>
      <c r="V423" s="8"/>
      <c r="W423" s="7"/>
      <c r="X423" s="7"/>
      <c r="Y423" s="8"/>
      <c r="Z423" s="7"/>
      <c r="AA423" s="8"/>
    </row>
    <row r="424" spans="4:27" ht="15" thickTop="1" thickBot="1">
      <c r="D424" s="65"/>
      <c r="E424" s="51" t="s">
        <v>164</v>
      </c>
      <c r="F424" s="7"/>
      <c r="G424" s="8"/>
      <c r="H424" s="7"/>
      <c r="I424" s="6"/>
      <c r="J424" s="7"/>
      <c r="K424" s="8"/>
      <c r="L424" s="7"/>
      <c r="M424" s="8"/>
      <c r="N424" s="7"/>
      <c r="O424" s="8"/>
      <c r="P424" s="7"/>
      <c r="Q424" s="7"/>
      <c r="R424" s="8"/>
      <c r="S424" s="7"/>
      <c r="T424" s="9"/>
      <c r="U424" s="7"/>
      <c r="V424" s="8"/>
      <c r="W424" s="7"/>
      <c r="X424" s="7"/>
      <c r="Y424" s="8"/>
      <c r="Z424" s="7"/>
      <c r="AA424" s="8"/>
    </row>
    <row r="425" spans="4:27" ht="15" thickTop="1" thickBot="1">
      <c r="D425" s="65"/>
      <c r="E425" s="51" t="s">
        <v>1121</v>
      </c>
      <c r="F425" s="7"/>
      <c r="G425" s="8"/>
      <c r="H425" s="7"/>
      <c r="I425" s="6"/>
      <c r="J425" s="7"/>
      <c r="K425" s="8"/>
      <c r="L425" s="7"/>
      <c r="M425" s="8"/>
      <c r="N425" s="7"/>
      <c r="O425" s="8"/>
      <c r="P425" s="7"/>
      <c r="Q425" s="7"/>
      <c r="R425" s="8"/>
      <c r="S425" s="7"/>
      <c r="T425" s="9"/>
      <c r="U425" s="7"/>
      <c r="V425" s="8"/>
      <c r="W425" s="7"/>
      <c r="X425" s="7"/>
      <c r="Y425" s="8"/>
      <c r="Z425" s="7"/>
      <c r="AA425" s="8"/>
    </row>
    <row r="426" spans="4:27" ht="15" thickTop="1" thickBot="1">
      <c r="D426" s="65"/>
      <c r="E426" s="51" t="s">
        <v>767</v>
      </c>
      <c r="F426" s="7"/>
      <c r="G426" s="8"/>
      <c r="H426" s="7"/>
      <c r="I426" s="6"/>
      <c r="J426" s="7"/>
      <c r="K426" s="8"/>
      <c r="L426" s="7"/>
      <c r="M426" s="8"/>
      <c r="N426" s="7"/>
      <c r="O426" s="8"/>
      <c r="P426" s="7"/>
      <c r="Q426" s="7"/>
      <c r="R426" s="8"/>
      <c r="S426" s="7"/>
      <c r="T426" s="9"/>
      <c r="U426" s="7"/>
      <c r="V426" s="8"/>
      <c r="W426" s="7"/>
      <c r="X426" s="7"/>
      <c r="Y426" s="8"/>
      <c r="Z426" s="7"/>
      <c r="AA426" s="8"/>
    </row>
    <row r="427" spans="4:27" ht="15" thickTop="1" thickBot="1">
      <c r="D427" s="65"/>
      <c r="E427" s="51" t="s">
        <v>205</v>
      </c>
      <c r="F427" s="7"/>
      <c r="G427" s="8"/>
      <c r="H427" s="7"/>
      <c r="I427" s="6"/>
      <c r="J427" s="7"/>
      <c r="K427" s="8"/>
      <c r="L427" s="7"/>
      <c r="M427" s="8"/>
      <c r="N427" s="7"/>
      <c r="O427" s="8"/>
      <c r="P427" s="7"/>
      <c r="Q427" s="7"/>
      <c r="R427" s="8"/>
      <c r="S427" s="7"/>
      <c r="T427" s="9"/>
      <c r="U427" s="7"/>
      <c r="V427" s="8"/>
      <c r="W427" s="7"/>
      <c r="X427" s="7"/>
      <c r="Y427" s="8"/>
      <c r="Z427" s="7"/>
      <c r="AA427" s="8"/>
    </row>
    <row r="428" spans="4:27" ht="15" thickTop="1" thickBot="1">
      <c r="D428" s="65"/>
      <c r="E428" s="51" t="s">
        <v>206</v>
      </c>
      <c r="F428" s="7"/>
      <c r="G428" s="8"/>
      <c r="H428" s="7"/>
      <c r="I428" s="6"/>
      <c r="J428" s="7"/>
      <c r="K428" s="8"/>
      <c r="L428" s="7"/>
      <c r="M428" s="8"/>
      <c r="N428" s="7"/>
      <c r="O428" s="8"/>
      <c r="P428" s="7"/>
      <c r="Q428" s="7"/>
      <c r="R428" s="8"/>
      <c r="S428" s="7"/>
      <c r="T428" s="9"/>
      <c r="U428" s="7"/>
      <c r="V428" s="8"/>
      <c r="W428" s="7"/>
      <c r="X428" s="7"/>
      <c r="Y428" s="8"/>
      <c r="Z428" s="7"/>
      <c r="AA428" s="8"/>
    </row>
    <row r="429" spans="4:27" ht="15" thickTop="1" thickBot="1">
      <c r="D429" s="65"/>
      <c r="E429" s="51" t="s">
        <v>1134</v>
      </c>
      <c r="F429" s="7"/>
      <c r="G429" s="8"/>
      <c r="H429" s="7"/>
      <c r="I429" s="6"/>
      <c r="J429" s="7"/>
      <c r="K429" s="8"/>
      <c r="L429" s="7"/>
      <c r="M429" s="8"/>
      <c r="N429" s="7"/>
      <c r="O429" s="8"/>
      <c r="P429" s="7"/>
      <c r="Q429" s="7"/>
      <c r="R429" s="8"/>
      <c r="S429" s="7"/>
      <c r="T429" s="9"/>
      <c r="U429" s="7"/>
      <c r="V429" s="8"/>
      <c r="W429" s="7"/>
      <c r="X429" s="7"/>
      <c r="Y429" s="8"/>
      <c r="Z429" s="7"/>
      <c r="AA429" s="8"/>
    </row>
    <row r="430" spans="4:27" ht="15" thickTop="1" thickBot="1">
      <c r="D430" s="65"/>
      <c r="E430" s="51" t="s">
        <v>1067</v>
      </c>
      <c r="F430" s="7"/>
      <c r="G430" s="8"/>
      <c r="H430" s="7"/>
      <c r="I430" s="6"/>
      <c r="J430" s="7"/>
      <c r="K430" s="8"/>
      <c r="L430" s="7"/>
      <c r="M430" s="8"/>
      <c r="N430" s="7"/>
      <c r="O430" s="8"/>
      <c r="P430" s="7"/>
      <c r="Q430" s="7"/>
      <c r="R430" s="8"/>
      <c r="S430" s="7"/>
      <c r="T430" s="9"/>
      <c r="U430" s="7"/>
      <c r="V430" s="8"/>
      <c r="W430" s="7"/>
      <c r="X430" s="7"/>
      <c r="Y430" s="8"/>
      <c r="Z430" s="7"/>
      <c r="AA430" s="8"/>
    </row>
    <row r="431" spans="4:27" ht="15" thickTop="1" thickBot="1">
      <c r="D431" s="65"/>
      <c r="E431" s="51" t="s">
        <v>1120</v>
      </c>
      <c r="F431" s="7"/>
      <c r="G431" s="8"/>
      <c r="H431" s="7"/>
      <c r="I431" s="6"/>
      <c r="J431" s="7"/>
      <c r="K431" s="8"/>
      <c r="L431" s="7"/>
      <c r="M431" s="8"/>
      <c r="N431" s="7"/>
      <c r="O431" s="8"/>
      <c r="P431" s="7"/>
      <c r="Q431" s="7"/>
      <c r="R431" s="8"/>
      <c r="S431" s="7"/>
      <c r="T431" s="9"/>
      <c r="U431" s="7"/>
      <c r="V431" s="8"/>
      <c r="W431" s="7"/>
      <c r="X431" s="7"/>
      <c r="Y431" s="8"/>
      <c r="Z431" s="7"/>
      <c r="AA431" s="8"/>
    </row>
    <row r="432" spans="4:27" ht="15" thickTop="1" thickBot="1">
      <c r="D432" s="65"/>
      <c r="E432" s="51" t="s">
        <v>226</v>
      </c>
      <c r="F432" s="7"/>
      <c r="G432" s="8"/>
      <c r="H432" s="7"/>
      <c r="I432" s="6"/>
      <c r="J432" s="7"/>
      <c r="K432" s="8"/>
      <c r="L432" s="7"/>
      <c r="M432" s="8"/>
      <c r="N432" s="7"/>
      <c r="O432" s="8"/>
      <c r="P432" s="7"/>
      <c r="Q432" s="7"/>
      <c r="R432" s="8"/>
      <c r="S432" s="7"/>
      <c r="T432" s="9"/>
      <c r="U432" s="7"/>
      <c r="V432" s="8"/>
      <c r="W432" s="7"/>
      <c r="X432" s="7"/>
      <c r="Y432" s="8"/>
      <c r="Z432" s="7"/>
      <c r="AA432" s="8"/>
    </row>
    <row r="433" spans="4:27" ht="15" thickTop="1" thickBot="1">
      <c r="D433" s="65"/>
      <c r="E433" s="51" t="s">
        <v>209</v>
      </c>
      <c r="F433" s="7"/>
      <c r="G433" s="8"/>
      <c r="H433" s="7"/>
      <c r="I433" s="6"/>
      <c r="J433" s="7"/>
      <c r="K433" s="8"/>
      <c r="L433" s="7"/>
      <c r="M433" s="8"/>
      <c r="N433" s="7"/>
      <c r="O433" s="8"/>
      <c r="P433" s="7"/>
      <c r="Q433" s="7"/>
      <c r="R433" s="8"/>
      <c r="S433" s="7"/>
      <c r="T433" s="9"/>
      <c r="U433" s="7"/>
      <c r="V433" s="8"/>
      <c r="W433" s="7"/>
      <c r="X433" s="7"/>
      <c r="Y433" s="8"/>
      <c r="Z433" s="7"/>
      <c r="AA433" s="8"/>
    </row>
    <row r="434" spans="4:27" ht="15" thickTop="1" thickBot="1">
      <c r="D434" s="65"/>
      <c r="E434" s="51" t="s">
        <v>210</v>
      </c>
      <c r="F434" s="7"/>
      <c r="G434" s="8"/>
      <c r="H434" s="7"/>
      <c r="I434" s="6"/>
      <c r="J434" s="7"/>
      <c r="K434" s="8"/>
      <c r="L434" s="7"/>
      <c r="M434" s="8"/>
      <c r="N434" s="7"/>
      <c r="O434" s="8"/>
      <c r="P434" s="7"/>
      <c r="Q434" s="7"/>
      <c r="R434" s="8"/>
      <c r="S434" s="7"/>
      <c r="T434" s="9"/>
      <c r="U434" s="7"/>
      <c r="V434" s="8"/>
      <c r="W434" s="7"/>
      <c r="X434" s="7"/>
      <c r="Y434" s="8"/>
      <c r="Z434" s="7"/>
      <c r="AA434" s="8"/>
    </row>
    <row r="435" spans="4:27" ht="15" thickTop="1" thickBot="1">
      <c r="D435" s="65"/>
      <c r="E435" s="51" t="s">
        <v>258</v>
      </c>
      <c r="F435" s="7"/>
      <c r="G435" s="8"/>
      <c r="H435" s="7"/>
      <c r="I435" s="6"/>
      <c r="J435" s="7"/>
      <c r="K435" s="8"/>
      <c r="L435" s="7"/>
      <c r="M435" s="8"/>
      <c r="N435" s="7"/>
      <c r="O435" s="8"/>
      <c r="P435" s="7"/>
      <c r="Q435" s="7"/>
      <c r="R435" s="8"/>
      <c r="S435" s="7"/>
      <c r="T435" s="9"/>
      <c r="U435" s="7"/>
      <c r="V435" s="8"/>
      <c r="W435" s="7"/>
      <c r="X435" s="7"/>
      <c r="Y435" s="8"/>
      <c r="Z435" s="7"/>
      <c r="AA435" s="8"/>
    </row>
    <row r="436" spans="4:27" ht="15" thickTop="1" thickBot="1">
      <c r="D436" s="65"/>
      <c r="E436" s="51" t="s">
        <v>165</v>
      </c>
      <c r="F436" s="7"/>
      <c r="G436" s="8"/>
      <c r="H436" s="7"/>
      <c r="I436" s="6"/>
      <c r="J436" s="7"/>
      <c r="K436" s="8"/>
      <c r="L436" s="7"/>
      <c r="M436" s="8"/>
      <c r="N436" s="7"/>
      <c r="O436" s="8"/>
      <c r="P436" s="7"/>
      <c r="Q436" s="7"/>
      <c r="R436" s="8"/>
      <c r="S436" s="7"/>
      <c r="T436" s="9"/>
      <c r="U436" s="7"/>
      <c r="V436" s="8"/>
      <c r="W436" s="7"/>
      <c r="X436" s="7"/>
      <c r="Y436" s="8"/>
      <c r="Z436" s="7"/>
      <c r="AA436" s="8"/>
    </row>
    <row r="437" spans="4:27" ht="15" thickTop="1" thickBot="1">
      <c r="D437" s="65"/>
      <c r="E437" s="51" t="s">
        <v>166</v>
      </c>
      <c r="F437" s="7"/>
      <c r="G437" s="8"/>
      <c r="H437" s="7"/>
      <c r="I437" s="6"/>
      <c r="J437" s="7"/>
      <c r="K437" s="8"/>
      <c r="L437" s="7"/>
      <c r="M437" s="8"/>
      <c r="N437" s="7"/>
      <c r="O437" s="8"/>
      <c r="P437" s="7"/>
      <c r="Q437" s="7"/>
      <c r="R437" s="8"/>
      <c r="S437" s="7"/>
      <c r="T437" s="9"/>
      <c r="U437" s="7"/>
      <c r="V437" s="8"/>
      <c r="W437" s="7"/>
      <c r="X437" s="7"/>
      <c r="Y437" s="8"/>
      <c r="Z437" s="7"/>
      <c r="AA437" s="8"/>
    </row>
    <row r="438" spans="4:27" ht="15" thickTop="1" thickBot="1">
      <c r="D438" s="65"/>
      <c r="E438" s="51" t="s">
        <v>167</v>
      </c>
      <c r="F438" s="7"/>
      <c r="G438" s="8"/>
      <c r="H438" s="7"/>
      <c r="I438" s="6"/>
      <c r="J438" s="7"/>
      <c r="K438" s="8"/>
      <c r="L438" s="7"/>
      <c r="M438" s="8"/>
      <c r="N438" s="7"/>
      <c r="O438" s="8"/>
      <c r="P438" s="7"/>
      <c r="Q438" s="7"/>
      <c r="R438" s="8"/>
      <c r="S438" s="7"/>
      <c r="T438" s="9"/>
      <c r="U438" s="7"/>
      <c r="V438" s="8"/>
      <c r="W438" s="7"/>
      <c r="X438" s="7"/>
      <c r="Y438" s="8"/>
      <c r="Z438" s="7"/>
      <c r="AA438" s="8"/>
    </row>
    <row r="439" spans="4:27" ht="15" thickTop="1" thickBot="1">
      <c r="D439" s="65"/>
      <c r="E439" s="51" t="s">
        <v>259</v>
      </c>
      <c r="F439" s="7"/>
      <c r="G439" s="8"/>
      <c r="H439" s="7"/>
      <c r="I439" s="6"/>
      <c r="J439" s="7"/>
      <c r="K439" s="8"/>
      <c r="L439" s="7"/>
      <c r="M439" s="8"/>
      <c r="N439" s="7"/>
      <c r="O439" s="8"/>
      <c r="P439" s="7"/>
      <c r="Q439" s="7"/>
      <c r="R439" s="8"/>
      <c r="S439" s="7"/>
      <c r="T439" s="9"/>
      <c r="U439" s="7"/>
      <c r="V439" s="8"/>
      <c r="W439" s="7"/>
      <c r="X439" s="7"/>
      <c r="Y439" s="8"/>
      <c r="Z439" s="7"/>
      <c r="AA439" s="8"/>
    </row>
    <row r="440" spans="4:27" ht="15" thickTop="1" thickBot="1">
      <c r="D440" s="65"/>
      <c r="E440" s="51" t="s">
        <v>227</v>
      </c>
      <c r="F440" s="7"/>
      <c r="G440" s="8"/>
      <c r="H440" s="7"/>
      <c r="I440" s="6"/>
      <c r="J440" s="7"/>
      <c r="K440" s="8"/>
      <c r="L440" s="7"/>
      <c r="M440" s="8"/>
      <c r="N440" s="7"/>
      <c r="O440" s="8"/>
      <c r="P440" s="7"/>
      <c r="Q440" s="7"/>
      <c r="R440" s="8"/>
      <c r="S440" s="7"/>
      <c r="T440" s="9"/>
      <c r="U440" s="7"/>
      <c r="V440" s="8"/>
      <c r="W440" s="7"/>
      <c r="X440" s="7"/>
      <c r="Y440" s="8"/>
      <c r="Z440" s="7"/>
      <c r="AA440" s="8"/>
    </row>
    <row r="441" spans="4:27" ht="15" thickTop="1" thickBot="1">
      <c r="D441" s="65"/>
      <c r="E441" s="51" t="s">
        <v>168</v>
      </c>
      <c r="F441" s="7"/>
      <c r="G441" s="8"/>
      <c r="H441" s="7"/>
      <c r="I441" s="6"/>
      <c r="J441" s="7"/>
      <c r="K441" s="8"/>
      <c r="L441" s="7"/>
      <c r="M441" s="8"/>
      <c r="N441" s="7"/>
      <c r="O441" s="8"/>
      <c r="P441" s="7"/>
      <c r="Q441" s="7"/>
      <c r="R441" s="8"/>
      <c r="S441" s="7"/>
      <c r="T441" s="9"/>
      <c r="U441" s="7"/>
      <c r="V441" s="8"/>
      <c r="W441" s="7"/>
      <c r="X441" s="7"/>
      <c r="Y441" s="8"/>
      <c r="Z441" s="7"/>
      <c r="AA441" s="8"/>
    </row>
    <row r="442" spans="4:27" ht="15" thickTop="1" thickBot="1">
      <c r="D442" s="65"/>
      <c r="E442" s="51" t="s">
        <v>169</v>
      </c>
      <c r="F442" s="7"/>
      <c r="G442" s="8"/>
      <c r="H442" s="7"/>
      <c r="I442" s="6"/>
      <c r="J442" s="7"/>
      <c r="K442" s="8"/>
      <c r="L442" s="7"/>
      <c r="M442" s="8"/>
      <c r="N442" s="7"/>
      <c r="O442" s="8"/>
      <c r="P442" s="7"/>
      <c r="Q442" s="7"/>
      <c r="R442" s="8"/>
      <c r="S442" s="7"/>
      <c r="T442" s="9"/>
      <c r="U442" s="7"/>
      <c r="V442" s="8"/>
      <c r="W442" s="7"/>
      <c r="X442" s="7"/>
      <c r="Y442" s="8"/>
      <c r="Z442" s="7"/>
      <c r="AA442" s="8"/>
    </row>
    <row r="443" spans="4:27" ht="15" thickTop="1" thickBot="1">
      <c r="D443" s="65"/>
      <c r="E443" s="51" t="s">
        <v>260</v>
      </c>
      <c r="F443" s="7"/>
      <c r="G443" s="8"/>
      <c r="H443" s="7"/>
      <c r="I443" s="6"/>
      <c r="J443" s="7"/>
      <c r="K443" s="8"/>
      <c r="L443" s="7"/>
      <c r="M443" s="8"/>
      <c r="N443" s="7"/>
      <c r="O443" s="8"/>
      <c r="P443" s="7"/>
      <c r="Q443" s="7"/>
      <c r="R443" s="8"/>
      <c r="S443" s="7"/>
      <c r="T443" s="9"/>
      <c r="U443" s="7"/>
      <c r="V443" s="8"/>
      <c r="W443" s="7"/>
      <c r="X443" s="7"/>
      <c r="Y443" s="8"/>
      <c r="Z443" s="7"/>
      <c r="AA443" s="8"/>
    </row>
    <row r="444" spans="4:27" ht="15" thickTop="1" thickBot="1">
      <c r="D444" s="65"/>
      <c r="E444" s="51" t="s">
        <v>1029</v>
      </c>
      <c r="F444" s="7"/>
      <c r="G444" s="8"/>
      <c r="H444" s="7"/>
      <c r="I444" s="6"/>
      <c r="J444" s="7"/>
      <c r="K444" s="8"/>
      <c r="L444" s="7"/>
      <c r="M444" s="8"/>
      <c r="N444" s="7"/>
      <c r="O444" s="8"/>
      <c r="P444" s="7"/>
      <c r="Q444" s="7"/>
      <c r="R444" s="8"/>
      <c r="S444" s="7"/>
      <c r="T444" s="9"/>
      <c r="U444" s="7"/>
      <c r="V444" s="8"/>
      <c r="W444" s="7"/>
      <c r="X444" s="7"/>
      <c r="Y444" s="8"/>
      <c r="Z444" s="7"/>
      <c r="AA444" s="8"/>
    </row>
    <row r="445" spans="4:27" ht="15" thickTop="1" thickBot="1">
      <c r="D445" s="65"/>
      <c r="E445" s="51" t="s">
        <v>228</v>
      </c>
      <c r="F445" s="7"/>
      <c r="G445" s="8"/>
      <c r="H445" s="7"/>
      <c r="I445" s="6"/>
      <c r="J445" s="7"/>
      <c r="K445" s="8"/>
      <c r="L445" s="7"/>
      <c r="M445" s="8"/>
      <c r="N445" s="7"/>
      <c r="O445" s="8"/>
      <c r="P445" s="7"/>
      <c r="Q445" s="7"/>
      <c r="R445" s="8"/>
      <c r="S445" s="7"/>
      <c r="T445" s="9"/>
      <c r="U445" s="7"/>
      <c r="V445" s="8"/>
      <c r="W445" s="7"/>
      <c r="X445" s="7"/>
      <c r="Y445" s="8"/>
      <c r="Z445" s="7"/>
      <c r="AA445" s="8"/>
    </row>
    <row r="446" spans="4:27" ht="15" thickTop="1" thickBot="1">
      <c r="D446" s="65"/>
      <c r="E446" s="51" t="s">
        <v>261</v>
      </c>
      <c r="F446" s="7"/>
      <c r="G446" s="8"/>
      <c r="H446" s="7"/>
      <c r="I446" s="6"/>
      <c r="J446" s="7"/>
      <c r="K446" s="8"/>
      <c r="L446" s="7"/>
      <c r="M446" s="8"/>
      <c r="N446" s="7"/>
      <c r="O446" s="8"/>
      <c r="P446" s="7"/>
      <c r="Q446" s="7"/>
      <c r="R446" s="8"/>
      <c r="S446" s="7"/>
      <c r="T446" s="9"/>
      <c r="U446" s="7"/>
      <c r="V446" s="8"/>
      <c r="W446" s="7"/>
      <c r="X446" s="7"/>
      <c r="Y446" s="8"/>
      <c r="Z446" s="7"/>
      <c r="AA446" s="8"/>
    </row>
    <row r="447" spans="4:27" ht="15" thickTop="1" thickBot="1">
      <c r="D447" s="65"/>
      <c r="E447" s="51" t="s">
        <v>171</v>
      </c>
      <c r="F447" s="7"/>
      <c r="G447" s="8"/>
      <c r="H447" s="7"/>
      <c r="I447" s="6"/>
      <c r="J447" s="7"/>
      <c r="K447" s="8"/>
      <c r="L447" s="7"/>
      <c r="M447" s="8"/>
      <c r="N447" s="7"/>
      <c r="O447" s="8"/>
      <c r="P447" s="7"/>
      <c r="Q447" s="7"/>
      <c r="R447" s="8"/>
      <c r="S447" s="7"/>
      <c r="T447" s="9"/>
      <c r="U447" s="7"/>
      <c r="V447" s="8"/>
      <c r="W447" s="7"/>
      <c r="X447" s="7"/>
      <c r="Y447" s="8"/>
      <c r="Z447" s="7"/>
      <c r="AA447" s="8"/>
    </row>
    <row r="448" spans="4:27" ht="15" thickTop="1" thickBot="1">
      <c r="D448" s="65"/>
      <c r="E448" s="51" t="s">
        <v>262</v>
      </c>
      <c r="F448" s="7"/>
      <c r="G448" s="8"/>
      <c r="H448" s="7"/>
      <c r="I448" s="6"/>
      <c r="J448" s="7"/>
      <c r="K448" s="8"/>
      <c r="L448" s="7"/>
      <c r="M448" s="8"/>
      <c r="N448" s="7"/>
      <c r="O448" s="8"/>
      <c r="P448" s="7"/>
      <c r="Q448" s="7"/>
      <c r="R448" s="8"/>
      <c r="S448" s="7"/>
      <c r="T448" s="9"/>
      <c r="U448" s="7"/>
      <c r="V448" s="8"/>
      <c r="W448" s="7"/>
      <c r="X448" s="7"/>
      <c r="Y448" s="8"/>
      <c r="Z448" s="7"/>
      <c r="AA448" s="8"/>
    </row>
    <row r="449" spans="4:27" ht="15" thickTop="1" thickBot="1">
      <c r="D449" s="65"/>
      <c r="E449" s="51" t="s">
        <v>263</v>
      </c>
      <c r="F449" s="7"/>
      <c r="G449" s="8"/>
      <c r="H449" s="7"/>
      <c r="I449" s="6"/>
      <c r="J449" s="7"/>
      <c r="K449" s="8"/>
      <c r="L449" s="7"/>
      <c r="M449" s="8"/>
      <c r="N449" s="7"/>
      <c r="O449" s="8"/>
      <c r="P449" s="7"/>
      <c r="Q449" s="7"/>
      <c r="R449" s="8"/>
      <c r="S449" s="7"/>
      <c r="T449" s="9"/>
      <c r="U449" s="7"/>
      <c r="V449" s="8"/>
      <c r="W449" s="7"/>
      <c r="X449" s="7"/>
      <c r="Y449" s="8"/>
      <c r="Z449" s="7"/>
      <c r="AA449" s="8"/>
    </row>
    <row r="450" spans="4:27" ht="15" thickTop="1" thickBot="1">
      <c r="D450" s="65"/>
      <c r="E450" s="51" t="s">
        <v>172</v>
      </c>
      <c r="F450" s="7"/>
      <c r="G450" s="8"/>
      <c r="H450" s="7"/>
      <c r="I450" s="6"/>
      <c r="J450" s="7"/>
      <c r="K450" s="8"/>
      <c r="L450" s="7"/>
      <c r="M450" s="8"/>
      <c r="N450" s="7"/>
      <c r="O450" s="8"/>
      <c r="P450" s="7"/>
      <c r="Q450" s="7"/>
      <c r="R450" s="8"/>
      <c r="S450" s="7"/>
      <c r="T450" s="9"/>
      <c r="U450" s="7"/>
      <c r="V450" s="8"/>
      <c r="W450" s="7"/>
      <c r="X450" s="7"/>
      <c r="Y450" s="8"/>
      <c r="Z450" s="7"/>
      <c r="AA450" s="8"/>
    </row>
    <row r="451" spans="4:27" ht="15" thickTop="1" thickBot="1">
      <c r="D451" s="65"/>
      <c r="E451" s="51" t="s">
        <v>264</v>
      </c>
      <c r="F451" s="7"/>
      <c r="G451" s="8"/>
      <c r="H451" s="7"/>
      <c r="I451" s="6"/>
      <c r="J451" s="7"/>
      <c r="K451" s="8"/>
      <c r="L451" s="7"/>
      <c r="M451" s="8"/>
      <c r="N451" s="7"/>
      <c r="O451" s="8"/>
      <c r="P451" s="7"/>
      <c r="Q451" s="7"/>
      <c r="R451" s="8"/>
      <c r="S451" s="7"/>
      <c r="T451" s="9"/>
      <c r="U451" s="7"/>
      <c r="V451" s="8"/>
      <c r="W451" s="7"/>
      <c r="X451" s="7"/>
      <c r="Y451" s="8"/>
      <c r="Z451" s="7"/>
      <c r="AA451" s="8"/>
    </row>
    <row r="452" spans="4:27" ht="15" thickTop="1" thickBot="1">
      <c r="D452" s="65"/>
      <c r="E452" s="51" t="s">
        <v>265</v>
      </c>
      <c r="F452" s="7"/>
      <c r="G452" s="8"/>
      <c r="H452" s="7"/>
      <c r="I452" s="6"/>
      <c r="J452" s="7"/>
      <c r="K452" s="8"/>
      <c r="L452" s="7"/>
      <c r="M452" s="8"/>
      <c r="N452" s="7"/>
      <c r="O452" s="8"/>
      <c r="P452" s="7"/>
      <c r="Q452" s="7"/>
      <c r="R452" s="8"/>
      <c r="S452" s="7"/>
      <c r="T452" s="9"/>
      <c r="U452" s="7"/>
      <c r="V452" s="8"/>
      <c r="W452" s="7"/>
      <c r="X452" s="7"/>
      <c r="Y452" s="8"/>
      <c r="Z452" s="7"/>
      <c r="AA452" s="8"/>
    </row>
    <row r="453" spans="4:27" ht="15" thickTop="1" thickBot="1">
      <c r="D453" s="65"/>
      <c r="E453" s="51" t="s">
        <v>1041</v>
      </c>
      <c r="F453" s="7"/>
      <c r="G453" s="8"/>
      <c r="H453" s="7"/>
      <c r="I453" s="6"/>
      <c r="J453" s="7"/>
      <c r="K453" s="8"/>
      <c r="L453" s="7"/>
      <c r="M453" s="8"/>
      <c r="N453" s="7"/>
      <c r="O453" s="8"/>
      <c r="P453" s="7"/>
      <c r="Q453" s="7"/>
      <c r="R453" s="8"/>
      <c r="S453" s="7"/>
      <c r="T453" s="9"/>
      <c r="U453" s="7"/>
      <c r="V453" s="8"/>
      <c r="W453" s="7"/>
      <c r="X453" s="7"/>
      <c r="Y453" s="8"/>
      <c r="Z453" s="7"/>
      <c r="AA453" s="8"/>
    </row>
    <row r="454" spans="4:27" ht="15" thickTop="1" thickBot="1">
      <c r="D454" s="65"/>
      <c r="E454" s="51" t="s">
        <v>211</v>
      </c>
      <c r="F454" s="7"/>
      <c r="G454" s="8"/>
      <c r="H454" s="7"/>
      <c r="I454" s="6"/>
      <c r="J454" s="7"/>
      <c r="K454" s="8"/>
      <c r="L454" s="7"/>
      <c r="M454" s="8"/>
      <c r="N454" s="7"/>
      <c r="O454" s="8"/>
      <c r="P454" s="7"/>
      <c r="Q454" s="7"/>
      <c r="R454" s="8"/>
      <c r="S454" s="7"/>
      <c r="T454" s="9"/>
      <c r="U454" s="7"/>
      <c r="V454" s="8"/>
      <c r="W454" s="7"/>
      <c r="X454" s="7"/>
      <c r="Y454" s="8"/>
      <c r="Z454" s="7"/>
      <c r="AA454" s="8"/>
    </row>
    <row r="455" spans="4:27" ht="15" thickTop="1" thickBot="1">
      <c r="D455" s="65"/>
      <c r="E455" s="51" t="s">
        <v>1299</v>
      </c>
      <c r="F455" s="7"/>
      <c r="G455" s="8"/>
      <c r="H455" s="7"/>
      <c r="I455" s="6"/>
      <c r="J455" s="7"/>
      <c r="K455" s="8"/>
      <c r="L455" s="7"/>
      <c r="M455" s="8"/>
      <c r="N455" s="7"/>
      <c r="O455" s="8"/>
      <c r="P455" s="7"/>
      <c r="Q455" s="7"/>
      <c r="R455" s="8"/>
      <c r="S455" s="7"/>
      <c r="T455" s="9"/>
      <c r="U455" s="7"/>
      <c r="V455" s="8"/>
      <c r="W455" s="7"/>
      <c r="X455" s="7"/>
      <c r="Y455" s="8"/>
      <c r="Z455" s="7"/>
      <c r="AA455" s="8"/>
    </row>
    <row r="456" spans="4:27" ht="15" thickTop="1" thickBot="1">
      <c r="D456" s="65"/>
      <c r="E456" s="51" t="s">
        <v>213</v>
      </c>
      <c r="F456" s="7"/>
      <c r="G456" s="8"/>
      <c r="H456" s="7"/>
      <c r="I456" s="6"/>
      <c r="J456" s="7"/>
      <c r="K456" s="8"/>
      <c r="L456" s="7"/>
      <c r="M456" s="8"/>
      <c r="N456" s="7"/>
      <c r="O456" s="8"/>
      <c r="P456" s="7"/>
      <c r="Q456" s="7"/>
      <c r="R456" s="8"/>
      <c r="S456" s="7"/>
      <c r="T456" s="9"/>
      <c r="U456" s="7"/>
      <c r="V456" s="8"/>
      <c r="W456" s="7"/>
      <c r="X456" s="7"/>
      <c r="Y456" s="8"/>
      <c r="Z456" s="7"/>
      <c r="AA456" s="8"/>
    </row>
    <row r="457" spans="4:27" ht="15" thickTop="1" thickBot="1">
      <c r="D457" s="65"/>
      <c r="E457" s="51" t="s">
        <v>1034</v>
      </c>
      <c r="F457" s="7"/>
      <c r="G457" s="8"/>
      <c r="H457" s="7"/>
      <c r="I457" s="6"/>
      <c r="J457" s="7"/>
      <c r="K457" s="8"/>
      <c r="L457" s="7"/>
      <c r="M457" s="8"/>
      <c r="N457" s="7"/>
      <c r="O457" s="8"/>
      <c r="P457" s="7"/>
      <c r="Q457" s="7"/>
      <c r="R457" s="8"/>
      <c r="S457" s="7"/>
      <c r="T457" s="9"/>
      <c r="U457" s="7"/>
      <c r="V457" s="8"/>
      <c r="W457" s="7"/>
      <c r="X457" s="7"/>
      <c r="Y457" s="8"/>
      <c r="Z457" s="7"/>
      <c r="AA457" s="8"/>
    </row>
    <row r="458" spans="4:27" ht="15" thickTop="1" thickBot="1">
      <c r="D458" s="65"/>
      <c r="F458" s="7"/>
      <c r="G458" s="8"/>
      <c r="H458" s="7"/>
      <c r="I458" s="6"/>
      <c r="J458" s="7"/>
      <c r="K458" s="8"/>
      <c r="L458" s="7"/>
      <c r="M458" s="8"/>
      <c r="N458" s="7"/>
      <c r="O458" s="8"/>
      <c r="P458" s="7"/>
      <c r="Q458" s="7"/>
      <c r="R458" s="8"/>
      <c r="S458" s="7"/>
      <c r="T458" s="9"/>
      <c r="U458" s="7"/>
      <c r="V458" s="8"/>
      <c r="W458" s="7"/>
      <c r="X458" s="7"/>
      <c r="Y458" s="8"/>
      <c r="Z458" s="7"/>
      <c r="AA458" s="8"/>
    </row>
    <row r="459" spans="4:27" ht="15" thickTop="1" thickBot="1">
      <c r="D459" s="65"/>
      <c r="F459" s="7"/>
      <c r="G459" s="8"/>
      <c r="H459" s="7"/>
      <c r="I459" s="6"/>
      <c r="J459" s="7"/>
      <c r="K459" s="8"/>
      <c r="L459" s="7"/>
      <c r="M459" s="8"/>
      <c r="N459" s="7"/>
      <c r="O459" s="8"/>
      <c r="P459" s="7"/>
      <c r="Q459" s="7"/>
      <c r="R459" s="8"/>
      <c r="S459" s="7"/>
      <c r="T459" s="9"/>
      <c r="U459" s="7"/>
      <c r="V459" s="8"/>
      <c r="W459" s="7"/>
      <c r="X459" s="7"/>
      <c r="Y459" s="8"/>
      <c r="Z459" s="7"/>
      <c r="AA459" s="8"/>
    </row>
    <row r="460" spans="4:27" ht="15" thickTop="1" thickBot="1">
      <c r="D460" s="65"/>
      <c r="F460" s="7"/>
      <c r="G460" s="8"/>
      <c r="H460" s="7"/>
      <c r="I460" s="6"/>
      <c r="J460" s="7"/>
      <c r="K460" s="8"/>
      <c r="L460" s="7"/>
      <c r="M460" s="8"/>
      <c r="N460" s="7"/>
      <c r="O460" s="8"/>
      <c r="P460" s="7"/>
      <c r="Q460" s="7"/>
      <c r="R460" s="8"/>
      <c r="S460" s="7"/>
      <c r="T460" s="9"/>
      <c r="U460" s="7"/>
      <c r="V460" s="8"/>
      <c r="W460" s="7"/>
      <c r="X460" s="7"/>
      <c r="Y460" s="8"/>
      <c r="Z460" s="7"/>
      <c r="AA460" s="8"/>
    </row>
    <row r="461" spans="4:27" ht="15" thickTop="1" thickBot="1">
      <c r="D461" s="65"/>
      <c r="F461" s="7"/>
      <c r="G461" s="8"/>
      <c r="H461" s="7"/>
      <c r="I461" s="6"/>
      <c r="J461" s="7"/>
      <c r="K461" s="8"/>
      <c r="L461" s="7"/>
      <c r="M461" s="8"/>
      <c r="N461" s="7"/>
      <c r="O461" s="8"/>
      <c r="P461" s="7"/>
      <c r="Q461" s="7"/>
      <c r="R461" s="8"/>
      <c r="S461" s="7"/>
      <c r="T461" s="9"/>
      <c r="U461" s="7"/>
      <c r="V461" s="8"/>
      <c r="W461" s="7"/>
      <c r="X461" s="7"/>
      <c r="Y461" s="8"/>
      <c r="Z461" s="7"/>
      <c r="AA461" s="8"/>
    </row>
    <row r="462" spans="4:27" ht="15" thickTop="1" thickBot="1">
      <c r="D462" s="65"/>
      <c r="F462" s="7"/>
      <c r="G462" s="8"/>
      <c r="H462" s="7"/>
      <c r="I462" s="6"/>
      <c r="J462" s="7"/>
      <c r="K462" s="8"/>
      <c r="L462" s="7"/>
      <c r="M462" s="8"/>
      <c r="N462" s="7"/>
      <c r="O462" s="8"/>
      <c r="P462" s="7"/>
      <c r="Q462" s="7"/>
      <c r="R462" s="8"/>
      <c r="S462" s="7"/>
      <c r="T462" s="9"/>
      <c r="U462" s="7"/>
      <c r="V462" s="8"/>
      <c r="W462" s="7"/>
      <c r="X462" s="7"/>
      <c r="Y462" s="8"/>
      <c r="Z462" s="7"/>
      <c r="AA462" s="8"/>
    </row>
    <row r="463" spans="4:27" ht="15" thickTop="1" thickBot="1">
      <c r="D463" s="65"/>
      <c r="F463" s="7"/>
      <c r="G463" s="8"/>
      <c r="H463" s="7"/>
      <c r="I463" s="6"/>
      <c r="J463" s="7"/>
      <c r="K463" s="8"/>
      <c r="L463" s="7"/>
      <c r="M463" s="8"/>
      <c r="N463" s="7"/>
      <c r="O463" s="8"/>
      <c r="P463" s="7"/>
      <c r="Q463" s="7"/>
      <c r="R463" s="8"/>
      <c r="S463" s="7"/>
      <c r="T463" s="9"/>
      <c r="U463" s="7"/>
      <c r="V463" s="8"/>
      <c r="W463" s="7"/>
      <c r="X463" s="7"/>
      <c r="Y463" s="8"/>
      <c r="Z463" s="7"/>
      <c r="AA463" s="8"/>
    </row>
    <row r="464" spans="4:27" ht="15" thickTop="1" thickBot="1">
      <c r="D464" s="65"/>
      <c r="F464" s="7"/>
      <c r="G464" s="8"/>
      <c r="H464" s="7"/>
      <c r="I464" s="6"/>
      <c r="J464" s="7"/>
      <c r="K464" s="8"/>
      <c r="L464" s="7"/>
      <c r="M464" s="8"/>
      <c r="N464" s="7"/>
      <c r="O464" s="8"/>
      <c r="P464" s="7"/>
      <c r="Q464" s="7"/>
      <c r="R464" s="8"/>
      <c r="S464" s="7"/>
      <c r="T464" s="9"/>
      <c r="U464" s="7"/>
      <c r="V464" s="8"/>
      <c r="W464" s="7"/>
      <c r="X464" s="7"/>
      <c r="Y464" s="8"/>
      <c r="Z464" s="7"/>
      <c r="AA464" s="8"/>
    </row>
    <row r="465" spans="4:27" ht="15" thickTop="1" thickBot="1">
      <c r="D465" s="65"/>
      <c r="F465" s="7"/>
      <c r="G465" s="8"/>
      <c r="H465" s="7"/>
      <c r="I465" s="6"/>
      <c r="J465" s="7"/>
      <c r="K465" s="8"/>
      <c r="L465" s="7"/>
      <c r="M465" s="8"/>
      <c r="N465" s="7"/>
      <c r="O465" s="8"/>
      <c r="P465" s="7"/>
      <c r="Q465" s="7"/>
      <c r="R465" s="8"/>
      <c r="S465" s="7"/>
      <c r="T465" s="9"/>
      <c r="U465" s="7"/>
      <c r="V465" s="8"/>
      <c r="W465" s="7"/>
      <c r="X465" s="7"/>
      <c r="Y465" s="8"/>
      <c r="Z465" s="7"/>
      <c r="AA465" s="8"/>
    </row>
    <row r="466" spans="4:27" ht="15" thickTop="1" thickBot="1">
      <c r="D466" s="65"/>
      <c r="F466" s="7"/>
      <c r="G466" s="8"/>
      <c r="H466" s="7"/>
      <c r="I466" s="6"/>
      <c r="J466" s="7"/>
      <c r="K466" s="8"/>
      <c r="L466" s="7"/>
      <c r="M466" s="8"/>
      <c r="N466" s="7"/>
      <c r="O466" s="8"/>
      <c r="P466" s="7"/>
      <c r="Q466" s="7"/>
      <c r="R466" s="8"/>
      <c r="S466" s="7"/>
      <c r="T466" s="9"/>
      <c r="U466" s="7"/>
      <c r="V466" s="8"/>
      <c r="W466" s="7"/>
      <c r="X466" s="7"/>
      <c r="Y466" s="8"/>
      <c r="Z466" s="7"/>
      <c r="AA466" s="8"/>
    </row>
    <row r="467" spans="4:27" ht="15" thickTop="1" thickBot="1">
      <c r="D467" s="65"/>
      <c r="F467" s="7"/>
      <c r="G467" s="8"/>
      <c r="H467" s="7"/>
      <c r="I467" s="6"/>
      <c r="J467" s="7"/>
      <c r="K467" s="8"/>
      <c r="L467" s="7"/>
      <c r="M467" s="8"/>
      <c r="N467" s="7"/>
      <c r="O467" s="8"/>
      <c r="P467" s="7"/>
      <c r="Q467" s="7"/>
      <c r="R467" s="8"/>
      <c r="S467" s="7"/>
      <c r="T467" s="9"/>
      <c r="U467" s="7"/>
      <c r="V467" s="8"/>
      <c r="W467" s="7"/>
      <c r="X467" s="7"/>
      <c r="Y467" s="8"/>
      <c r="Z467" s="7"/>
      <c r="AA467" s="8"/>
    </row>
    <row r="468" spans="4:27" ht="15" thickTop="1" thickBot="1">
      <c r="D468" s="65"/>
      <c r="F468" s="7"/>
      <c r="G468" s="8"/>
      <c r="H468" s="7"/>
      <c r="I468" s="6"/>
      <c r="J468" s="7"/>
      <c r="K468" s="8"/>
      <c r="L468" s="7"/>
      <c r="M468" s="8"/>
      <c r="N468" s="7"/>
      <c r="O468" s="8"/>
      <c r="P468" s="7"/>
      <c r="Q468" s="7"/>
      <c r="R468" s="8"/>
      <c r="S468" s="7"/>
      <c r="T468" s="9"/>
      <c r="U468" s="7"/>
      <c r="V468" s="8"/>
      <c r="W468" s="7"/>
      <c r="X468" s="7"/>
      <c r="Y468" s="8"/>
      <c r="Z468" s="7"/>
      <c r="AA468" s="8"/>
    </row>
    <row r="469" spans="4:27" ht="15" thickTop="1" thickBot="1">
      <c r="D469" s="65"/>
      <c r="F469" s="7"/>
      <c r="G469" s="8"/>
      <c r="H469" s="7"/>
      <c r="I469" s="6"/>
      <c r="J469" s="7"/>
      <c r="K469" s="8"/>
      <c r="L469" s="7"/>
      <c r="M469" s="8"/>
      <c r="N469" s="7"/>
      <c r="O469" s="8"/>
      <c r="P469" s="7"/>
      <c r="Q469" s="7"/>
      <c r="R469" s="8"/>
      <c r="S469" s="7"/>
      <c r="T469" s="9"/>
      <c r="U469" s="7"/>
      <c r="V469" s="8"/>
      <c r="W469" s="7"/>
      <c r="X469" s="7"/>
      <c r="Y469" s="8"/>
      <c r="Z469" s="7"/>
      <c r="AA469" s="8"/>
    </row>
    <row r="470" spans="4:27" ht="15" thickTop="1" thickBot="1">
      <c r="D470" s="65"/>
      <c r="F470" s="7"/>
      <c r="G470" s="8"/>
      <c r="H470" s="7"/>
      <c r="I470" s="6"/>
      <c r="J470" s="7"/>
      <c r="K470" s="8"/>
      <c r="L470" s="7"/>
      <c r="M470" s="8"/>
      <c r="N470" s="7"/>
      <c r="O470" s="8"/>
      <c r="P470" s="7"/>
      <c r="Q470" s="7"/>
      <c r="R470" s="8"/>
      <c r="S470" s="7"/>
      <c r="T470" s="9"/>
      <c r="U470" s="7"/>
      <c r="V470" s="8"/>
      <c r="W470" s="7"/>
      <c r="X470" s="7"/>
      <c r="Y470" s="8"/>
      <c r="Z470" s="7"/>
      <c r="AA470" s="8"/>
    </row>
    <row r="471" spans="4:27" ht="15" thickTop="1" thickBot="1">
      <c r="D471" s="65"/>
      <c r="F471" s="7"/>
      <c r="G471" s="8"/>
      <c r="H471" s="7"/>
      <c r="I471" s="6"/>
      <c r="J471" s="7"/>
      <c r="K471" s="8"/>
      <c r="L471" s="7"/>
      <c r="M471" s="8"/>
      <c r="N471" s="7"/>
      <c r="O471" s="8"/>
      <c r="P471" s="7"/>
      <c r="Q471" s="7"/>
      <c r="R471" s="8"/>
      <c r="S471" s="7"/>
      <c r="T471" s="9"/>
      <c r="U471" s="7"/>
      <c r="V471" s="8"/>
      <c r="W471" s="7"/>
      <c r="X471" s="7"/>
      <c r="Y471" s="8"/>
      <c r="Z471" s="7"/>
      <c r="AA471" s="8"/>
    </row>
    <row r="472" spans="4:27" ht="15" thickTop="1" thickBot="1">
      <c r="D472" s="65"/>
      <c r="F472" s="7"/>
      <c r="G472" s="8"/>
      <c r="H472" s="7"/>
      <c r="I472" s="6"/>
      <c r="J472" s="7"/>
      <c r="K472" s="8"/>
      <c r="L472" s="7"/>
      <c r="M472" s="8"/>
      <c r="N472" s="7"/>
      <c r="O472" s="8"/>
      <c r="P472" s="7"/>
      <c r="Q472" s="7"/>
      <c r="R472" s="8"/>
      <c r="S472" s="7"/>
      <c r="T472" s="9"/>
      <c r="U472" s="7"/>
      <c r="V472" s="8"/>
      <c r="W472" s="7"/>
      <c r="X472" s="7"/>
      <c r="Y472" s="8"/>
      <c r="Z472" s="7"/>
      <c r="AA472" s="8"/>
    </row>
    <row r="473" spans="4:27" ht="15" thickTop="1" thickBot="1">
      <c r="D473" s="65"/>
      <c r="F473" s="7"/>
      <c r="G473" s="8"/>
      <c r="H473" s="7"/>
      <c r="I473" s="6"/>
      <c r="J473" s="7"/>
      <c r="K473" s="8"/>
      <c r="L473" s="7"/>
      <c r="M473" s="8"/>
      <c r="N473" s="7"/>
      <c r="O473" s="8"/>
      <c r="P473" s="7"/>
      <c r="Q473" s="7"/>
      <c r="R473" s="8"/>
      <c r="S473" s="7"/>
      <c r="T473" s="9"/>
      <c r="U473" s="7"/>
      <c r="V473" s="8"/>
      <c r="W473" s="7"/>
      <c r="X473" s="7"/>
      <c r="Y473" s="8"/>
      <c r="Z473" s="7"/>
      <c r="AA473" s="8"/>
    </row>
    <row r="474" spans="4:27" ht="15" thickTop="1" thickBot="1">
      <c r="D474" s="65"/>
      <c r="F474" s="7"/>
      <c r="G474" s="8"/>
      <c r="H474" s="7"/>
      <c r="I474" s="6"/>
      <c r="J474" s="7"/>
      <c r="K474" s="8"/>
      <c r="L474" s="7"/>
      <c r="M474" s="8"/>
      <c r="N474" s="7"/>
      <c r="O474" s="8"/>
      <c r="P474" s="7"/>
      <c r="Q474" s="7"/>
      <c r="R474" s="8"/>
      <c r="S474" s="7"/>
      <c r="T474" s="9"/>
      <c r="U474" s="7"/>
      <c r="V474" s="8"/>
      <c r="W474" s="7"/>
      <c r="X474" s="7"/>
      <c r="Y474" s="8"/>
      <c r="Z474" s="7"/>
      <c r="AA474" s="8"/>
    </row>
    <row r="475" spans="4:27" ht="15" thickTop="1" thickBot="1">
      <c r="D475" s="65"/>
      <c r="F475" s="7"/>
      <c r="G475" s="8"/>
      <c r="H475" s="7"/>
      <c r="I475" s="6"/>
      <c r="J475" s="7"/>
      <c r="K475" s="8"/>
      <c r="L475" s="7"/>
      <c r="M475" s="8"/>
      <c r="N475" s="7"/>
      <c r="O475" s="8"/>
      <c r="P475" s="7"/>
      <c r="Q475" s="7"/>
      <c r="R475" s="8"/>
      <c r="S475" s="7"/>
      <c r="T475" s="9"/>
      <c r="U475" s="7"/>
      <c r="V475" s="8"/>
      <c r="W475" s="7"/>
      <c r="X475" s="7"/>
      <c r="Y475" s="8"/>
      <c r="Z475" s="7"/>
      <c r="AA475" s="8"/>
    </row>
    <row r="476" spans="4:27" ht="15" thickTop="1" thickBot="1">
      <c r="D476" s="65"/>
      <c r="F476" s="7"/>
      <c r="G476" s="8"/>
      <c r="H476" s="7"/>
      <c r="I476" s="6"/>
      <c r="J476" s="7"/>
      <c r="K476" s="8"/>
      <c r="L476" s="7"/>
      <c r="M476" s="8"/>
      <c r="N476" s="7"/>
      <c r="O476" s="8"/>
      <c r="P476" s="7"/>
      <c r="Q476" s="7"/>
      <c r="R476" s="8"/>
      <c r="S476" s="7"/>
      <c r="T476" s="9"/>
      <c r="U476" s="7"/>
      <c r="V476" s="8"/>
      <c r="W476" s="7"/>
      <c r="X476" s="7"/>
      <c r="Y476" s="8"/>
      <c r="Z476" s="7"/>
      <c r="AA476" s="8"/>
    </row>
    <row r="477" spans="4:27" ht="15" thickTop="1" thickBot="1">
      <c r="D477" s="65"/>
      <c r="F477" s="7"/>
      <c r="G477" s="8"/>
      <c r="H477" s="7"/>
      <c r="I477" s="6"/>
      <c r="J477" s="7"/>
      <c r="K477" s="8"/>
      <c r="L477" s="7"/>
      <c r="M477" s="8"/>
      <c r="N477" s="7"/>
      <c r="O477" s="8"/>
      <c r="P477" s="7"/>
      <c r="Q477" s="7"/>
      <c r="R477" s="8"/>
      <c r="S477" s="7"/>
      <c r="T477" s="9"/>
      <c r="U477" s="7"/>
      <c r="V477" s="8"/>
      <c r="W477" s="7"/>
      <c r="X477" s="7"/>
      <c r="Y477" s="8"/>
      <c r="Z477" s="7"/>
      <c r="AA477" s="8"/>
    </row>
    <row r="478" spans="4:27" ht="15" thickTop="1" thickBot="1">
      <c r="D478" s="65"/>
      <c r="F478" s="7"/>
      <c r="G478" s="8"/>
      <c r="H478" s="7"/>
      <c r="I478" s="6"/>
      <c r="J478" s="7"/>
      <c r="K478" s="8"/>
      <c r="L478" s="7"/>
      <c r="M478" s="8"/>
      <c r="N478" s="7"/>
      <c r="O478" s="8"/>
      <c r="P478" s="7"/>
      <c r="Q478" s="7"/>
      <c r="R478" s="8"/>
      <c r="S478" s="7"/>
      <c r="T478" s="9"/>
      <c r="U478" s="7"/>
      <c r="V478" s="8"/>
      <c r="W478" s="7"/>
      <c r="X478" s="7"/>
      <c r="Y478" s="8"/>
      <c r="Z478" s="7"/>
      <c r="AA478" s="8"/>
    </row>
    <row r="479" spans="4:27" ht="15" thickTop="1" thickBot="1">
      <c r="D479" s="65"/>
      <c r="F479" s="7"/>
      <c r="G479" s="8"/>
      <c r="H479" s="7"/>
      <c r="I479" s="6"/>
      <c r="J479" s="7"/>
      <c r="K479" s="8"/>
      <c r="L479" s="7"/>
      <c r="M479" s="8"/>
      <c r="N479" s="7"/>
      <c r="O479" s="8"/>
      <c r="P479" s="7"/>
      <c r="Q479" s="7"/>
      <c r="R479" s="8"/>
      <c r="S479" s="7"/>
      <c r="T479" s="9"/>
      <c r="U479" s="7"/>
      <c r="V479" s="8"/>
      <c r="W479" s="7"/>
      <c r="X479" s="7"/>
      <c r="Y479" s="8"/>
      <c r="Z479" s="7"/>
      <c r="AA479" s="8"/>
    </row>
    <row r="480" spans="4:27" ht="15" thickTop="1" thickBot="1">
      <c r="D480" s="65"/>
      <c r="F480" s="7"/>
      <c r="G480" s="8"/>
      <c r="H480" s="7"/>
      <c r="I480" s="6"/>
      <c r="J480" s="7"/>
      <c r="K480" s="8"/>
      <c r="L480" s="7"/>
      <c r="M480" s="8"/>
      <c r="N480" s="7"/>
      <c r="O480" s="8"/>
      <c r="P480" s="7"/>
      <c r="Q480" s="7"/>
      <c r="R480" s="8"/>
      <c r="S480" s="7"/>
      <c r="T480" s="9"/>
      <c r="U480" s="7"/>
      <c r="V480" s="8"/>
      <c r="W480" s="7"/>
      <c r="X480" s="7"/>
      <c r="Y480" s="8"/>
      <c r="Z480" s="7"/>
      <c r="AA480" s="8"/>
    </row>
    <row r="481" spans="4:27" ht="15" thickTop="1" thickBot="1">
      <c r="D481" s="65"/>
      <c r="F481" s="7"/>
      <c r="G481" s="8"/>
      <c r="H481" s="7"/>
      <c r="I481" s="6"/>
      <c r="J481" s="7"/>
      <c r="K481" s="8"/>
      <c r="L481" s="7"/>
      <c r="M481" s="8"/>
      <c r="N481" s="7"/>
      <c r="O481" s="8"/>
      <c r="P481" s="7"/>
      <c r="Q481" s="7"/>
      <c r="R481" s="8"/>
      <c r="S481" s="7"/>
      <c r="T481" s="9"/>
      <c r="U481" s="7"/>
      <c r="V481" s="8"/>
      <c r="W481" s="7"/>
      <c r="X481" s="7"/>
      <c r="Y481" s="8"/>
      <c r="Z481" s="7"/>
      <c r="AA481" s="8"/>
    </row>
    <row r="482" spans="4:27" ht="15" thickTop="1" thickBot="1">
      <c r="D482" s="65"/>
      <c r="F482" s="7"/>
      <c r="G482" s="8"/>
      <c r="H482" s="7"/>
      <c r="I482" s="6"/>
      <c r="J482" s="7"/>
      <c r="K482" s="8"/>
      <c r="L482" s="7"/>
      <c r="M482" s="8"/>
      <c r="N482" s="7"/>
      <c r="O482" s="8"/>
      <c r="P482" s="7"/>
      <c r="Q482" s="7"/>
      <c r="R482" s="8"/>
      <c r="S482" s="7"/>
      <c r="T482" s="9"/>
      <c r="U482" s="7"/>
      <c r="V482" s="8"/>
      <c r="W482" s="7"/>
      <c r="X482" s="7"/>
      <c r="Y482" s="8"/>
      <c r="Z482" s="7"/>
      <c r="AA482" s="8"/>
    </row>
    <row r="483" spans="4:27" ht="15" thickTop="1" thickBot="1">
      <c r="D483" s="65"/>
      <c r="F483" s="7"/>
      <c r="G483" s="8"/>
      <c r="H483" s="7"/>
      <c r="I483" s="6"/>
      <c r="J483" s="7"/>
      <c r="K483" s="8"/>
      <c r="L483" s="7"/>
      <c r="M483" s="8"/>
      <c r="N483" s="7"/>
      <c r="O483" s="8"/>
      <c r="P483" s="7"/>
      <c r="Q483" s="7"/>
      <c r="R483" s="8"/>
      <c r="S483" s="7"/>
      <c r="T483" s="9"/>
      <c r="U483" s="7"/>
      <c r="V483" s="8"/>
      <c r="W483" s="7"/>
      <c r="X483" s="7"/>
      <c r="Y483" s="8"/>
      <c r="Z483" s="7"/>
      <c r="AA483" s="8"/>
    </row>
    <row r="484" spans="4:27" ht="14.4" thickBot="1">
      <c r="D484" s="65"/>
      <c r="U484" s="7"/>
      <c r="V484" s="8"/>
    </row>
    <row r="485" spans="4:27">
      <c r="D485" s="65"/>
    </row>
    <row r="486" spans="4:27">
      <c r="D486" s="65"/>
    </row>
    <row r="487" spans="4:27">
      <c r="D487" s="65"/>
    </row>
    <row r="488" spans="4:27">
      <c r="D488" s="65"/>
    </row>
    <row r="489" spans="4:27">
      <c r="D489" s="65"/>
    </row>
    <row r="490" spans="4:27">
      <c r="D490" s="65"/>
    </row>
    <row r="491" spans="4:27">
      <c r="D491" s="65"/>
    </row>
    <row r="492" spans="4:27">
      <c r="D492" s="65"/>
    </row>
    <row r="493" spans="4:27">
      <c r="D493" s="65"/>
    </row>
    <row r="494" spans="4:27">
      <c r="D494" s="65"/>
    </row>
    <row r="495" spans="4:27">
      <c r="D495" s="65"/>
    </row>
    <row r="496" spans="4:27">
      <c r="D496" s="65"/>
    </row>
    <row r="497" spans="4:4">
      <c r="D497" s="65"/>
    </row>
    <row r="498" spans="4:4">
      <c r="D498" s="65"/>
    </row>
    <row r="499" spans="4:4">
      <c r="D499" s="65"/>
    </row>
    <row r="500" spans="4:4">
      <c r="D500" s="65"/>
    </row>
    <row r="501" spans="4:4">
      <c r="D501" s="65"/>
    </row>
    <row r="502" spans="4:4">
      <c r="D502" s="65"/>
    </row>
    <row r="503" spans="4:4">
      <c r="D503" s="65"/>
    </row>
    <row r="504" spans="4:4">
      <c r="D504" s="65"/>
    </row>
    <row r="505" spans="4:4">
      <c r="D505" s="65"/>
    </row>
    <row r="506" spans="4:4">
      <c r="D506" s="65"/>
    </row>
    <row r="507" spans="4:4">
      <c r="D507" s="65"/>
    </row>
    <row r="508" spans="4:4">
      <c r="D508" s="65"/>
    </row>
    <row r="509" spans="4:4">
      <c r="D509" s="65"/>
    </row>
    <row r="510" spans="4:4">
      <c r="D510" s="65"/>
    </row>
    <row r="511" spans="4:4">
      <c r="D511" s="65"/>
    </row>
    <row r="512" spans="4:4">
      <c r="D512" s="65"/>
    </row>
    <row r="513" spans="4:4">
      <c r="D513" s="65"/>
    </row>
    <row r="514" spans="4:4">
      <c r="D514" s="65"/>
    </row>
    <row r="515" spans="4:4">
      <c r="D515" s="65"/>
    </row>
    <row r="516" spans="4:4">
      <c r="D516" s="65"/>
    </row>
    <row r="517" spans="4:4">
      <c r="D517" s="65"/>
    </row>
    <row r="518" spans="4:4">
      <c r="D518" s="65"/>
    </row>
    <row r="519" spans="4:4">
      <c r="D519" s="65"/>
    </row>
    <row r="520" spans="4:4">
      <c r="D520" s="65"/>
    </row>
    <row r="521" spans="4:4">
      <c r="D521" s="65"/>
    </row>
    <row r="522" spans="4:4">
      <c r="D522" s="65"/>
    </row>
    <row r="523" spans="4:4">
      <c r="D523" s="65"/>
    </row>
    <row r="524" spans="4:4">
      <c r="D524" s="65"/>
    </row>
    <row r="525" spans="4:4">
      <c r="D525" s="65"/>
    </row>
    <row r="526" spans="4:4">
      <c r="D526" s="65"/>
    </row>
    <row r="527" spans="4:4">
      <c r="D527" s="65"/>
    </row>
    <row r="528" spans="4:4">
      <c r="D528" s="65"/>
    </row>
    <row r="529" spans="4:4">
      <c r="D529" s="65"/>
    </row>
    <row r="530" spans="4:4">
      <c r="D530" s="65"/>
    </row>
    <row r="531" spans="4:4">
      <c r="D531" s="65"/>
    </row>
    <row r="532" spans="4:4">
      <c r="D532" s="65"/>
    </row>
    <row r="533" spans="4:4">
      <c r="D533" s="65"/>
    </row>
    <row r="534" spans="4:4">
      <c r="D534" s="65"/>
    </row>
    <row r="535" spans="4:4">
      <c r="D535" s="65"/>
    </row>
    <row r="536" spans="4:4">
      <c r="D536" s="65"/>
    </row>
    <row r="537" spans="4:4">
      <c r="D537" s="65"/>
    </row>
    <row r="538" spans="4:4">
      <c r="D538" s="65"/>
    </row>
    <row r="539" spans="4:4">
      <c r="D539" s="65"/>
    </row>
    <row r="540" spans="4:4">
      <c r="D540" s="65"/>
    </row>
    <row r="541" spans="4:4">
      <c r="D541" s="65"/>
    </row>
    <row r="542" spans="4:4">
      <c r="D542" s="65"/>
    </row>
    <row r="543" spans="4:4">
      <c r="D543" s="65"/>
    </row>
    <row r="544" spans="4:4">
      <c r="D544" s="65"/>
    </row>
    <row r="545" spans="4:4">
      <c r="D545" s="65"/>
    </row>
    <row r="546" spans="4:4">
      <c r="D546" s="65"/>
    </row>
    <row r="547" spans="4:4">
      <c r="D547" s="65"/>
    </row>
    <row r="548" spans="4:4">
      <c r="D548" s="65"/>
    </row>
    <row r="549" spans="4:4">
      <c r="D549" s="65"/>
    </row>
    <row r="550" spans="4:4">
      <c r="D550" s="65"/>
    </row>
    <row r="551" spans="4:4">
      <c r="D551" s="65"/>
    </row>
    <row r="552" spans="4:4">
      <c r="D552" s="65"/>
    </row>
    <row r="553" spans="4:4">
      <c r="D553" s="65"/>
    </row>
    <row r="554" spans="4:4">
      <c r="D554" s="65"/>
    </row>
    <row r="555" spans="4:4">
      <c r="D555" s="65"/>
    </row>
    <row r="556" spans="4:4">
      <c r="D556" s="65"/>
    </row>
    <row r="557" spans="4:4">
      <c r="D557" s="65"/>
    </row>
    <row r="558" spans="4:4">
      <c r="D558" s="65"/>
    </row>
    <row r="559" spans="4:4">
      <c r="D559" s="65"/>
    </row>
    <row r="560" spans="4:4">
      <c r="D560" s="65"/>
    </row>
    <row r="561" spans="4:4">
      <c r="D561" s="65"/>
    </row>
    <row r="562" spans="4:4">
      <c r="D562" s="65"/>
    </row>
    <row r="563" spans="4:4">
      <c r="D563" s="65"/>
    </row>
    <row r="564" spans="4:4">
      <c r="D564" s="65"/>
    </row>
    <row r="565" spans="4:4">
      <c r="D565" s="65"/>
    </row>
    <row r="566" spans="4:4">
      <c r="D566" s="65"/>
    </row>
    <row r="567" spans="4:4">
      <c r="D567" s="65"/>
    </row>
    <row r="568" spans="4:4">
      <c r="D568" s="65"/>
    </row>
    <row r="569" spans="4:4">
      <c r="D569" s="65"/>
    </row>
    <row r="570" spans="4:4">
      <c r="D570" s="65"/>
    </row>
    <row r="571" spans="4:4">
      <c r="D571" s="65"/>
    </row>
    <row r="572" spans="4:4">
      <c r="D572" s="65"/>
    </row>
    <row r="573" spans="4:4">
      <c r="D573" s="65"/>
    </row>
    <row r="574" spans="4:4">
      <c r="D574" s="65"/>
    </row>
    <row r="575" spans="4:4">
      <c r="D575" s="65"/>
    </row>
    <row r="576" spans="4:4">
      <c r="D576" s="65"/>
    </row>
    <row r="577" spans="4:4">
      <c r="D577" s="65"/>
    </row>
    <row r="578" spans="4:4">
      <c r="D578" s="65"/>
    </row>
    <row r="579" spans="4:4">
      <c r="D579" s="65"/>
    </row>
    <row r="580" spans="4:4">
      <c r="D580" s="65"/>
    </row>
    <row r="581" spans="4:4">
      <c r="D581" s="65"/>
    </row>
    <row r="582" spans="4:4">
      <c r="D582" s="65"/>
    </row>
    <row r="583" spans="4:4">
      <c r="D583" s="65"/>
    </row>
    <row r="584" spans="4:4">
      <c r="D584" s="65"/>
    </row>
    <row r="585" spans="4:4">
      <c r="D585" s="65"/>
    </row>
    <row r="586" spans="4:4">
      <c r="D586" s="65"/>
    </row>
    <row r="587" spans="4:4">
      <c r="D587" s="65"/>
    </row>
    <row r="588" spans="4:4">
      <c r="D588" s="65"/>
    </row>
    <row r="589" spans="4:4">
      <c r="D589" s="65"/>
    </row>
    <row r="590" spans="4:4">
      <c r="D590" s="65"/>
    </row>
    <row r="591" spans="4:4">
      <c r="D591" s="65"/>
    </row>
    <row r="592" spans="4:4">
      <c r="D592" s="65"/>
    </row>
    <row r="593" spans="4:4">
      <c r="D593" s="65"/>
    </row>
    <row r="594" spans="4:4">
      <c r="D594" s="65"/>
    </row>
    <row r="595" spans="4:4">
      <c r="D595" s="65"/>
    </row>
    <row r="596" spans="4:4">
      <c r="D596" s="65"/>
    </row>
    <row r="597" spans="4:4">
      <c r="D597" s="65"/>
    </row>
    <row r="598" spans="4:4">
      <c r="D598" s="65"/>
    </row>
    <row r="599" spans="4:4">
      <c r="D599" s="65"/>
    </row>
    <row r="600" spans="4:4">
      <c r="D600" s="65"/>
    </row>
    <row r="601" spans="4:4">
      <c r="D601" s="65"/>
    </row>
    <row r="602" spans="4:4">
      <c r="D602" s="65"/>
    </row>
    <row r="603" spans="4:4">
      <c r="D603" s="65"/>
    </row>
    <row r="604" spans="4:4">
      <c r="D604" s="65"/>
    </row>
    <row r="605" spans="4:4">
      <c r="D605" s="65"/>
    </row>
    <row r="606" spans="4:4">
      <c r="D606" s="65"/>
    </row>
    <row r="607" spans="4:4">
      <c r="D607" s="65"/>
    </row>
    <row r="608" spans="4:4">
      <c r="D608" s="65"/>
    </row>
    <row r="609" spans="4:4">
      <c r="D609" s="65"/>
    </row>
    <row r="610" spans="4:4">
      <c r="D610" s="65"/>
    </row>
    <row r="611" spans="4:4">
      <c r="D611" s="65"/>
    </row>
    <row r="612" spans="4:4">
      <c r="D612" s="65"/>
    </row>
    <row r="613" spans="4:4">
      <c r="D613" s="65"/>
    </row>
    <row r="614" spans="4:4">
      <c r="D614" s="65"/>
    </row>
    <row r="615" spans="4:4">
      <c r="D615" s="65"/>
    </row>
    <row r="616" spans="4:4">
      <c r="D616" s="65"/>
    </row>
    <row r="617" spans="4:4">
      <c r="D617" s="65"/>
    </row>
    <row r="618" spans="4:4">
      <c r="D618" s="65"/>
    </row>
    <row r="619" spans="4:4">
      <c r="D619" s="65"/>
    </row>
    <row r="620" spans="4:4">
      <c r="D620" s="65"/>
    </row>
    <row r="621" spans="4:4">
      <c r="D621" s="65"/>
    </row>
    <row r="622" spans="4:4">
      <c r="D622" s="65"/>
    </row>
    <row r="623" spans="4:4">
      <c r="D623" s="65"/>
    </row>
    <row r="624" spans="4:4">
      <c r="D624" s="65"/>
    </row>
    <row r="625" spans="4:4">
      <c r="D625" s="65"/>
    </row>
    <row r="626" spans="4:4">
      <c r="D626" s="65"/>
    </row>
    <row r="627" spans="4:4">
      <c r="D627" s="65"/>
    </row>
    <row r="628" spans="4:4">
      <c r="D628" s="65"/>
    </row>
    <row r="629" spans="4:4">
      <c r="D629" s="65"/>
    </row>
    <row r="630" spans="4:4">
      <c r="D630" s="65"/>
    </row>
    <row r="631" spans="4:4">
      <c r="D631" s="65"/>
    </row>
    <row r="632" spans="4:4">
      <c r="D632" s="65"/>
    </row>
    <row r="633" spans="4:4">
      <c r="D633" s="65"/>
    </row>
    <row r="634" spans="4:4">
      <c r="D634" s="65"/>
    </row>
    <row r="635" spans="4:4">
      <c r="D635" s="65"/>
    </row>
    <row r="636" spans="4:4">
      <c r="D636" s="65"/>
    </row>
    <row r="637" spans="4:4">
      <c r="D637" s="65"/>
    </row>
    <row r="638" spans="4:4">
      <c r="D638" s="65"/>
    </row>
    <row r="639" spans="4:4">
      <c r="D639" s="65"/>
    </row>
    <row r="640" spans="4:4">
      <c r="D640" s="65"/>
    </row>
    <row r="641" spans="4:4">
      <c r="D641" s="65"/>
    </row>
    <row r="642" spans="4:4">
      <c r="D642" s="65"/>
    </row>
    <row r="643" spans="4:4">
      <c r="D643" s="65"/>
    </row>
    <row r="644" spans="4:4">
      <c r="D644" s="65"/>
    </row>
    <row r="645" spans="4:4">
      <c r="D645" s="65"/>
    </row>
    <row r="646" spans="4:4">
      <c r="D646" s="65"/>
    </row>
    <row r="647" spans="4:4">
      <c r="D647" s="65"/>
    </row>
    <row r="648" spans="4:4">
      <c r="D648" s="65"/>
    </row>
    <row r="649" spans="4:4">
      <c r="D649" s="65"/>
    </row>
    <row r="650" spans="4:4">
      <c r="D650" s="65"/>
    </row>
    <row r="651" spans="4:4">
      <c r="D651" s="65"/>
    </row>
    <row r="652" spans="4:4">
      <c r="D652" s="65"/>
    </row>
    <row r="653" spans="4:4">
      <c r="D653" s="65"/>
    </row>
    <row r="654" spans="4:4">
      <c r="D654" s="65"/>
    </row>
    <row r="655" spans="4:4">
      <c r="D655" s="65"/>
    </row>
    <row r="656" spans="4:4">
      <c r="D656" s="65"/>
    </row>
    <row r="657" spans="4:4">
      <c r="D657" s="65"/>
    </row>
    <row r="658" spans="4:4">
      <c r="D658" s="65"/>
    </row>
    <row r="659" spans="4:4">
      <c r="D659" s="65"/>
    </row>
    <row r="660" spans="4:4">
      <c r="D660" s="65"/>
    </row>
    <row r="661" spans="4:4">
      <c r="D661" s="65"/>
    </row>
    <row r="662" spans="4:4">
      <c r="D662" s="65"/>
    </row>
    <row r="663" spans="4:4">
      <c r="D663" s="65"/>
    </row>
    <row r="664" spans="4:4">
      <c r="D664" s="65"/>
    </row>
    <row r="665" spans="4:4">
      <c r="D665" s="65"/>
    </row>
    <row r="666" spans="4:4">
      <c r="D666" s="65"/>
    </row>
    <row r="667" spans="4:4">
      <c r="D667" s="65"/>
    </row>
    <row r="668" spans="4:4">
      <c r="D668" s="65"/>
    </row>
    <row r="669" spans="4:4">
      <c r="D669" s="65"/>
    </row>
    <row r="670" spans="4:4">
      <c r="D670" s="65"/>
    </row>
    <row r="671" spans="4:4">
      <c r="D671" s="65"/>
    </row>
    <row r="672" spans="4:4">
      <c r="D672" s="65"/>
    </row>
    <row r="673" spans="4:4">
      <c r="D673" s="65"/>
    </row>
    <row r="674" spans="4:4">
      <c r="D674" s="65"/>
    </row>
    <row r="675" spans="4:4">
      <c r="D675" s="65"/>
    </row>
    <row r="676" spans="4:4">
      <c r="D676" s="65"/>
    </row>
    <row r="677" spans="4:4">
      <c r="D677" s="65"/>
    </row>
    <row r="678" spans="4:4">
      <c r="D678" s="65"/>
    </row>
    <row r="679" spans="4:4">
      <c r="D679" s="65"/>
    </row>
    <row r="680" spans="4:4">
      <c r="D680" s="65"/>
    </row>
    <row r="681" spans="4:4">
      <c r="D681" s="65"/>
    </row>
    <row r="682" spans="4:4">
      <c r="D682" s="65"/>
    </row>
    <row r="683" spans="4:4">
      <c r="D683" s="65"/>
    </row>
    <row r="684" spans="4:4">
      <c r="D684" s="65"/>
    </row>
    <row r="685" spans="4:4">
      <c r="D685" s="65"/>
    </row>
    <row r="686" spans="4:4">
      <c r="D686" s="65"/>
    </row>
    <row r="687" spans="4:4">
      <c r="D687" s="65"/>
    </row>
    <row r="688" spans="4:4">
      <c r="D688" s="65"/>
    </row>
    <row r="689" spans="4:4">
      <c r="D689" s="65"/>
    </row>
    <row r="690" spans="4:4">
      <c r="D690" s="65"/>
    </row>
    <row r="691" spans="4:4">
      <c r="D691" s="65"/>
    </row>
    <row r="692" spans="4:4">
      <c r="D692" s="65"/>
    </row>
    <row r="693" spans="4:4">
      <c r="D693" s="65"/>
    </row>
    <row r="694" spans="4:4">
      <c r="D694" s="65"/>
    </row>
    <row r="695" spans="4:4">
      <c r="D695" s="65"/>
    </row>
    <row r="696" spans="4:4">
      <c r="D696" s="65"/>
    </row>
    <row r="697" spans="4:4">
      <c r="D697" s="65"/>
    </row>
    <row r="698" spans="4:4">
      <c r="D698" s="65"/>
    </row>
    <row r="699" spans="4:4">
      <c r="D699" s="65"/>
    </row>
    <row r="700" spans="4:4">
      <c r="D700" s="65"/>
    </row>
    <row r="701" spans="4:4">
      <c r="D701" s="65"/>
    </row>
    <row r="702" spans="4:4">
      <c r="D702" s="65"/>
    </row>
    <row r="703" spans="4:4">
      <c r="D703" s="65"/>
    </row>
    <row r="704" spans="4:4">
      <c r="D704" s="65"/>
    </row>
    <row r="705" spans="4:4">
      <c r="D705" s="65"/>
    </row>
    <row r="706" spans="4:4">
      <c r="D706" s="65"/>
    </row>
    <row r="707" spans="4:4">
      <c r="D707" s="65"/>
    </row>
    <row r="708" spans="4:4">
      <c r="D708" s="65"/>
    </row>
    <row r="709" spans="4:4">
      <c r="D709" s="65"/>
    </row>
    <row r="710" spans="4:4">
      <c r="D710" s="65"/>
    </row>
    <row r="711" spans="4:4">
      <c r="D711" s="65"/>
    </row>
    <row r="712" spans="4:4">
      <c r="D712" s="65"/>
    </row>
    <row r="713" spans="4:4">
      <c r="D713" s="65"/>
    </row>
    <row r="714" spans="4:4">
      <c r="D714" s="65"/>
    </row>
    <row r="715" spans="4:4">
      <c r="D715" s="65"/>
    </row>
    <row r="716" spans="4:4">
      <c r="D716" s="65"/>
    </row>
    <row r="717" spans="4:4">
      <c r="D717" s="65"/>
    </row>
    <row r="718" spans="4:4">
      <c r="D718" s="65"/>
    </row>
    <row r="719" spans="4:4">
      <c r="D719" s="65"/>
    </row>
    <row r="720" spans="4:4">
      <c r="D720" s="65"/>
    </row>
    <row r="721" spans="4:4">
      <c r="D721" s="65"/>
    </row>
    <row r="722" spans="4:4">
      <c r="D722" s="65"/>
    </row>
    <row r="723" spans="4:4">
      <c r="D723" s="65"/>
    </row>
    <row r="724" spans="4:4">
      <c r="D724" s="65"/>
    </row>
    <row r="725" spans="4:4">
      <c r="D725" s="65"/>
    </row>
    <row r="726" spans="4:4">
      <c r="D726" s="65"/>
    </row>
    <row r="727" spans="4:4">
      <c r="D727" s="65"/>
    </row>
    <row r="728" spans="4:4">
      <c r="D728" s="65"/>
    </row>
    <row r="729" spans="4:4">
      <c r="D729" s="65"/>
    </row>
    <row r="730" spans="4:4">
      <c r="D730" s="65"/>
    </row>
    <row r="731" spans="4:4">
      <c r="D731" s="65"/>
    </row>
    <row r="732" spans="4:4">
      <c r="D732" s="65"/>
    </row>
    <row r="733" spans="4:4">
      <c r="D733" s="65"/>
    </row>
    <row r="734" spans="4:4">
      <c r="D734" s="65"/>
    </row>
    <row r="735" spans="4:4">
      <c r="D735" s="65"/>
    </row>
    <row r="736" spans="4:4">
      <c r="D736" s="65"/>
    </row>
    <row r="737" spans="4:4">
      <c r="D737" s="65"/>
    </row>
    <row r="738" spans="4:4">
      <c r="D738" s="65"/>
    </row>
    <row r="739" spans="4:4">
      <c r="D739" s="65"/>
    </row>
    <row r="740" spans="4:4">
      <c r="D740" s="65"/>
    </row>
    <row r="741" spans="4:4">
      <c r="D741" s="65"/>
    </row>
    <row r="742" spans="4:4">
      <c r="D742" s="65"/>
    </row>
    <row r="743" spans="4:4">
      <c r="D743" s="65"/>
    </row>
    <row r="744" spans="4:4">
      <c r="D744" s="65"/>
    </row>
    <row r="745" spans="4:4">
      <c r="D745" s="65"/>
    </row>
    <row r="746" spans="4:4">
      <c r="D746" s="65"/>
    </row>
    <row r="747" spans="4:4">
      <c r="D747" s="65"/>
    </row>
    <row r="748" spans="4:4">
      <c r="D748" s="65"/>
    </row>
    <row r="749" spans="4:4">
      <c r="D749" s="65"/>
    </row>
    <row r="750" spans="4:4">
      <c r="D750" s="65"/>
    </row>
    <row r="751" spans="4:4">
      <c r="D751" s="65"/>
    </row>
    <row r="752" spans="4:4">
      <c r="D752" s="65"/>
    </row>
    <row r="753" spans="4:4">
      <c r="D753" s="65"/>
    </row>
    <row r="754" spans="4:4">
      <c r="D754" s="65"/>
    </row>
    <row r="755" spans="4:4">
      <c r="D755" s="65"/>
    </row>
    <row r="756" spans="4:4">
      <c r="D756" s="65"/>
    </row>
    <row r="757" spans="4:4">
      <c r="D757" s="65"/>
    </row>
    <row r="758" spans="4:4">
      <c r="D758" s="65"/>
    </row>
    <row r="759" spans="4:4">
      <c r="D759" s="65"/>
    </row>
    <row r="760" spans="4:4">
      <c r="D760" s="65"/>
    </row>
    <row r="761" spans="4:4">
      <c r="D761" s="65"/>
    </row>
    <row r="762" spans="4:4">
      <c r="D762" s="65"/>
    </row>
    <row r="763" spans="4:4">
      <c r="D763" s="65"/>
    </row>
    <row r="764" spans="4:4">
      <c r="D764" s="65"/>
    </row>
    <row r="765" spans="4:4">
      <c r="D765" s="65"/>
    </row>
    <row r="766" spans="4:4">
      <c r="D766" s="65"/>
    </row>
    <row r="767" spans="4:4">
      <c r="D767" s="65"/>
    </row>
    <row r="768" spans="4:4">
      <c r="D768" s="65"/>
    </row>
    <row r="769" spans="4:4">
      <c r="D769" s="65"/>
    </row>
    <row r="770" spans="4:4">
      <c r="D770" s="65"/>
    </row>
    <row r="771" spans="4:4">
      <c r="D771" s="65"/>
    </row>
    <row r="772" spans="4:4">
      <c r="D772" s="65"/>
    </row>
    <row r="773" spans="4:4">
      <c r="D773" s="65"/>
    </row>
    <row r="774" spans="4:4">
      <c r="D774" s="65"/>
    </row>
    <row r="775" spans="4:4">
      <c r="D775" s="65"/>
    </row>
    <row r="776" spans="4:4">
      <c r="D776" s="65"/>
    </row>
    <row r="777" spans="4:4">
      <c r="D777" s="65"/>
    </row>
    <row r="778" spans="4:4">
      <c r="D778" s="65"/>
    </row>
    <row r="779" spans="4:4">
      <c r="D779" s="65"/>
    </row>
    <row r="780" spans="4:4">
      <c r="D780" s="65"/>
    </row>
    <row r="781" spans="4:4">
      <c r="D781" s="65"/>
    </row>
    <row r="782" spans="4:4">
      <c r="D782" s="65"/>
    </row>
    <row r="783" spans="4:4">
      <c r="D783" s="65"/>
    </row>
    <row r="784" spans="4:4">
      <c r="D784" s="65"/>
    </row>
    <row r="785" spans="4:4">
      <c r="D785" s="65"/>
    </row>
    <row r="786" spans="4:4">
      <c r="D786" s="65"/>
    </row>
    <row r="787" spans="4:4">
      <c r="D787" s="65"/>
    </row>
    <row r="788" spans="4:4">
      <c r="D788" s="65"/>
    </row>
    <row r="789" spans="4:4">
      <c r="D789" s="65"/>
    </row>
    <row r="790" spans="4:4">
      <c r="D790" s="65"/>
    </row>
    <row r="791" spans="4:4">
      <c r="D791" s="65"/>
    </row>
    <row r="792" spans="4:4">
      <c r="D792" s="65"/>
    </row>
    <row r="793" spans="4:4">
      <c r="D793" s="65"/>
    </row>
    <row r="794" spans="4:4">
      <c r="D794" s="65"/>
    </row>
    <row r="795" spans="4:4">
      <c r="D795" s="65"/>
    </row>
    <row r="796" spans="4:4">
      <c r="D796" s="65"/>
    </row>
    <row r="797" spans="4:4">
      <c r="D797" s="65"/>
    </row>
    <row r="798" spans="4:4">
      <c r="D798" s="65"/>
    </row>
    <row r="799" spans="4:4">
      <c r="D799" s="65"/>
    </row>
    <row r="800" spans="4:4">
      <c r="D800" s="65"/>
    </row>
    <row r="801" spans="4:4">
      <c r="D801" s="65"/>
    </row>
    <row r="802" spans="4:4">
      <c r="D802" s="65"/>
    </row>
    <row r="803" spans="4:4">
      <c r="D803" s="65"/>
    </row>
    <row r="804" spans="4:4">
      <c r="D804" s="65"/>
    </row>
    <row r="805" spans="4:4">
      <c r="D805" s="65"/>
    </row>
    <row r="806" spans="4:4">
      <c r="D806" s="65"/>
    </row>
    <row r="807" spans="4:4">
      <c r="D807" s="65"/>
    </row>
    <row r="808" spans="4:4">
      <c r="D808" s="65"/>
    </row>
    <row r="809" spans="4:4">
      <c r="D809" s="65"/>
    </row>
    <row r="810" spans="4:4">
      <c r="D810" s="65"/>
    </row>
    <row r="811" spans="4:4">
      <c r="D811" s="65"/>
    </row>
    <row r="812" spans="4:4">
      <c r="D812" s="65"/>
    </row>
    <row r="813" spans="4:4">
      <c r="D813" s="65"/>
    </row>
    <row r="814" spans="4:4">
      <c r="D814" s="65"/>
    </row>
    <row r="815" spans="4:4">
      <c r="D815" s="65"/>
    </row>
    <row r="816" spans="4:4">
      <c r="D816" s="65"/>
    </row>
    <row r="817" spans="4:4">
      <c r="D817" s="65"/>
    </row>
    <row r="818" spans="4:4">
      <c r="D818" s="65"/>
    </row>
    <row r="819" spans="4:4">
      <c r="D819" s="65"/>
    </row>
    <row r="820" spans="4:4">
      <c r="D820" s="65"/>
    </row>
    <row r="821" spans="4:4">
      <c r="D821" s="65"/>
    </row>
    <row r="822" spans="4:4">
      <c r="D822" s="65"/>
    </row>
    <row r="823" spans="4:4">
      <c r="D823" s="65"/>
    </row>
    <row r="824" spans="4:4">
      <c r="D824" s="65"/>
    </row>
    <row r="825" spans="4:4">
      <c r="D825" s="65"/>
    </row>
    <row r="826" spans="4:4">
      <c r="D826" s="65"/>
    </row>
    <row r="827" spans="4:4">
      <c r="D827" s="65"/>
    </row>
    <row r="828" spans="4:4">
      <c r="D828" s="65"/>
    </row>
    <row r="829" spans="4:4">
      <c r="D829" s="65"/>
    </row>
    <row r="830" spans="4:4">
      <c r="D830" s="65"/>
    </row>
    <row r="831" spans="4:4">
      <c r="D831" s="65"/>
    </row>
    <row r="832" spans="4:4">
      <c r="D832" s="65"/>
    </row>
    <row r="833" spans="4:4">
      <c r="D833" s="65"/>
    </row>
    <row r="834" spans="4:4">
      <c r="D834" s="65"/>
    </row>
    <row r="835" spans="4:4">
      <c r="D835" s="65"/>
    </row>
    <row r="836" spans="4:4">
      <c r="D836" s="65"/>
    </row>
    <row r="837" spans="4:4">
      <c r="D837" s="65"/>
    </row>
    <row r="838" spans="4:4">
      <c r="D838" s="65"/>
    </row>
    <row r="839" spans="4:4">
      <c r="D839" s="65"/>
    </row>
    <row r="840" spans="4:4">
      <c r="D840" s="65"/>
    </row>
    <row r="841" spans="4:4">
      <c r="D841" s="65"/>
    </row>
    <row r="842" spans="4:4">
      <c r="D842" s="65"/>
    </row>
    <row r="843" spans="4:4">
      <c r="D843" s="65"/>
    </row>
    <row r="844" spans="4:4">
      <c r="D844" s="65"/>
    </row>
    <row r="845" spans="4:4">
      <c r="D845" s="65"/>
    </row>
    <row r="846" spans="4:4">
      <c r="D846" s="65"/>
    </row>
    <row r="847" spans="4:4">
      <c r="D847" s="65"/>
    </row>
    <row r="848" spans="4:4">
      <c r="D848" s="65"/>
    </row>
    <row r="849" spans="4:4">
      <c r="D849" s="65"/>
    </row>
    <row r="850" spans="4:4">
      <c r="D850" s="65"/>
    </row>
    <row r="851" spans="4:4">
      <c r="D851" s="65"/>
    </row>
    <row r="852" spans="4:4">
      <c r="D852" s="65"/>
    </row>
    <row r="853" spans="4:4">
      <c r="D853" s="65"/>
    </row>
    <row r="854" spans="4:4">
      <c r="D854" s="65"/>
    </row>
    <row r="855" spans="4:4">
      <c r="D855" s="65"/>
    </row>
    <row r="856" spans="4:4">
      <c r="D856" s="65"/>
    </row>
    <row r="857" spans="4:4">
      <c r="D857" s="65"/>
    </row>
    <row r="858" spans="4:4">
      <c r="D858" s="65"/>
    </row>
    <row r="859" spans="4:4">
      <c r="D859" s="65"/>
    </row>
    <row r="860" spans="4:4">
      <c r="D860" s="65"/>
    </row>
    <row r="861" spans="4:4">
      <c r="D861" s="65"/>
    </row>
    <row r="862" spans="4:4">
      <c r="D862" s="65"/>
    </row>
    <row r="863" spans="4:4">
      <c r="D863" s="65"/>
    </row>
    <row r="864" spans="4:4">
      <c r="D864" s="65"/>
    </row>
    <row r="865" spans="4:4">
      <c r="D865" s="65"/>
    </row>
    <row r="866" spans="4:4">
      <c r="D866" s="65"/>
    </row>
    <row r="867" spans="4:4">
      <c r="D867" s="65"/>
    </row>
    <row r="868" spans="4:4">
      <c r="D868" s="65"/>
    </row>
    <row r="869" spans="4:4">
      <c r="D869" s="65"/>
    </row>
    <row r="870" spans="4:4">
      <c r="D870" s="65"/>
    </row>
    <row r="871" spans="4:4">
      <c r="D871" s="65"/>
    </row>
    <row r="872" spans="4:4">
      <c r="D872" s="65"/>
    </row>
    <row r="873" spans="4:4">
      <c r="D873" s="65"/>
    </row>
    <row r="874" spans="4:4">
      <c r="D874" s="65"/>
    </row>
    <row r="875" spans="4:4">
      <c r="D875" s="65"/>
    </row>
    <row r="876" spans="4:4">
      <c r="D876" s="65"/>
    </row>
    <row r="877" spans="4:4">
      <c r="D877" s="65"/>
    </row>
    <row r="878" spans="4:4">
      <c r="D878" s="65"/>
    </row>
    <row r="879" spans="4:4">
      <c r="D879" s="65"/>
    </row>
    <row r="880" spans="4:4">
      <c r="D880" s="65"/>
    </row>
    <row r="881" spans="4:4">
      <c r="D881" s="65"/>
    </row>
    <row r="882" spans="4:4">
      <c r="D882" s="65"/>
    </row>
    <row r="883" spans="4:4">
      <c r="D883" s="65"/>
    </row>
    <row r="884" spans="4:4">
      <c r="D884" s="65"/>
    </row>
    <row r="885" spans="4:4">
      <c r="D885" s="65"/>
    </row>
    <row r="886" spans="4:4">
      <c r="D886" s="65"/>
    </row>
    <row r="887" spans="4:4">
      <c r="D887" s="65"/>
    </row>
    <row r="888" spans="4:4">
      <c r="D888" s="65"/>
    </row>
    <row r="889" spans="4:4">
      <c r="D889" s="65"/>
    </row>
    <row r="890" spans="4:4">
      <c r="D890" s="65"/>
    </row>
    <row r="891" spans="4:4">
      <c r="D891" s="65"/>
    </row>
    <row r="892" spans="4:4">
      <c r="D892" s="65"/>
    </row>
    <row r="893" spans="4:4">
      <c r="D893" s="65"/>
    </row>
    <row r="894" spans="4:4">
      <c r="D894" s="65"/>
    </row>
    <row r="895" spans="4:4">
      <c r="D895" s="65"/>
    </row>
    <row r="896" spans="4:4">
      <c r="D896" s="65"/>
    </row>
    <row r="897" spans="4:4">
      <c r="D897" s="65"/>
    </row>
    <row r="898" spans="4:4">
      <c r="D898" s="65"/>
    </row>
    <row r="899" spans="4:4">
      <c r="D899" s="65"/>
    </row>
    <row r="900" spans="4:4">
      <c r="D900" s="65"/>
    </row>
    <row r="901" spans="4:4">
      <c r="D901" s="65"/>
    </row>
    <row r="902" spans="4:4">
      <c r="D902" s="65"/>
    </row>
    <row r="903" spans="4:4">
      <c r="D903" s="65"/>
    </row>
    <row r="904" spans="4:4">
      <c r="D904" s="65"/>
    </row>
    <row r="905" spans="4:4">
      <c r="D905" s="65"/>
    </row>
    <row r="906" spans="4:4">
      <c r="D906" s="65"/>
    </row>
    <row r="907" spans="4:4">
      <c r="D907" s="65"/>
    </row>
    <row r="908" spans="4:4">
      <c r="D908" s="65"/>
    </row>
    <row r="909" spans="4:4">
      <c r="D909" s="65"/>
    </row>
    <row r="910" spans="4:4">
      <c r="D910" s="65"/>
    </row>
    <row r="911" spans="4:4">
      <c r="D911" s="65"/>
    </row>
    <row r="912" spans="4:4">
      <c r="D912" s="65"/>
    </row>
    <row r="913" spans="4:4">
      <c r="D913" s="65"/>
    </row>
    <row r="914" spans="4:4">
      <c r="D914" s="65"/>
    </row>
    <row r="915" spans="4:4">
      <c r="D915" s="65"/>
    </row>
    <row r="916" spans="4:4">
      <c r="D916" s="65"/>
    </row>
    <row r="917" spans="4:4">
      <c r="D917" s="65"/>
    </row>
    <row r="918" spans="4:4">
      <c r="D918" s="65"/>
    </row>
    <row r="919" spans="4:4">
      <c r="D919" s="65"/>
    </row>
    <row r="920" spans="4:4">
      <c r="D920" s="65"/>
    </row>
    <row r="921" spans="4:4">
      <c r="D921" s="65"/>
    </row>
    <row r="922" spans="4:4">
      <c r="D922" s="65"/>
    </row>
    <row r="923" spans="4:4">
      <c r="D923" s="65"/>
    </row>
    <row r="924" spans="4:4">
      <c r="D924" s="65"/>
    </row>
    <row r="925" spans="4:4">
      <c r="D925" s="65"/>
    </row>
    <row r="926" spans="4:4">
      <c r="D926" s="65"/>
    </row>
    <row r="927" spans="4:4">
      <c r="D927" s="65"/>
    </row>
    <row r="928" spans="4:4">
      <c r="D928" s="65"/>
    </row>
    <row r="929" spans="4:4">
      <c r="D929" s="65"/>
    </row>
    <row r="930" spans="4:4">
      <c r="D930" s="65"/>
    </row>
    <row r="931" spans="4:4">
      <c r="D931" s="65"/>
    </row>
    <row r="932" spans="4:4">
      <c r="D932" s="65"/>
    </row>
    <row r="933" spans="4:4">
      <c r="D933" s="65"/>
    </row>
    <row r="934" spans="4:4">
      <c r="D934" s="65"/>
    </row>
    <row r="935" spans="4:4">
      <c r="D935" s="65"/>
    </row>
    <row r="936" spans="4:4">
      <c r="D936" s="65"/>
    </row>
    <row r="937" spans="4:4">
      <c r="D937" s="65"/>
    </row>
    <row r="938" spans="4:4">
      <c r="D938" s="65"/>
    </row>
    <row r="939" spans="4:4">
      <c r="D939" s="65"/>
    </row>
    <row r="940" spans="4:4">
      <c r="D940" s="65"/>
    </row>
    <row r="941" spans="4:4">
      <c r="D941" s="65"/>
    </row>
    <row r="942" spans="4:4">
      <c r="D942" s="65"/>
    </row>
    <row r="943" spans="4:4">
      <c r="D943" s="65"/>
    </row>
    <row r="944" spans="4:4">
      <c r="D944" s="65"/>
    </row>
    <row r="945" spans="4:4">
      <c r="D945" s="65"/>
    </row>
    <row r="946" spans="4:4">
      <c r="D946" s="65"/>
    </row>
    <row r="947" spans="4:4">
      <c r="D947" s="65"/>
    </row>
    <row r="948" spans="4:4">
      <c r="D948" s="65"/>
    </row>
    <row r="949" spans="4:4">
      <c r="D949" s="65"/>
    </row>
    <row r="950" spans="4:4">
      <c r="D950" s="65"/>
    </row>
    <row r="951" spans="4:4">
      <c r="D951" s="65"/>
    </row>
    <row r="952" spans="4:4">
      <c r="D952" s="65"/>
    </row>
    <row r="953" spans="4:4">
      <c r="D953" s="65"/>
    </row>
    <row r="954" spans="4:4">
      <c r="D954" s="65"/>
    </row>
    <row r="955" spans="4:4">
      <c r="D955" s="65"/>
    </row>
    <row r="956" spans="4:4">
      <c r="D956" s="65"/>
    </row>
    <row r="957" spans="4:4">
      <c r="D957" s="65"/>
    </row>
    <row r="958" spans="4:4">
      <c r="D958" s="65"/>
    </row>
    <row r="959" spans="4:4">
      <c r="D959" s="65"/>
    </row>
    <row r="960" spans="4:4">
      <c r="D960" s="65"/>
    </row>
    <row r="961" spans="4:4">
      <c r="D961" s="65"/>
    </row>
    <row r="962" spans="4:4">
      <c r="D962" s="65"/>
    </row>
    <row r="963" spans="4:4">
      <c r="D963" s="65"/>
    </row>
    <row r="964" spans="4:4">
      <c r="D964" s="65"/>
    </row>
    <row r="965" spans="4:4">
      <c r="D965" s="65"/>
    </row>
    <row r="966" spans="4:4">
      <c r="D966" s="65"/>
    </row>
    <row r="967" spans="4:4">
      <c r="D967" s="65"/>
    </row>
    <row r="968" spans="4:4">
      <c r="D968" s="65"/>
    </row>
    <row r="969" spans="4:4">
      <c r="D969" s="65"/>
    </row>
    <row r="970" spans="4:4">
      <c r="D970" s="65"/>
    </row>
    <row r="971" spans="4:4">
      <c r="D971" s="65"/>
    </row>
    <row r="972" spans="4:4">
      <c r="D972" s="65"/>
    </row>
    <row r="973" spans="4:4">
      <c r="D973" s="65"/>
    </row>
    <row r="974" spans="4:4">
      <c r="D974" s="65"/>
    </row>
    <row r="975" spans="4:4">
      <c r="D975" s="65"/>
    </row>
    <row r="976" spans="4:4">
      <c r="D976" s="65"/>
    </row>
    <row r="977" spans="4:4">
      <c r="D977" s="65"/>
    </row>
    <row r="978" spans="4:4">
      <c r="D978" s="65"/>
    </row>
    <row r="979" spans="4:4">
      <c r="D979" s="65"/>
    </row>
    <row r="980" spans="4:4">
      <c r="D980" s="65"/>
    </row>
    <row r="981" spans="4:4">
      <c r="D981" s="65"/>
    </row>
    <row r="982" spans="4:4">
      <c r="D982" s="65"/>
    </row>
    <row r="983" spans="4:4">
      <c r="D983" s="65"/>
    </row>
    <row r="984" spans="4:4">
      <c r="D984" s="65"/>
    </row>
    <row r="985" spans="4:4">
      <c r="D985" s="65"/>
    </row>
    <row r="986" spans="4:4">
      <c r="D986" s="65"/>
    </row>
    <row r="987" spans="4:4">
      <c r="D987" s="65"/>
    </row>
    <row r="988" spans="4:4">
      <c r="D988" s="65"/>
    </row>
    <row r="989" spans="4:4">
      <c r="D989" s="65"/>
    </row>
    <row r="990" spans="4:4">
      <c r="D990" s="65"/>
    </row>
    <row r="991" spans="4:4">
      <c r="D991" s="65"/>
    </row>
    <row r="992" spans="4:4">
      <c r="D992" s="65"/>
    </row>
    <row r="993" spans="4:4">
      <c r="D993" s="65"/>
    </row>
    <row r="994" spans="4:4">
      <c r="D994" s="65"/>
    </row>
    <row r="995" spans="4:4">
      <c r="D995" s="65"/>
    </row>
    <row r="996" spans="4:4">
      <c r="D996" s="65"/>
    </row>
    <row r="997" spans="4:4">
      <c r="D997" s="65"/>
    </row>
    <row r="998" spans="4:4">
      <c r="D998" s="65"/>
    </row>
    <row r="999" spans="4:4">
      <c r="D999" s="65"/>
    </row>
    <row r="1000" spans="4:4">
      <c r="D1000" s="65"/>
    </row>
    <row r="1001" spans="4:4">
      <c r="D1001" s="65"/>
    </row>
    <row r="1002" spans="4:4">
      <c r="D1002" s="65"/>
    </row>
    <row r="1003" spans="4:4">
      <c r="D1003" s="65"/>
    </row>
    <row r="1004" spans="4:4">
      <c r="D1004" s="65"/>
    </row>
    <row r="1005" spans="4:4">
      <c r="D1005" s="65"/>
    </row>
    <row r="1006" spans="4:4">
      <c r="D1006" s="65"/>
    </row>
    <row r="1007" spans="4:4">
      <c r="D1007" s="65"/>
    </row>
    <row r="1008" spans="4:4">
      <c r="D1008" s="65"/>
    </row>
    <row r="1009" spans="4:4">
      <c r="D1009" s="65"/>
    </row>
    <row r="1010" spans="4:4">
      <c r="D1010" s="65"/>
    </row>
    <row r="1011" spans="4:4">
      <c r="D1011" s="65"/>
    </row>
    <row r="1012" spans="4:4">
      <c r="D1012" s="65"/>
    </row>
    <row r="1013" spans="4:4">
      <c r="D1013" s="65"/>
    </row>
    <row r="1014" spans="4:4">
      <c r="D1014" s="65"/>
    </row>
    <row r="1015" spans="4:4">
      <c r="D1015" s="65"/>
    </row>
    <row r="1016" spans="4:4">
      <c r="D1016" s="65"/>
    </row>
    <row r="1017" spans="4:4">
      <c r="D1017" s="65"/>
    </row>
    <row r="1018" spans="4:4">
      <c r="D1018" s="65"/>
    </row>
    <row r="1019" spans="4:4">
      <c r="D1019" s="65"/>
    </row>
    <row r="1020" spans="4:4">
      <c r="D1020" s="65"/>
    </row>
    <row r="1021" spans="4:4">
      <c r="D1021" s="65"/>
    </row>
    <row r="1022" spans="4:4">
      <c r="D1022" s="65"/>
    </row>
    <row r="1023" spans="4:4">
      <c r="D1023" s="65"/>
    </row>
    <row r="1024" spans="4:4">
      <c r="D1024" s="65"/>
    </row>
    <row r="1025" spans="4:4">
      <c r="D1025" s="65"/>
    </row>
    <row r="1026" spans="4:4">
      <c r="D1026" s="65"/>
    </row>
    <row r="1027" spans="4:4">
      <c r="D1027" s="65"/>
    </row>
    <row r="1028" spans="4:4">
      <c r="D1028" s="65"/>
    </row>
    <row r="1029" spans="4:4">
      <c r="D1029" s="65"/>
    </row>
    <row r="1030" spans="4:4">
      <c r="D1030" s="65"/>
    </row>
    <row r="1031" spans="4:4">
      <c r="D1031" s="65"/>
    </row>
    <row r="1032" spans="4:4">
      <c r="D1032" s="65"/>
    </row>
    <row r="1033" spans="4:4">
      <c r="D1033" s="65"/>
    </row>
    <row r="1034" spans="4:4">
      <c r="D1034" s="65"/>
    </row>
    <row r="1035" spans="4:4">
      <c r="D1035" s="65"/>
    </row>
    <row r="1036" spans="4:4">
      <c r="D1036" s="65"/>
    </row>
    <row r="1037" spans="4:4">
      <c r="D1037" s="65"/>
    </row>
    <row r="1038" spans="4:4">
      <c r="D1038" s="65"/>
    </row>
    <row r="1039" spans="4:4">
      <c r="D1039" s="65"/>
    </row>
    <row r="1040" spans="4:4">
      <c r="D1040" s="65"/>
    </row>
    <row r="1041" spans="4:4">
      <c r="D1041" s="65"/>
    </row>
    <row r="1042" spans="4:4">
      <c r="D1042" s="65"/>
    </row>
    <row r="1043" spans="4:4">
      <c r="D1043" s="65"/>
    </row>
    <row r="1044" spans="4:4">
      <c r="D1044" s="65"/>
    </row>
    <row r="1045" spans="4:4">
      <c r="D1045" s="65"/>
    </row>
    <row r="1046" spans="4:4">
      <c r="D1046" s="65"/>
    </row>
    <row r="1047" spans="4:4">
      <c r="D1047" s="65"/>
    </row>
    <row r="1048" spans="4:4">
      <c r="D1048" s="65"/>
    </row>
    <row r="1049" spans="4:4">
      <c r="D1049" s="65"/>
    </row>
    <row r="1050" spans="4:4">
      <c r="D1050" s="65"/>
    </row>
    <row r="1051" spans="4:4">
      <c r="D1051" s="65"/>
    </row>
    <row r="1052" spans="4:4">
      <c r="D1052" s="65"/>
    </row>
    <row r="1053" spans="4:4">
      <c r="D1053" s="65"/>
    </row>
    <row r="1054" spans="4:4">
      <c r="D1054" s="65"/>
    </row>
    <row r="1055" spans="4:4">
      <c r="D1055" s="65"/>
    </row>
    <row r="1056" spans="4:4">
      <c r="D1056" s="65"/>
    </row>
    <row r="1057" spans="4:4">
      <c r="D1057" s="65"/>
    </row>
    <row r="1058" spans="4:4">
      <c r="D1058" s="65"/>
    </row>
    <row r="1059" spans="4:4">
      <c r="D1059" s="65"/>
    </row>
    <row r="1060" spans="4:4">
      <c r="D1060" s="65"/>
    </row>
    <row r="1061" spans="4:4">
      <c r="D1061" s="65"/>
    </row>
    <row r="1062" spans="4:4">
      <c r="D1062" s="65"/>
    </row>
    <row r="1063" spans="4:4">
      <c r="D1063" s="65"/>
    </row>
    <row r="1064" spans="4:4">
      <c r="D1064" s="65"/>
    </row>
    <row r="1065" spans="4:4">
      <c r="D1065" s="65"/>
    </row>
    <row r="1066" spans="4:4">
      <c r="D1066" s="65"/>
    </row>
    <row r="1067" spans="4:4">
      <c r="D1067" s="65"/>
    </row>
    <row r="1068" spans="4:4">
      <c r="D1068" s="65"/>
    </row>
    <row r="1069" spans="4:4">
      <c r="D1069" s="65"/>
    </row>
    <row r="1070" spans="4:4">
      <c r="D1070" s="65"/>
    </row>
    <row r="1071" spans="4:4">
      <c r="D1071" s="65"/>
    </row>
    <row r="1072" spans="4:4">
      <c r="D1072" s="65"/>
    </row>
    <row r="1073" spans="4:4">
      <c r="D1073" s="65"/>
    </row>
    <row r="1074" spans="4:4">
      <c r="D1074" s="65"/>
    </row>
    <row r="1075" spans="4:4">
      <c r="D1075" s="65"/>
    </row>
    <row r="1076" spans="4:4">
      <c r="D1076" s="65"/>
    </row>
    <row r="1077" spans="4:4">
      <c r="D1077" s="65"/>
    </row>
    <row r="1078" spans="4:4">
      <c r="D1078" s="65"/>
    </row>
    <row r="1079" spans="4:4">
      <c r="D1079" s="65"/>
    </row>
    <row r="1080" spans="4:4">
      <c r="D1080" s="65"/>
    </row>
    <row r="1081" spans="4:4">
      <c r="D1081" s="65"/>
    </row>
    <row r="1082" spans="4:4">
      <c r="D1082" s="65"/>
    </row>
    <row r="1083" spans="4:4">
      <c r="D1083" s="65"/>
    </row>
    <row r="1084" spans="4:4">
      <c r="D1084" s="65"/>
    </row>
    <row r="1085" spans="4:4">
      <c r="D1085" s="65"/>
    </row>
    <row r="1086" spans="4:4">
      <c r="D1086" s="65"/>
    </row>
    <row r="1087" spans="4:4">
      <c r="D1087" s="65"/>
    </row>
    <row r="1088" spans="4:4">
      <c r="D1088" s="65"/>
    </row>
    <row r="1089" spans="4:4">
      <c r="D1089" s="65"/>
    </row>
    <row r="1090" spans="4:4">
      <c r="D1090" s="65"/>
    </row>
    <row r="1091" spans="4:4">
      <c r="D1091" s="65"/>
    </row>
    <row r="1092" spans="4:4">
      <c r="D1092" s="65"/>
    </row>
    <row r="1093" spans="4:4">
      <c r="D1093" s="65"/>
    </row>
    <row r="1094" spans="4:4">
      <c r="D1094" s="65"/>
    </row>
    <row r="1095" spans="4:4">
      <c r="D1095" s="65"/>
    </row>
    <row r="1096" spans="4:4">
      <c r="D1096" s="65"/>
    </row>
    <row r="1097" spans="4:4">
      <c r="D1097" s="65"/>
    </row>
    <row r="1098" spans="4:4">
      <c r="D1098" s="65"/>
    </row>
    <row r="1099" spans="4:4">
      <c r="D1099" s="65"/>
    </row>
    <row r="1100" spans="4:4">
      <c r="D1100" s="65"/>
    </row>
    <row r="1101" spans="4:4">
      <c r="D1101" s="65"/>
    </row>
    <row r="1102" spans="4:4">
      <c r="D1102" s="65"/>
    </row>
    <row r="1103" spans="4:4">
      <c r="D1103" s="65"/>
    </row>
    <row r="1104" spans="4:4">
      <c r="D1104" s="65"/>
    </row>
    <row r="1105" spans="4:4">
      <c r="D1105" s="65"/>
    </row>
    <row r="1106" spans="4:4">
      <c r="D1106" s="65"/>
    </row>
    <row r="1107" spans="4:4">
      <c r="D1107" s="65"/>
    </row>
    <row r="1108" spans="4:4">
      <c r="D1108" s="65"/>
    </row>
    <row r="1109" spans="4:4">
      <c r="D1109" s="65"/>
    </row>
    <row r="1110" spans="4:4">
      <c r="D1110" s="65"/>
    </row>
    <row r="1111" spans="4:4">
      <c r="D1111" s="65"/>
    </row>
    <row r="1112" spans="4:4">
      <c r="D1112" s="65"/>
    </row>
    <row r="1113" spans="4:4">
      <c r="D1113" s="65"/>
    </row>
    <row r="1114" spans="4:4">
      <c r="D1114" s="65"/>
    </row>
    <row r="1115" spans="4:4">
      <c r="D1115" s="65"/>
    </row>
    <row r="1116" spans="4:4">
      <c r="D1116" s="65"/>
    </row>
    <row r="1117" spans="4:4">
      <c r="D1117" s="65"/>
    </row>
    <row r="1118" spans="4:4">
      <c r="D1118" s="65"/>
    </row>
    <row r="1119" spans="4:4">
      <c r="D1119" s="65"/>
    </row>
    <row r="1120" spans="4:4">
      <c r="D1120" s="65"/>
    </row>
    <row r="1121" spans="4:4">
      <c r="D1121" s="65"/>
    </row>
    <row r="1122" spans="4:4">
      <c r="D1122" s="65"/>
    </row>
    <row r="1123" spans="4:4">
      <c r="D1123" s="65"/>
    </row>
    <row r="1124" spans="4:4">
      <c r="D1124" s="65"/>
    </row>
    <row r="1125" spans="4:4">
      <c r="D1125" s="65"/>
    </row>
    <row r="1126" spans="4:4">
      <c r="D1126" s="65"/>
    </row>
    <row r="1127" spans="4:4">
      <c r="D1127" s="65"/>
    </row>
    <row r="1128" spans="4:4">
      <c r="D1128" s="65"/>
    </row>
    <row r="1129" spans="4:4">
      <c r="D1129" s="65"/>
    </row>
    <row r="1130" spans="4:4">
      <c r="D1130" s="65"/>
    </row>
    <row r="1131" spans="4:4">
      <c r="D1131" s="65"/>
    </row>
    <row r="1132" spans="4:4">
      <c r="D1132" s="65"/>
    </row>
    <row r="1133" spans="4:4">
      <c r="D1133" s="65"/>
    </row>
    <row r="1134" spans="4:4">
      <c r="D1134" s="65"/>
    </row>
    <row r="1135" spans="4:4">
      <c r="D1135" s="65"/>
    </row>
    <row r="1136" spans="4:4">
      <c r="D1136" s="65"/>
    </row>
    <row r="1137" spans="4:4">
      <c r="D1137" s="65"/>
    </row>
    <row r="1138" spans="4:4">
      <c r="D1138" s="65"/>
    </row>
    <row r="1139" spans="4:4">
      <c r="D1139" s="65"/>
    </row>
    <row r="1140" spans="4:4">
      <c r="D1140" s="65"/>
    </row>
    <row r="1141" spans="4:4">
      <c r="D1141" s="65"/>
    </row>
    <row r="1142" spans="4:4">
      <c r="D1142" s="65"/>
    </row>
    <row r="1143" spans="4:4">
      <c r="D1143" s="65"/>
    </row>
    <row r="1144" spans="4:4">
      <c r="D1144" s="65"/>
    </row>
    <row r="1145" spans="4:4">
      <c r="D1145" s="65"/>
    </row>
    <row r="1146" spans="4:4">
      <c r="D1146" s="65"/>
    </row>
    <row r="1147" spans="4:4">
      <c r="D1147" s="65"/>
    </row>
    <row r="1148" spans="4:4">
      <c r="D1148" s="65"/>
    </row>
    <row r="1149" spans="4:4">
      <c r="D1149" s="65"/>
    </row>
    <row r="1150" spans="4:4">
      <c r="D1150" s="65"/>
    </row>
    <row r="1151" spans="4:4">
      <c r="D1151" s="65"/>
    </row>
    <row r="1152" spans="4:4">
      <c r="D1152" s="65"/>
    </row>
    <row r="1153" spans="4:4">
      <c r="D1153" s="65"/>
    </row>
    <row r="1154" spans="4:4">
      <c r="D1154" s="65"/>
    </row>
    <row r="1155" spans="4:4">
      <c r="D1155" s="65"/>
    </row>
    <row r="1156" spans="4:4">
      <c r="D1156" s="65"/>
    </row>
    <row r="1157" spans="4:4">
      <c r="D1157" s="65"/>
    </row>
    <row r="1158" spans="4:4">
      <c r="D1158" s="65"/>
    </row>
    <row r="1159" spans="4:4">
      <c r="D1159" s="65"/>
    </row>
    <row r="1160" spans="4:4">
      <c r="D1160" s="65"/>
    </row>
    <row r="1161" spans="4:4">
      <c r="D1161" s="65"/>
    </row>
    <row r="1162" spans="4:4">
      <c r="D1162" s="65"/>
    </row>
    <row r="1163" spans="4:4">
      <c r="D1163" s="65"/>
    </row>
    <row r="1164" spans="4:4">
      <c r="D1164" s="65"/>
    </row>
    <row r="1165" spans="4:4">
      <c r="D1165" s="65"/>
    </row>
    <row r="1166" spans="4:4">
      <c r="D1166" s="65"/>
    </row>
    <row r="1167" spans="4:4">
      <c r="D1167" s="65"/>
    </row>
    <row r="1168" spans="4:4">
      <c r="D1168" s="65"/>
    </row>
    <row r="1169" spans="4:4">
      <c r="D1169" s="65"/>
    </row>
    <row r="1170" spans="4:4">
      <c r="D1170" s="65"/>
    </row>
    <row r="1171" spans="4:4">
      <c r="D1171" s="65"/>
    </row>
    <row r="1172" spans="4:4">
      <c r="D1172" s="65"/>
    </row>
    <row r="1173" spans="4:4">
      <c r="D1173" s="65"/>
    </row>
    <row r="1174" spans="4:4">
      <c r="D1174" s="65"/>
    </row>
    <row r="1175" spans="4:4">
      <c r="D1175" s="65"/>
    </row>
    <row r="1176" spans="4:4">
      <c r="D1176" s="65"/>
    </row>
    <row r="1177" spans="4:4">
      <c r="D1177" s="65"/>
    </row>
    <row r="1178" spans="4:4">
      <c r="D1178" s="65"/>
    </row>
    <row r="1179" spans="4:4">
      <c r="D1179" s="65"/>
    </row>
    <row r="1180" spans="4:4">
      <c r="D1180" s="65"/>
    </row>
    <row r="1181" spans="4:4">
      <c r="D1181" s="65"/>
    </row>
    <row r="1182" spans="4:4">
      <c r="D1182" s="65"/>
    </row>
    <row r="1183" spans="4:4">
      <c r="D1183" s="65"/>
    </row>
    <row r="1184" spans="4:4">
      <c r="D1184" s="65"/>
    </row>
    <row r="1185" spans="4:4">
      <c r="D1185" s="65"/>
    </row>
    <row r="1186" spans="4:4">
      <c r="D1186" s="65"/>
    </row>
    <row r="1187" spans="4:4">
      <c r="D1187" s="65"/>
    </row>
    <row r="1188" spans="4:4">
      <c r="D1188" s="65"/>
    </row>
    <row r="1189" spans="4:4">
      <c r="D1189" s="65"/>
    </row>
    <row r="1190" spans="4:4">
      <c r="D1190" s="65"/>
    </row>
    <row r="1191" spans="4:4">
      <c r="D1191" s="65"/>
    </row>
    <row r="1192" spans="4:4">
      <c r="D1192" s="65"/>
    </row>
    <row r="1193" spans="4:4">
      <c r="D1193" s="65"/>
    </row>
    <row r="1194" spans="4:4">
      <c r="D1194" s="65"/>
    </row>
    <row r="1195" spans="4:4">
      <c r="D1195" s="65"/>
    </row>
    <row r="1196" spans="4:4">
      <c r="D1196" s="65"/>
    </row>
    <row r="1197" spans="4:4">
      <c r="D1197" s="65"/>
    </row>
    <row r="1198" spans="4:4">
      <c r="D1198" s="65"/>
    </row>
    <row r="1199" spans="4:4">
      <c r="D1199" s="65"/>
    </row>
    <row r="1200" spans="4:4">
      <c r="D1200" s="65"/>
    </row>
    <row r="1201" spans="4:4">
      <c r="D1201" s="65"/>
    </row>
    <row r="1202" spans="4:4">
      <c r="D1202" s="65"/>
    </row>
    <row r="1203" spans="4:4">
      <c r="D1203" s="65"/>
    </row>
    <row r="1204" spans="4:4">
      <c r="D1204" s="65"/>
    </row>
    <row r="1205" spans="4:4">
      <c r="D1205" s="65"/>
    </row>
    <row r="1206" spans="4:4">
      <c r="D1206" s="65"/>
    </row>
    <row r="1207" spans="4:4">
      <c r="D1207" s="65"/>
    </row>
    <row r="1208" spans="4:4">
      <c r="D1208" s="65"/>
    </row>
    <row r="1209" spans="4:4">
      <c r="D1209" s="65"/>
    </row>
    <row r="1210" spans="4:4">
      <c r="D1210" s="65"/>
    </row>
    <row r="1211" spans="4:4">
      <c r="D1211" s="65"/>
    </row>
    <row r="1212" spans="4:4">
      <c r="D1212" s="65"/>
    </row>
    <row r="1213" spans="4:4">
      <c r="D1213" s="65"/>
    </row>
    <row r="1214" spans="4:4">
      <c r="D1214" s="65"/>
    </row>
    <row r="1215" spans="4:4">
      <c r="D1215" s="65"/>
    </row>
    <row r="1216" spans="4:4">
      <c r="D1216" s="65"/>
    </row>
    <row r="1217" spans="4:4">
      <c r="D1217" s="65"/>
    </row>
    <row r="1218" spans="4:4">
      <c r="D1218" s="65"/>
    </row>
    <row r="1219" spans="4:4">
      <c r="D1219" s="65"/>
    </row>
    <row r="1220" spans="4:4">
      <c r="D1220" s="65"/>
    </row>
    <row r="1221" spans="4:4">
      <c r="D1221" s="65"/>
    </row>
    <row r="1222" spans="4:4">
      <c r="D1222" s="65"/>
    </row>
    <row r="1223" spans="4:4">
      <c r="D1223" s="65"/>
    </row>
    <row r="1224" spans="4:4">
      <c r="D1224" s="65"/>
    </row>
    <row r="1225" spans="4:4">
      <c r="D1225" s="65"/>
    </row>
    <row r="1226" spans="4:4">
      <c r="D1226" s="65"/>
    </row>
    <row r="1227" spans="4:4">
      <c r="D1227" s="65"/>
    </row>
    <row r="1228" spans="4:4">
      <c r="D1228" s="65"/>
    </row>
    <row r="1229" spans="4:4">
      <c r="D1229" s="65"/>
    </row>
    <row r="1230" spans="4:4">
      <c r="D1230" s="65"/>
    </row>
    <row r="1231" spans="4:4">
      <c r="D1231" s="65"/>
    </row>
    <row r="1232" spans="4:4">
      <c r="D1232" s="65"/>
    </row>
    <row r="1233" spans="4:4">
      <c r="D1233" s="65"/>
    </row>
    <row r="1234" spans="4:4">
      <c r="D1234" s="65"/>
    </row>
    <row r="1235" spans="4:4">
      <c r="D1235" s="65"/>
    </row>
    <row r="1236" spans="4:4">
      <c r="D1236" s="65"/>
    </row>
    <row r="1237" spans="4:4">
      <c r="D1237" s="65"/>
    </row>
    <row r="1238" spans="4:4">
      <c r="D1238" s="65"/>
    </row>
    <row r="1239" spans="4:4">
      <c r="D1239" s="65"/>
    </row>
    <row r="1240" spans="4:4">
      <c r="D1240" s="65"/>
    </row>
    <row r="1241" spans="4:4">
      <c r="D1241" s="65"/>
    </row>
    <row r="1242" spans="4:4">
      <c r="D1242" s="65"/>
    </row>
    <row r="1243" spans="4:4">
      <c r="D1243" s="65"/>
    </row>
    <row r="1244" spans="4:4">
      <c r="D1244" s="65"/>
    </row>
    <row r="1245" spans="4:4">
      <c r="D1245" s="65"/>
    </row>
    <row r="1246" spans="4:4">
      <c r="D1246" s="65"/>
    </row>
    <row r="1247" spans="4:4">
      <c r="D1247" s="65"/>
    </row>
    <row r="1248" spans="4:4">
      <c r="D1248" s="65"/>
    </row>
    <row r="1249" spans="4:4">
      <c r="D1249" s="65"/>
    </row>
    <row r="1250" spans="4:4">
      <c r="D1250" s="65"/>
    </row>
    <row r="1251" spans="4:4">
      <c r="D1251" s="65"/>
    </row>
    <row r="1252" spans="4:4">
      <c r="D1252" s="65"/>
    </row>
    <row r="1253" spans="4:4">
      <c r="D1253" s="65"/>
    </row>
    <row r="1254" spans="4:4">
      <c r="D1254" s="65"/>
    </row>
    <row r="1255" spans="4:4">
      <c r="D1255" s="65"/>
    </row>
    <row r="1256" spans="4:4">
      <c r="D1256" s="65"/>
    </row>
    <row r="1257" spans="4:4">
      <c r="D1257" s="65"/>
    </row>
    <row r="1258" spans="4:4">
      <c r="D1258" s="65"/>
    </row>
    <row r="1259" spans="4:4">
      <c r="D1259" s="65"/>
    </row>
    <row r="1260" spans="4:4">
      <c r="D1260" s="65"/>
    </row>
    <row r="1261" spans="4:4">
      <c r="D1261" s="65"/>
    </row>
    <row r="1262" spans="4:4">
      <c r="D1262" s="65"/>
    </row>
    <row r="1263" spans="4:4">
      <c r="D1263" s="65"/>
    </row>
    <row r="1264" spans="4:4">
      <c r="D1264" s="65"/>
    </row>
    <row r="1265" spans="4:4">
      <c r="D1265" s="65"/>
    </row>
    <row r="1266" spans="4:4">
      <c r="D1266" s="65"/>
    </row>
    <row r="1267" spans="4:4">
      <c r="D1267" s="65"/>
    </row>
    <row r="1268" spans="4:4">
      <c r="D1268" s="65"/>
    </row>
    <row r="1269" spans="4:4">
      <c r="D1269" s="65"/>
    </row>
    <row r="1270" spans="4:4">
      <c r="D1270" s="65"/>
    </row>
    <row r="1271" spans="4:4">
      <c r="D1271" s="65"/>
    </row>
    <row r="1272" spans="4:4">
      <c r="D1272" s="65"/>
    </row>
    <row r="1273" spans="4:4">
      <c r="D1273" s="65"/>
    </row>
    <row r="1274" spans="4:4">
      <c r="D1274" s="65"/>
    </row>
    <row r="1275" spans="4:4">
      <c r="D1275" s="65"/>
    </row>
    <row r="1276" spans="4:4">
      <c r="D1276" s="65"/>
    </row>
    <row r="1277" spans="4:4">
      <c r="D1277" s="65"/>
    </row>
    <row r="1278" spans="4:4">
      <c r="D1278" s="65"/>
    </row>
    <row r="1279" spans="4:4">
      <c r="D1279" s="65"/>
    </row>
    <row r="1280" spans="4:4">
      <c r="D1280" s="65"/>
    </row>
    <row r="1281" spans="4:4">
      <c r="D1281" s="65"/>
    </row>
    <row r="1282" spans="4:4">
      <c r="D1282" s="65"/>
    </row>
    <row r="1283" spans="4:4">
      <c r="D1283" s="65"/>
    </row>
    <row r="1284" spans="4:4">
      <c r="D1284" s="65"/>
    </row>
    <row r="1285" spans="4:4">
      <c r="D1285" s="65"/>
    </row>
    <row r="1286" spans="4:4">
      <c r="D1286" s="65"/>
    </row>
    <row r="1287" spans="4:4">
      <c r="D1287" s="65"/>
    </row>
    <row r="1288" spans="4:4">
      <c r="D1288" s="65"/>
    </row>
    <row r="1289" spans="4:4">
      <c r="D1289" s="65"/>
    </row>
    <row r="1290" spans="4:4">
      <c r="D1290" s="65"/>
    </row>
    <row r="1291" spans="4:4">
      <c r="D1291" s="65"/>
    </row>
    <row r="1292" spans="4:4">
      <c r="D1292" s="65"/>
    </row>
    <row r="1293" spans="4:4">
      <c r="D1293" s="65"/>
    </row>
    <row r="1294" spans="4:4">
      <c r="D1294" s="65"/>
    </row>
    <row r="1295" spans="4:4">
      <c r="D1295" s="65"/>
    </row>
    <row r="1296" spans="4:4">
      <c r="D1296" s="65"/>
    </row>
    <row r="1297" spans="4:4">
      <c r="D1297" s="65"/>
    </row>
    <row r="1298" spans="4:4">
      <c r="D1298" s="65"/>
    </row>
    <row r="1299" spans="4:4">
      <c r="D1299" s="65"/>
    </row>
    <row r="1300" spans="4:4">
      <c r="D1300" s="65"/>
    </row>
    <row r="1301" spans="4:4">
      <c r="D1301" s="65"/>
    </row>
    <row r="1302" spans="4:4">
      <c r="D1302" s="65"/>
    </row>
    <row r="1303" spans="4:4">
      <c r="D1303" s="65"/>
    </row>
    <row r="1304" spans="4:4">
      <c r="D1304" s="65"/>
    </row>
    <row r="1305" spans="4:4">
      <c r="D1305" s="65"/>
    </row>
    <row r="1306" spans="4:4">
      <c r="D1306" s="65"/>
    </row>
    <row r="1307" spans="4:4">
      <c r="D1307" s="65"/>
    </row>
    <row r="1308" spans="4:4">
      <c r="D1308" s="65"/>
    </row>
    <row r="1309" spans="4:4">
      <c r="D1309" s="65"/>
    </row>
    <row r="1310" spans="4:4">
      <c r="D1310" s="65"/>
    </row>
    <row r="1311" spans="4:4">
      <c r="D1311" s="65"/>
    </row>
    <row r="1312" spans="4:4">
      <c r="D1312" s="65"/>
    </row>
    <row r="1313" spans="4:4">
      <c r="D1313" s="65"/>
    </row>
    <row r="1314" spans="4:4">
      <c r="D1314" s="65"/>
    </row>
    <row r="1315" spans="4:4">
      <c r="D1315" s="65"/>
    </row>
    <row r="1316" spans="4:4">
      <c r="D1316" s="65"/>
    </row>
    <row r="1317" spans="4:4">
      <c r="D1317" s="65"/>
    </row>
    <row r="1318" spans="4:4">
      <c r="D1318" s="65"/>
    </row>
    <row r="1319" spans="4:4">
      <c r="D1319" s="65"/>
    </row>
    <row r="1320" spans="4:4">
      <c r="D1320" s="65"/>
    </row>
    <row r="1321" spans="4:4">
      <c r="D1321" s="65"/>
    </row>
    <row r="1322" spans="4:4">
      <c r="D1322" s="65"/>
    </row>
    <row r="1323" spans="4:4">
      <c r="D1323" s="65"/>
    </row>
    <row r="1324" spans="4:4">
      <c r="D1324" s="65"/>
    </row>
    <row r="1325" spans="4:4">
      <c r="D1325" s="65"/>
    </row>
    <row r="1326" spans="4:4">
      <c r="D1326" s="65"/>
    </row>
    <row r="1327" spans="4:4">
      <c r="D1327" s="65"/>
    </row>
    <row r="1328" spans="4:4">
      <c r="D1328" s="65"/>
    </row>
    <row r="1329" spans="4:4">
      <c r="D1329" s="65"/>
    </row>
    <row r="1330" spans="4:4">
      <c r="D1330" s="65"/>
    </row>
    <row r="1331" spans="4:4">
      <c r="D1331" s="65"/>
    </row>
    <row r="1332" spans="4:4">
      <c r="D1332" s="65"/>
    </row>
    <row r="1333" spans="4:4">
      <c r="D1333" s="65"/>
    </row>
    <row r="1334" spans="4:4">
      <c r="D1334" s="65"/>
    </row>
    <row r="1335" spans="4:4">
      <c r="D1335" s="65"/>
    </row>
    <row r="1336" spans="4:4">
      <c r="D1336" s="65"/>
    </row>
    <row r="1337" spans="4:4">
      <c r="D1337" s="65"/>
    </row>
    <row r="1338" spans="4:4">
      <c r="D1338" s="65"/>
    </row>
    <row r="1339" spans="4:4">
      <c r="D1339" s="65"/>
    </row>
    <row r="1340" spans="4:4">
      <c r="D1340" s="65"/>
    </row>
    <row r="1341" spans="4:4">
      <c r="D1341" s="65"/>
    </row>
    <row r="1342" spans="4:4">
      <c r="D1342" s="65"/>
    </row>
    <row r="1343" spans="4:4">
      <c r="D1343" s="65"/>
    </row>
    <row r="1344" spans="4:4">
      <c r="D1344" s="65"/>
    </row>
    <row r="1345" spans="4:4">
      <c r="D1345" s="65"/>
    </row>
    <row r="1346" spans="4:4">
      <c r="D1346" s="65"/>
    </row>
    <row r="1347" spans="4:4">
      <c r="D1347" s="65"/>
    </row>
    <row r="1348" spans="4:4">
      <c r="D1348" s="65"/>
    </row>
    <row r="1349" spans="4:4">
      <c r="D1349" s="65"/>
    </row>
    <row r="1350" spans="4:4">
      <c r="D1350" s="65"/>
    </row>
    <row r="1351" spans="4:4">
      <c r="D1351" s="65"/>
    </row>
    <row r="1352" spans="4:4">
      <c r="D1352" s="65"/>
    </row>
    <row r="1353" spans="4:4">
      <c r="D1353" s="65"/>
    </row>
    <row r="1354" spans="4:4">
      <c r="D1354" s="65"/>
    </row>
    <row r="1355" spans="4:4">
      <c r="D1355" s="65"/>
    </row>
    <row r="1356" spans="4:4">
      <c r="D1356" s="65"/>
    </row>
    <row r="1357" spans="4:4">
      <c r="D1357" s="65"/>
    </row>
    <row r="1358" spans="4:4">
      <c r="D1358" s="65"/>
    </row>
    <row r="1359" spans="4:4">
      <c r="D1359" s="65"/>
    </row>
    <row r="1360" spans="4:4">
      <c r="D1360" s="65"/>
    </row>
    <row r="1361" spans="4:4">
      <c r="D1361" s="65"/>
    </row>
    <row r="1362" spans="4:4">
      <c r="D1362" s="65"/>
    </row>
    <row r="1363" spans="4:4">
      <c r="D1363" s="65"/>
    </row>
    <row r="1364" spans="4:4">
      <c r="D1364" s="65"/>
    </row>
    <row r="1365" spans="4:4">
      <c r="D1365" s="65"/>
    </row>
    <row r="1366" spans="4:4">
      <c r="D1366" s="65"/>
    </row>
    <row r="1367" spans="4:4">
      <c r="D1367" s="65"/>
    </row>
    <row r="1368" spans="4:4">
      <c r="D1368" s="65"/>
    </row>
    <row r="1369" spans="4:4">
      <c r="D1369" s="65"/>
    </row>
    <row r="1370" spans="4:4">
      <c r="D1370" s="65"/>
    </row>
    <row r="1371" spans="4:4">
      <c r="D1371" s="65"/>
    </row>
    <row r="1372" spans="4:4">
      <c r="D1372" s="65"/>
    </row>
    <row r="1373" spans="4:4">
      <c r="D1373" s="65"/>
    </row>
    <row r="1374" spans="4:4">
      <c r="D1374" s="65"/>
    </row>
    <row r="1375" spans="4:4">
      <c r="D1375" s="65"/>
    </row>
    <row r="1376" spans="4:4">
      <c r="D1376" s="65"/>
    </row>
    <row r="1377" spans="4:4">
      <c r="D1377" s="65"/>
    </row>
    <row r="1378" spans="4:4">
      <c r="D1378" s="65"/>
    </row>
    <row r="1379" spans="4:4">
      <c r="D1379" s="65"/>
    </row>
    <row r="1380" spans="4:4">
      <c r="D1380" s="65"/>
    </row>
    <row r="1381" spans="4:4">
      <c r="D1381" s="65"/>
    </row>
    <row r="1382" spans="4:4">
      <c r="D1382" s="65"/>
    </row>
    <row r="1383" spans="4:4">
      <c r="D1383" s="65"/>
    </row>
    <row r="1384" spans="4:4">
      <c r="D1384" s="65"/>
    </row>
    <row r="1385" spans="4:4">
      <c r="D1385" s="65"/>
    </row>
    <row r="1386" spans="4:4">
      <c r="D1386" s="65"/>
    </row>
    <row r="1387" spans="4:4">
      <c r="D1387" s="65"/>
    </row>
    <row r="1388" spans="4:4">
      <c r="D1388" s="65"/>
    </row>
    <row r="1389" spans="4:4">
      <c r="D1389" s="65"/>
    </row>
    <row r="1390" spans="4:4">
      <c r="D1390" s="65"/>
    </row>
    <row r="1391" spans="4:4">
      <c r="D1391" s="65"/>
    </row>
    <row r="1392" spans="4:4">
      <c r="D1392" s="65"/>
    </row>
    <row r="1393" spans="4:4">
      <c r="D1393" s="65"/>
    </row>
    <row r="1394" spans="4:4">
      <c r="D1394" s="65"/>
    </row>
    <row r="1395" spans="4:4">
      <c r="D1395" s="65"/>
    </row>
    <row r="1396" spans="4:4">
      <c r="D1396" s="65"/>
    </row>
    <row r="1397" spans="4:4">
      <c r="D1397" s="65"/>
    </row>
    <row r="1398" spans="4:4">
      <c r="D1398" s="65"/>
    </row>
    <row r="1399" spans="4:4">
      <c r="D1399" s="65"/>
    </row>
    <row r="1400" spans="4:4">
      <c r="D1400" s="65"/>
    </row>
    <row r="1401" spans="4:4">
      <c r="D1401" s="65"/>
    </row>
    <row r="1402" spans="4:4">
      <c r="D1402" s="65"/>
    </row>
    <row r="1403" spans="4:4">
      <c r="D1403" s="65"/>
    </row>
    <row r="1404" spans="4:4">
      <c r="D1404" s="65"/>
    </row>
    <row r="1405" spans="4:4">
      <c r="D1405" s="65"/>
    </row>
    <row r="1406" spans="4:4">
      <c r="D1406" s="65"/>
    </row>
    <row r="1407" spans="4:4">
      <c r="D1407" s="65"/>
    </row>
    <row r="1408" spans="4:4">
      <c r="D1408" s="65"/>
    </row>
    <row r="1409" spans="4:4">
      <c r="D1409" s="65"/>
    </row>
    <row r="1410" spans="4:4">
      <c r="D1410" s="65"/>
    </row>
    <row r="1411" spans="4:4">
      <c r="D1411" s="65"/>
    </row>
    <row r="1412" spans="4:4">
      <c r="D1412" s="65"/>
    </row>
    <row r="1413" spans="4:4">
      <c r="D1413" s="65"/>
    </row>
    <row r="1414" spans="4:4">
      <c r="D1414" s="65"/>
    </row>
    <row r="1415" spans="4:4">
      <c r="D1415" s="65"/>
    </row>
    <row r="1416" spans="4:4">
      <c r="D1416" s="65"/>
    </row>
    <row r="1417" spans="4:4">
      <c r="D1417" s="65"/>
    </row>
    <row r="1418" spans="4:4">
      <c r="D1418" s="65"/>
    </row>
    <row r="1419" spans="4:4">
      <c r="D1419" s="65"/>
    </row>
    <row r="1420" spans="4:4">
      <c r="D1420" s="65"/>
    </row>
    <row r="1421" spans="4:4">
      <c r="D1421" s="65"/>
    </row>
    <row r="1422" spans="4:4">
      <c r="D1422" s="65"/>
    </row>
    <row r="1423" spans="4:4">
      <c r="D1423" s="65"/>
    </row>
    <row r="1424" spans="4:4">
      <c r="D1424" s="65"/>
    </row>
    <row r="1425" spans="4:4">
      <c r="D1425" s="65"/>
    </row>
    <row r="1426" spans="4:4">
      <c r="D1426" s="65"/>
    </row>
    <row r="1427" spans="4:4">
      <c r="D1427" s="65"/>
    </row>
    <row r="1428" spans="4:4">
      <c r="D1428" s="65"/>
    </row>
    <row r="1429" spans="4:4">
      <c r="D1429" s="65"/>
    </row>
    <row r="1430" spans="4:4">
      <c r="D1430" s="65"/>
    </row>
    <row r="1431" spans="4:4">
      <c r="D1431" s="65"/>
    </row>
    <row r="1432" spans="4:4">
      <c r="D1432" s="65"/>
    </row>
    <row r="1433" spans="4:4">
      <c r="D1433" s="65"/>
    </row>
    <row r="1434" spans="4:4">
      <c r="D1434" s="65"/>
    </row>
    <row r="1435" spans="4:4">
      <c r="D1435" s="65"/>
    </row>
    <row r="1436" spans="4:4">
      <c r="D1436" s="65"/>
    </row>
    <row r="1437" spans="4:4">
      <c r="D1437" s="65"/>
    </row>
    <row r="1438" spans="4:4">
      <c r="D1438" s="65"/>
    </row>
    <row r="1439" spans="4:4">
      <c r="D1439" s="65"/>
    </row>
    <row r="1440" spans="4:4">
      <c r="D1440" s="65"/>
    </row>
    <row r="1441" spans="4:4">
      <c r="D1441" s="65"/>
    </row>
    <row r="1442" spans="4:4">
      <c r="D1442" s="65"/>
    </row>
    <row r="1443" spans="4:4">
      <c r="D1443" s="65"/>
    </row>
    <row r="1444" spans="4:4">
      <c r="D1444" s="65"/>
    </row>
    <row r="1445" spans="4:4">
      <c r="D1445" s="65"/>
    </row>
    <row r="1446" spans="4:4">
      <c r="D1446" s="65"/>
    </row>
    <row r="1447" spans="4:4">
      <c r="D1447" s="65"/>
    </row>
    <row r="1448" spans="4:4">
      <c r="D1448" s="65"/>
    </row>
    <row r="1449" spans="4:4">
      <c r="D1449" s="65"/>
    </row>
    <row r="1450" spans="4:4">
      <c r="D1450" s="65"/>
    </row>
    <row r="1451" spans="4:4">
      <c r="D1451" s="65"/>
    </row>
    <row r="1452" spans="4:4">
      <c r="D1452" s="65"/>
    </row>
    <row r="1453" spans="4:4">
      <c r="D1453" s="65"/>
    </row>
    <row r="1454" spans="4:4">
      <c r="D1454" s="65"/>
    </row>
    <row r="1455" spans="4:4">
      <c r="D1455" s="65"/>
    </row>
    <row r="1456" spans="4:4">
      <c r="D1456" s="65"/>
    </row>
    <row r="1457" spans="4:4">
      <c r="D1457" s="65"/>
    </row>
    <row r="1458" spans="4:4">
      <c r="D1458" s="65"/>
    </row>
    <row r="1459" spans="4:4">
      <c r="D1459" s="65"/>
    </row>
    <row r="1460" spans="4:4">
      <c r="D1460" s="65"/>
    </row>
    <row r="1461" spans="4:4">
      <c r="D1461" s="65"/>
    </row>
    <row r="1462" spans="4:4">
      <c r="D1462" s="65"/>
    </row>
    <row r="1463" spans="4:4">
      <c r="D1463" s="65"/>
    </row>
    <row r="1464" spans="4:4">
      <c r="D1464" s="65"/>
    </row>
    <row r="1465" spans="4:4">
      <c r="D1465" s="65"/>
    </row>
    <row r="1466" spans="4:4">
      <c r="D1466" s="65"/>
    </row>
    <row r="1467" spans="4:4">
      <c r="D1467" s="65"/>
    </row>
    <row r="1468" spans="4:4">
      <c r="D1468" s="65"/>
    </row>
    <row r="1469" spans="4:4">
      <c r="D1469" s="65"/>
    </row>
    <row r="1470" spans="4:4">
      <c r="D1470" s="65"/>
    </row>
    <row r="1471" spans="4:4">
      <c r="D1471" s="65"/>
    </row>
    <row r="1472" spans="4:4">
      <c r="D1472" s="65"/>
    </row>
    <row r="1473" spans="4:4">
      <c r="D1473" s="65"/>
    </row>
    <row r="1474" spans="4:4">
      <c r="D1474" s="65"/>
    </row>
    <row r="1475" spans="4:4">
      <c r="D1475" s="65"/>
    </row>
    <row r="1476" spans="4:4">
      <c r="D1476" s="65"/>
    </row>
    <row r="1477" spans="4:4">
      <c r="D1477" s="65"/>
    </row>
    <row r="1478" spans="4:4">
      <c r="D1478" s="65"/>
    </row>
    <row r="1479" spans="4:4">
      <c r="D1479" s="65"/>
    </row>
    <row r="1480" spans="4:4">
      <c r="D1480" s="65"/>
    </row>
    <row r="1481" spans="4:4">
      <c r="D1481" s="65"/>
    </row>
    <row r="1482" spans="4:4">
      <c r="D1482" s="65"/>
    </row>
    <row r="1483" spans="4:4">
      <c r="D1483" s="65"/>
    </row>
    <row r="1484" spans="4:4">
      <c r="D1484" s="65"/>
    </row>
    <row r="1485" spans="4:4">
      <c r="D1485" s="65"/>
    </row>
    <row r="1486" spans="4:4">
      <c r="D1486" s="65"/>
    </row>
    <row r="1487" spans="4:4">
      <c r="D1487" s="65"/>
    </row>
    <row r="1488" spans="4:4">
      <c r="D1488" s="65"/>
    </row>
    <row r="1489" spans="4:4">
      <c r="D1489" s="65"/>
    </row>
    <row r="1490" spans="4:4">
      <c r="D1490" s="65"/>
    </row>
    <row r="1491" spans="4:4">
      <c r="D1491" s="65"/>
    </row>
    <row r="1492" spans="4:4">
      <c r="D1492" s="65"/>
    </row>
    <row r="1493" spans="4:4">
      <c r="D1493" s="65"/>
    </row>
    <row r="1494" spans="4:4">
      <c r="D1494" s="65"/>
    </row>
    <row r="1495" spans="4:4">
      <c r="D1495" s="65"/>
    </row>
    <row r="1496" spans="4:4">
      <c r="D1496" s="65"/>
    </row>
    <row r="1497" spans="4:4">
      <c r="D1497" s="65"/>
    </row>
    <row r="1498" spans="4:4">
      <c r="D1498" s="65"/>
    </row>
    <row r="1499" spans="4:4">
      <c r="D1499" s="65"/>
    </row>
    <row r="1500" spans="4:4">
      <c r="D1500" s="65"/>
    </row>
    <row r="1501" spans="4:4">
      <c r="D1501" s="65"/>
    </row>
    <row r="1502" spans="4:4">
      <c r="D1502" s="65"/>
    </row>
    <row r="1503" spans="4:4">
      <c r="D1503" s="65"/>
    </row>
    <row r="1504" spans="4:4">
      <c r="D1504" s="65"/>
    </row>
    <row r="1505" spans="4:4">
      <c r="D1505" s="65"/>
    </row>
    <row r="1506" spans="4:4">
      <c r="D1506" s="65"/>
    </row>
    <row r="1507" spans="4:4">
      <c r="D1507" s="65"/>
    </row>
    <row r="1508" spans="4:4">
      <c r="D1508" s="65"/>
    </row>
    <row r="1509" spans="4:4">
      <c r="D1509" s="65"/>
    </row>
    <row r="1510" spans="4:4">
      <c r="D1510" s="65"/>
    </row>
    <row r="1511" spans="4:4">
      <c r="D1511" s="65"/>
    </row>
    <row r="1512" spans="4:4">
      <c r="D1512" s="65"/>
    </row>
    <row r="1513" spans="4:4">
      <c r="D1513" s="65"/>
    </row>
    <row r="1514" spans="4:4">
      <c r="D1514" s="65"/>
    </row>
    <row r="1515" spans="4:4">
      <c r="D1515" s="65"/>
    </row>
    <row r="1516" spans="4:4">
      <c r="D1516" s="65"/>
    </row>
    <row r="1517" spans="4:4">
      <c r="D1517" s="65"/>
    </row>
    <row r="1518" spans="4:4">
      <c r="D1518" s="65"/>
    </row>
    <row r="1519" spans="4:4">
      <c r="D1519" s="65"/>
    </row>
    <row r="1520" spans="4:4">
      <c r="D1520" s="65"/>
    </row>
    <row r="1521" spans="4:4">
      <c r="D1521" s="65"/>
    </row>
    <row r="1522" spans="4:4">
      <c r="D1522" s="65"/>
    </row>
    <row r="1523" spans="4:4">
      <c r="D1523" s="65"/>
    </row>
    <row r="1524" spans="4:4">
      <c r="D1524" s="65"/>
    </row>
    <row r="1525" spans="4:4">
      <c r="D1525" s="65"/>
    </row>
    <row r="1526" spans="4:4">
      <c r="D1526" s="65"/>
    </row>
    <row r="1527" spans="4:4">
      <c r="D1527" s="65"/>
    </row>
    <row r="1528" spans="4:4">
      <c r="D1528" s="65"/>
    </row>
    <row r="1529" spans="4:4">
      <c r="D1529" s="65"/>
    </row>
    <row r="1530" spans="4:4">
      <c r="D1530" s="65"/>
    </row>
    <row r="1531" spans="4:4">
      <c r="D1531" s="65"/>
    </row>
    <row r="1532" spans="4:4">
      <c r="D1532" s="65"/>
    </row>
    <row r="1533" spans="4:4">
      <c r="D1533" s="65"/>
    </row>
    <row r="1534" spans="4:4">
      <c r="D1534" s="65"/>
    </row>
    <row r="1535" spans="4:4">
      <c r="D1535" s="65"/>
    </row>
    <row r="1536" spans="4:4">
      <c r="D1536" s="65"/>
    </row>
    <row r="1537" spans="4:4">
      <c r="D1537" s="65"/>
    </row>
    <row r="1538" spans="4:4">
      <c r="D1538" s="65"/>
    </row>
    <row r="1539" spans="4:4">
      <c r="D1539" s="65"/>
    </row>
    <row r="1540" spans="4:4">
      <c r="D1540" s="65"/>
    </row>
    <row r="1541" spans="4:4">
      <c r="D1541" s="65"/>
    </row>
    <row r="1542" spans="4:4">
      <c r="D1542" s="65"/>
    </row>
    <row r="1543" spans="4:4">
      <c r="D1543" s="65"/>
    </row>
    <row r="1544" spans="4:4">
      <c r="D1544" s="65"/>
    </row>
    <row r="1545" spans="4:4">
      <c r="D1545" s="65"/>
    </row>
    <row r="1546" spans="4:4">
      <c r="D1546" s="65"/>
    </row>
    <row r="1547" spans="4:4">
      <c r="D1547" s="65"/>
    </row>
    <row r="1548" spans="4:4">
      <c r="D1548" s="65"/>
    </row>
    <row r="1549" spans="4:4">
      <c r="D1549" s="65"/>
    </row>
    <row r="1550" spans="4:4">
      <c r="D1550" s="65"/>
    </row>
    <row r="1551" spans="4:4">
      <c r="D1551" s="65"/>
    </row>
    <row r="1552" spans="4:4">
      <c r="D1552" s="65"/>
    </row>
    <row r="1553" spans="4:4">
      <c r="D1553" s="65"/>
    </row>
    <row r="1554" spans="4:4">
      <c r="D1554" s="65"/>
    </row>
    <row r="1555" spans="4:4">
      <c r="D1555" s="65"/>
    </row>
    <row r="1556" spans="4:4">
      <c r="D1556" s="65"/>
    </row>
    <row r="1557" spans="4:4">
      <c r="D1557" s="65"/>
    </row>
    <row r="1558" spans="4:4">
      <c r="D1558" s="65"/>
    </row>
    <row r="1559" spans="4:4">
      <c r="D1559" s="65"/>
    </row>
    <row r="1560" spans="4:4">
      <c r="D1560" s="65"/>
    </row>
    <row r="1561" spans="4:4">
      <c r="D1561" s="65"/>
    </row>
    <row r="1562" spans="4:4">
      <c r="D1562" s="65"/>
    </row>
    <row r="1563" spans="4:4">
      <c r="D1563" s="65"/>
    </row>
    <row r="1564" spans="4:4">
      <c r="D1564" s="65"/>
    </row>
    <row r="1565" spans="4:4">
      <c r="D1565" s="65"/>
    </row>
    <row r="1566" spans="4:4">
      <c r="D1566" s="65"/>
    </row>
    <row r="1567" spans="4:4">
      <c r="D1567" s="65"/>
    </row>
    <row r="1568" spans="4:4">
      <c r="D1568" s="65"/>
    </row>
    <row r="1569" spans="4:4">
      <c r="D1569" s="65"/>
    </row>
    <row r="1570" spans="4:4">
      <c r="D1570" s="65"/>
    </row>
    <row r="1571" spans="4:4">
      <c r="D1571" s="65"/>
    </row>
    <row r="1572" spans="4:4">
      <c r="D1572" s="65"/>
    </row>
    <row r="1573" spans="4:4">
      <c r="D1573" s="65"/>
    </row>
    <row r="1574" spans="4:4">
      <c r="D1574" s="65"/>
    </row>
    <row r="1575" spans="4:4">
      <c r="D1575" s="65"/>
    </row>
    <row r="1576" spans="4:4">
      <c r="D1576" s="65"/>
    </row>
    <row r="1577" spans="4:4">
      <c r="D1577" s="65"/>
    </row>
    <row r="1578" spans="4:4">
      <c r="D1578" s="65"/>
    </row>
    <row r="1579" spans="4:4">
      <c r="D1579" s="65"/>
    </row>
    <row r="1580" spans="4:4">
      <c r="D1580" s="65"/>
    </row>
    <row r="1581" spans="4:4">
      <c r="D1581" s="65"/>
    </row>
    <row r="1582" spans="4:4">
      <c r="D1582" s="65"/>
    </row>
    <row r="1583" spans="4:4">
      <c r="D1583" s="65"/>
    </row>
    <row r="1584" spans="4:4">
      <c r="D1584" s="65"/>
    </row>
    <row r="1585" spans="4:4">
      <c r="D1585" s="65"/>
    </row>
    <row r="1586" spans="4:4">
      <c r="D1586" s="65"/>
    </row>
    <row r="1587" spans="4:4">
      <c r="D1587" s="65"/>
    </row>
    <row r="1588" spans="4:4">
      <c r="D1588" s="65"/>
    </row>
    <row r="1589" spans="4:4">
      <c r="D1589" s="65"/>
    </row>
    <row r="1590" spans="4:4">
      <c r="D1590" s="65"/>
    </row>
    <row r="1591" spans="4:4">
      <c r="D1591" s="65"/>
    </row>
    <row r="1592" spans="4:4">
      <c r="D1592" s="65"/>
    </row>
    <row r="1593" spans="4:4">
      <c r="D1593" s="65"/>
    </row>
    <row r="1594" spans="4:4">
      <c r="D1594" s="65"/>
    </row>
    <row r="1595" spans="4:4">
      <c r="D1595" s="65"/>
    </row>
    <row r="1596" spans="4:4">
      <c r="D1596" s="65"/>
    </row>
    <row r="1597" spans="4:4">
      <c r="D1597" s="65"/>
    </row>
    <row r="1598" spans="4:4">
      <c r="D1598" s="65"/>
    </row>
    <row r="1599" spans="4:4">
      <c r="D1599" s="65"/>
    </row>
    <row r="1600" spans="4:4">
      <c r="D1600" s="65"/>
    </row>
    <row r="1601" spans="4:4">
      <c r="D1601" s="65"/>
    </row>
    <row r="1602" spans="4:4">
      <c r="D1602" s="65"/>
    </row>
    <row r="1603" spans="4:4">
      <c r="D1603" s="65"/>
    </row>
    <row r="1604" spans="4:4">
      <c r="D1604" s="65"/>
    </row>
    <row r="1605" spans="4:4">
      <c r="D1605" s="65"/>
    </row>
    <row r="1606" spans="4:4">
      <c r="D1606" s="65"/>
    </row>
    <row r="1607" spans="4:4">
      <c r="D1607" s="65"/>
    </row>
    <row r="1608" spans="4:4">
      <c r="D1608" s="65"/>
    </row>
    <row r="1609" spans="4:4">
      <c r="D1609" s="65"/>
    </row>
    <row r="1610" spans="4:4">
      <c r="D1610" s="65"/>
    </row>
    <row r="1611" spans="4:4">
      <c r="D1611" s="65"/>
    </row>
    <row r="1612" spans="4:4">
      <c r="D1612" s="65"/>
    </row>
    <row r="1613" spans="4:4">
      <c r="D1613" s="65"/>
    </row>
    <row r="1614" spans="4:4">
      <c r="D1614" s="65"/>
    </row>
    <row r="1615" spans="4:4">
      <c r="D1615" s="65"/>
    </row>
    <row r="1616" spans="4:4">
      <c r="D1616" s="65"/>
    </row>
    <row r="1617" spans="4:4">
      <c r="D1617" s="65"/>
    </row>
    <row r="1618" spans="4:4">
      <c r="D1618" s="65"/>
    </row>
    <row r="1619" spans="4:4">
      <c r="D1619" s="65"/>
    </row>
    <row r="1620" spans="4:4">
      <c r="D1620" s="65"/>
    </row>
    <row r="1621" spans="4:4">
      <c r="D1621" s="65"/>
    </row>
    <row r="1622" spans="4:4">
      <c r="D1622" s="65"/>
    </row>
    <row r="1623" spans="4:4">
      <c r="D1623" s="65"/>
    </row>
    <row r="1624" spans="4:4">
      <c r="D1624" s="65"/>
    </row>
    <row r="1625" spans="4:4">
      <c r="D1625" s="65"/>
    </row>
    <row r="1626" spans="4:4">
      <c r="D1626" s="65"/>
    </row>
    <row r="1627" spans="4:4">
      <c r="D1627" s="65"/>
    </row>
    <row r="1628" spans="4:4">
      <c r="D1628" s="65"/>
    </row>
    <row r="1629" spans="4:4">
      <c r="D1629" s="65"/>
    </row>
    <row r="1630" spans="4:4">
      <c r="D1630" s="65"/>
    </row>
    <row r="1631" spans="4:4">
      <c r="D1631" s="65"/>
    </row>
    <row r="1632" spans="4:4">
      <c r="D1632" s="65"/>
    </row>
    <row r="1633" spans="4:4">
      <c r="D1633" s="65"/>
    </row>
    <row r="1634" spans="4:4">
      <c r="D1634" s="65"/>
    </row>
    <row r="1635" spans="4:4">
      <c r="D1635" s="65"/>
    </row>
    <row r="1636" spans="4:4">
      <c r="D1636" s="65"/>
    </row>
    <row r="1637" spans="4:4">
      <c r="D1637" s="65"/>
    </row>
    <row r="1638" spans="4:4">
      <c r="D1638" s="65"/>
    </row>
    <row r="1639" spans="4:4">
      <c r="D1639" s="65"/>
    </row>
    <row r="1640" spans="4:4">
      <c r="D1640" s="65"/>
    </row>
    <row r="1641" spans="4:4">
      <c r="D1641" s="65"/>
    </row>
    <row r="1642" spans="4:4">
      <c r="D1642" s="65"/>
    </row>
    <row r="1643" spans="4:4">
      <c r="D1643" s="65"/>
    </row>
    <row r="1644" spans="4:4">
      <c r="D1644" s="65"/>
    </row>
    <row r="1645" spans="4:4">
      <c r="D1645" s="65"/>
    </row>
    <row r="1646" spans="4:4">
      <c r="D1646" s="65"/>
    </row>
    <row r="1647" spans="4:4">
      <c r="D1647" s="65"/>
    </row>
    <row r="1648" spans="4:4">
      <c r="D1648" s="65"/>
    </row>
    <row r="1649" spans="4:4">
      <c r="D1649" s="65"/>
    </row>
    <row r="1650" spans="4:4">
      <c r="D1650" s="65"/>
    </row>
    <row r="1651" spans="4:4">
      <c r="D1651" s="65"/>
    </row>
    <row r="1652" spans="4:4">
      <c r="D1652" s="65"/>
    </row>
    <row r="1653" spans="4:4">
      <c r="D1653" s="65"/>
    </row>
    <row r="1654" spans="4:4">
      <c r="D1654" s="65"/>
    </row>
    <row r="1655" spans="4:4">
      <c r="D1655" s="65"/>
    </row>
    <row r="1656" spans="4:4">
      <c r="D1656" s="65"/>
    </row>
    <row r="1657" spans="4:4">
      <c r="D1657" s="65"/>
    </row>
    <row r="1658" spans="4:4">
      <c r="D1658" s="65"/>
    </row>
    <row r="1659" spans="4:4">
      <c r="D1659" s="65"/>
    </row>
    <row r="1660" spans="4:4">
      <c r="D1660" s="65"/>
    </row>
    <row r="1661" spans="4:4">
      <c r="D1661" s="65"/>
    </row>
    <row r="1662" spans="4:4">
      <c r="D1662" s="65"/>
    </row>
    <row r="1663" spans="4:4">
      <c r="D1663" s="65"/>
    </row>
    <row r="1664" spans="4:4">
      <c r="D1664" s="65"/>
    </row>
    <row r="1665" spans="4:4">
      <c r="D1665" s="65"/>
    </row>
    <row r="1666" spans="4:4">
      <c r="D1666" s="65"/>
    </row>
    <row r="1667" spans="4:4">
      <c r="D1667" s="65"/>
    </row>
    <row r="1668" spans="4:4">
      <c r="D1668" s="65"/>
    </row>
    <row r="1669" spans="4:4">
      <c r="D1669" s="65"/>
    </row>
    <row r="1670" spans="4:4">
      <c r="D1670" s="65"/>
    </row>
    <row r="1671" spans="4:4">
      <c r="D1671" s="65"/>
    </row>
    <row r="1672" spans="4:4">
      <c r="D1672" s="65"/>
    </row>
    <row r="1673" spans="4:4">
      <c r="D1673" s="65"/>
    </row>
    <row r="1674" spans="4:4">
      <c r="D1674" s="65"/>
    </row>
    <row r="1675" spans="4:4">
      <c r="D1675" s="65"/>
    </row>
    <row r="1676" spans="4:4">
      <c r="D1676" s="65"/>
    </row>
    <row r="1677" spans="4:4">
      <c r="D1677" s="65"/>
    </row>
    <row r="1678" spans="4:4">
      <c r="D1678" s="65"/>
    </row>
    <row r="1679" spans="4:4">
      <c r="D1679" s="65"/>
    </row>
    <row r="1680" spans="4:4">
      <c r="D1680" s="65"/>
    </row>
    <row r="1681" spans="4:4">
      <c r="D1681" s="65"/>
    </row>
    <row r="1682" spans="4:4">
      <c r="D1682" s="65"/>
    </row>
    <row r="1683" spans="4:4">
      <c r="D1683" s="65"/>
    </row>
    <row r="1684" spans="4:4">
      <c r="D1684" s="65"/>
    </row>
    <row r="1685" spans="4:4">
      <c r="D1685" s="65"/>
    </row>
    <row r="1686" spans="4:4">
      <c r="D1686" s="65"/>
    </row>
    <row r="1687" spans="4:4">
      <c r="D1687" s="65"/>
    </row>
    <row r="1688" spans="4:4">
      <c r="D1688" s="65"/>
    </row>
    <row r="1689" spans="4:4">
      <c r="D1689" s="65"/>
    </row>
    <row r="1690" spans="4:4">
      <c r="D1690" s="65"/>
    </row>
    <row r="1691" spans="4:4">
      <c r="D1691" s="65"/>
    </row>
    <row r="1692" spans="4:4">
      <c r="D1692" s="65"/>
    </row>
    <row r="1693" spans="4:4">
      <c r="D1693" s="65"/>
    </row>
    <row r="1694" spans="4:4">
      <c r="D1694" s="65"/>
    </row>
    <row r="1695" spans="4:4">
      <c r="D1695" s="65"/>
    </row>
    <row r="1696" spans="4:4">
      <c r="D1696" s="65"/>
    </row>
    <row r="1697" spans="4:4">
      <c r="D1697" s="65"/>
    </row>
    <row r="1698" spans="4:4">
      <c r="D1698" s="65"/>
    </row>
    <row r="1699" spans="4:4">
      <c r="D1699" s="65"/>
    </row>
    <row r="1700" spans="4:4">
      <c r="D1700" s="65"/>
    </row>
    <row r="1701" spans="4:4">
      <c r="D1701" s="65"/>
    </row>
    <row r="1702" spans="4:4">
      <c r="D1702" s="65"/>
    </row>
    <row r="1703" spans="4:4">
      <c r="D1703" s="65"/>
    </row>
    <row r="1704" spans="4:4">
      <c r="D1704" s="65"/>
    </row>
    <row r="1705" spans="4:4">
      <c r="D1705" s="65"/>
    </row>
    <row r="1706" spans="4:4">
      <c r="D1706" s="65"/>
    </row>
    <row r="1707" spans="4:4">
      <c r="D1707" s="65"/>
    </row>
    <row r="1708" spans="4:4">
      <c r="D1708" s="65"/>
    </row>
    <row r="1709" spans="4:4">
      <c r="D1709" s="65"/>
    </row>
    <row r="1710" spans="4:4">
      <c r="D1710" s="65"/>
    </row>
    <row r="1711" spans="4:4">
      <c r="D1711" s="65"/>
    </row>
    <row r="1712" spans="4:4">
      <c r="D1712" s="65"/>
    </row>
    <row r="1713" spans="4:4">
      <c r="D1713" s="65"/>
    </row>
    <row r="1714" spans="4:4">
      <c r="D1714" s="65"/>
    </row>
    <row r="1715" spans="4:4">
      <c r="D1715" s="65"/>
    </row>
    <row r="1716" spans="4:4">
      <c r="D1716" s="65"/>
    </row>
    <row r="1717" spans="4:4">
      <c r="D1717" s="65"/>
    </row>
    <row r="1718" spans="4:4">
      <c r="D1718" s="65"/>
    </row>
    <row r="1719" spans="4:4">
      <c r="D1719" s="65"/>
    </row>
    <row r="1720" spans="4:4">
      <c r="D1720" s="65"/>
    </row>
    <row r="1721" spans="4:4">
      <c r="D1721" s="65"/>
    </row>
    <row r="1722" spans="4:4">
      <c r="D1722" s="65"/>
    </row>
    <row r="1723" spans="4:4">
      <c r="D1723" s="65"/>
    </row>
    <row r="1724" spans="4:4">
      <c r="D1724" s="65"/>
    </row>
    <row r="1725" spans="4:4">
      <c r="D1725" s="65"/>
    </row>
    <row r="1726" spans="4:4">
      <c r="D1726" s="65"/>
    </row>
    <row r="1727" spans="4:4">
      <c r="D1727" s="65"/>
    </row>
    <row r="1728" spans="4:4">
      <c r="D1728" s="65"/>
    </row>
    <row r="1729" spans="4:4">
      <c r="D1729" s="65"/>
    </row>
    <row r="1730" spans="4:4">
      <c r="D1730" s="65"/>
    </row>
    <row r="1731" spans="4:4">
      <c r="D1731" s="65"/>
    </row>
    <row r="1732" spans="4:4">
      <c r="D1732" s="65"/>
    </row>
    <row r="1733" spans="4:4">
      <c r="D1733" s="65"/>
    </row>
    <row r="1734" spans="4:4">
      <c r="D1734" s="65"/>
    </row>
    <row r="1735" spans="4:4">
      <c r="D1735" s="65"/>
    </row>
    <row r="1736" spans="4:4">
      <c r="D1736" s="65"/>
    </row>
    <row r="1737" spans="4:4">
      <c r="D1737" s="65"/>
    </row>
    <row r="1738" spans="4:4">
      <c r="D1738" s="65"/>
    </row>
    <row r="1739" spans="4:4">
      <c r="D1739" s="65"/>
    </row>
    <row r="1740" spans="4:4">
      <c r="D1740" s="65"/>
    </row>
    <row r="1741" spans="4:4">
      <c r="D1741" s="65"/>
    </row>
    <row r="1742" spans="4:4">
      <c r="D1742" s="65"/>
    </row>
    <row r="1743" spans="4:4">
      <c r="D1743" s="65"/>
    </row>
    <row r="1744" spans="4:4">
      <c r="D1744" s="65"/>
    </row>
    <row r="1745" spans="4:4">
      <c r="D1745" s="65"/>
    </row>
    <row r="1746" spans="4:4">
      <c r="D1746" s="65"/>
    </row>
    <row r="1747" spans="4:4">
      <c r="D1747" s="65"/>
    </row>
    <row r="1748" spans="4:4">
      <c r="D1748" s="65"/>
    </row>
    <row r="1749" spans="4:4">
      <c r="D1749" s="65"/>
    </row>
    <row r="1750" spans="4:4">
      <c r="D1750" s="65"/>
    </row>
    <row r="1751" spans="4:4">
      <c r="D1751" s="65"/>
    </row>
    <row r="1752" spans="4:4">
      <c r="D1752" s="65"/>
    </row>
    <row r="1753" spans="4:4">
      <c r="D1753" s="65"/>
    </row>
    <row r="1754" spans="4:4">
      <c r="D1754" s="65"/>
    </row>
    <row r="1755" spans="4:4">
      <c r="D1755" s="65"/>
    </row>
    <row r="1756" spans="4:4">
      <c r="D1756" s="65"/>
    </row>
    <row r="1757" spans="4:4">
      <c r="D1757" s="65"/>
    </row>
    <row r="1758" spans="4:4">
      <c r="D1758" s="65"/>
    </row>
    <row r="1759" spans="4:4">
      <c r="D1759" s="65"/>
    </row>
    <row r="1760" spans="4:4">
      <c r="D1760" s="65"/>
    </row>
    <row r="1761" spans="4:4">
      <c r="D1761" s="65"/>
    </row>
    <row r="1762" spans="4:4">
      <c r="D1762" s="65"/>
    </row>
    <row r="1763" spans="4:4">
      <c r="D1763" s="65"/>
    </row>
    <row r="1764" spans="4:4">
      <c r="D1764" s="65"/>
    </row>
    <row r="1765" spans="4:4">
      <c r="D1765" s="65"/>
    </row>
    <row r="1766" spans="4:4">
      <c r="D1766" s="65"/>
    </row>
    <row r="1767" spans="4:4">
      <c r="D1767" s="65"/>
    </row>
    <row r="1768" spans="4:4">
      <c r="D1768" s="65"/>
    </row>
    <row r="1769" spans="4:4">
      <c r="D1769" s="65"/>
    </row>
    <row r="1770" spans="4:4">
      <c r="D1770" s="65"/>
    </row>
    <row r="1771" spans="4:4">
      <c r="D1771" s="65"/>
    </row>
    <row r="1772" spans="4:4">
      <c r="D1772" s="65"/>
    </row>
    <row r="1773" spans="4:4">
      <c r="D1773" s="65"/>
    </row>
    <row r="1774" spans="4:4">
      <c r="D1774" s="65"/>
    </row>
    <row r="1775" spans="4:4">
      <c r="D1775" s="65"/>
    </row>
    <row r="1776" spans="4:4">
      <c r="D1776" s="65"/>
    </row>
    <row r="1777" spans="4:4">
      <c r="D1777" s="65"/>
    </row>
    <row r="1778" spans="4:4">
      <c r="D1778" s="65"/>
    </row>
    <row r="1779" spans="4:4">
      <c r="D1779" s="65"/>
    </row>
    <row r="1780" spans="4:4">
      <c r="D1780" s="65"/>
    </row>
    <row r="1781" spans="4:4">
      <c r="D1781" s="65"/>
    </row>
    <row r="1782" spans="4:4">
      <c r="D1782" s="65"/>
    </row>
    <row r="1783" spans="4:4">
      <c r="D1783" s="65"/>
    </row>
    <row r="1784" spans="4:4">
      <c r="D1784" s="65"/>
    </row>
    <row r="1785" spans="4:4">
      <c r="D1785" s="65"/>
    </row>
    <row r="1786" spans="4:4">
      <c r="D1786" s="65"/>
    </row>
    <row r="1787" spans="4:4">
      <c r="D1787" s="65"/>
    </row>
    <row r="1788" spans="4:4">
      <c r="D1788" s="65"/>
    </row>
    <row r="1789" spans="4:4">
      <c r="D1789" s="65"/>
    </row>
    <row r="1790" spans="4:4">
      <c r="D1790" s="65"/>
    </row>
    <row r="1791" spans="4:4">
      <c r="D1791" s="65"/>
    </row>
    <row r="1792" spans="4:4">
      <c r="D1792" s="65"/>
    </row>
    <row r="1793" spans="4:4">
      <c r="D1793" s="65"/>
    </row>
    <row r="1794" spans="4:4">
      <c r="D1794" s="65"/>
    </row>
    <row r="1795" spans="4:4">
      <c r="D1795" s="65"/>
    </row>
    <row r="1796" spans="4:4">
      <c r="D1796" s="65"/>
    </row>
    <row r="1797" spans="4:4">
      <c r="D1797" s="65"/>
    </row>
    <row r="1798" spans="4:4">
      <c r="D1798" s="65"/>
    </row>
    <row r="1799" spans="4:4">
      <c r="D1799" s="65"/>
    </row>
    <row r="1800" spans="4:4">
      <c r="D1800" s="65"/>
    </row>
    <row r="1801" spans="4:4">
      <c r="D1801" s="65"/>
    </row>
    <row r="1802" spans="4:4">
      <c r="D1802" s="65"/>
    </row>
    <row r="1803" spans="4:4">
      <c r="D1803" s="65"/>
    </row>
    <row r="1804" spans="4:4">
      <c r="D1804" s="65"/>
    </row>
    <row r="1805" spans="4:4">
      <c r="D1805" s="65"/>
    </row>
    <row r="1806" spans="4:4">
      <c r="D1806" s="65"/>
    </row>
    <row r="1807" spans="4:4">
      <c r="D1807" s="65"/>
    </row>
    <row r="1808" spans="4:4">
      <c r="D1808" s="65"/>
    </row>
    <row r="1809" spans="4:4">
      <c r="D1809" s="65"/>
    </row>
    <row r="1810" spans="4:4">
      <c r="D1810" s="65"/>
    </row>
    <row r="1811" spans="4:4">
      <c r="D1811" s="65"/>
    </row>
    <row r="1812" spans="4:4">
      <c r="D1812" s="65"/>
    </row>
    <row r="1813" spans="4:4">
      <c r="D1813" s="65"/>
    </row>
    <row r="1814" spans="4:4">
      <c r="D1814" s="65"/>
    </row>
    <row r="1815" spans="4:4">
      <c r="D1815" s="65"/>
    </row>
    <row r="1816" spans="4:4">
      <c r="D1816" s="65"/>
    </row>
    <row r="1817" spans="4:4">
      <c r="D1817" s="65"/>
    </row>
    <row r="1818" spans="4:4">
      <c r="D1818" s="65"/>
    </row>
    <row r="1819" spans="4:4">
      <c r="D1819" s="65"/>
    </row>
    <row r="1820" spans="4:4">
      <c r="D1820" s="65"/>
    </row>
    <row r="1821" spans="4:4">
      <c r="D1821" s="65"/>
    </row>
    <row r="1822" spans="4:4">
      <c r="D1822" s="65"/>
    </row>
    <row r="1823" spans="4:4">
      <c r="D1823" s="65"/>
    </row>
    <row r="1824" spans="4:4">
      <c r="D1824" s="65"/>
    </row>
    <row r="1825" spans="4:4">
      <c r="D1825" s="65"/>
    </row>
    <row r="1826" spans="4:4">
      <c r="D1826" s="65"/>
    </row>
    <row r="1827" spans="4:4">
      <c r="D1827" s="65"/>
    </row>
    <row r="1828" spans="4:4">
      <c r="D1828" s="65"/>
    </row>
    <row r="1829" spans="4:4">
      <c r="D1829" s="65"/>
    </row>
    <row r="1830" spans="4:4">
      <c r="D1830" s="65"/>
    </row>
    <row r="1831" spans="4:4">
      <c r="D1831" s="65"/>
    </row>
    <row r="1832" spans="4:4">
      <c r="D1832" s="65"/>
    </row>
    <row r="1833" spans="4:4">
      <c r="D1833" s="65"/>
    </row>
    <row r="1834" spans="4:4">
      <c r="D1834" s="65"/>
    </row>
    <row r="1835" spans="4:4">
      <c r="D1835" s="65"/>
    </row>
    <row r="1836" spans="4:4">
      <c r="D1836" s="65"/>
    </row>
    <row r="1837" spans="4:4">
      <c r="D1837" s="65"/>
    </row>
    <row r="1838" spans="4:4">
      <c r="D1838" s="65"/>
    </row>
    <row r="1839" spans="4:4">
      <c r="D1839" s="65"/>
    </row>
    <row r="1840" spans="4:4">
      <c r="D1840" s="65"/>
    </row>
    <row r="1841" spans="4:4">
      <c r="D1841" s="65"/>
    </row>
    <row r="1842" spans="4:4">
      <c r="D1842" s="65"/>
    </row>
    <row r="1843" spans="4:4">
      <c r="D1843" s="65"/>
    </row>
    <row r="1844" spans="4:4">
      <c r="D1844" s="65"/>
    </row>
    <row r="1845" spans="4:4">
      <c r="D1845" s="65"/>
    </row>
    <row r="1846" spans="4:4">
      <c r="D1846" s="65"/>
    </row>
    <row r="1847" spans="4:4">
      <c r="D1847" s="65"/>
    </row>
    <row r="1848" spans="4:4">
      <c r="D1848" s="65"/>
    </row>
    <row r="1849" spans="4:4">
      <c r="D1849" s="65"/>
    </row>
    <row r="1850" spans="4:4">
      <c r="D1850" s="65"/>
    </row>
    <row r="1851" spans="4:4">
      <c r="D1851" s="65"/>
    </row>
    <row r="1852" spans="4:4">
      <c r="D1852" s="65"/>
    </row>
    <row r="1853" spans="4:4">
      <c r="D1853" s="65"/>
    </row>
    <row r="1854" spans="4:4">
      <c r="D1854" s="65"/>
    </row>
    <row r="1855" spans="4:4">
      <c r="D1855" s="65"/>
    </row>
    <row r="1856" spans="4:4">
      <c r="D1856" s="65"/>
    </row>
    <row r="1857" spans="4:4">
      <c r="D1857" s="65"/>
    </row>
    <row r="1858" spans="4:4">
      <c r="D1858" s="65"/>
    </row>
    <row r="1859" spans="4:4">
      <c r="D1859" s="65"/>
    </row>
    <row r="1860" spans="4:4">
      <c r="D1860" s="65"/>
    </row>
    <row r="1861" spans="4:4">
      <c r="D1861" s="65"/>
    </row>
    <row r="1862" spans="4:4">
      <c r="D1862" s="65"/>
    </row>
    <row r="1863" spans="4:4">
      <c r="D1863" s="65"/>
    </row>
    <row r="1864" spans="4:4">
      <c r="D1864" s="65"/>
    </row>
    <row r="1865" spans="4:4">
      <c r="D1865" s="65"/>
    </row>
    <row r="1866" spans="4:4">
      <c r="D1866" s="65"/>
    </row>
    <row r="1867" spans="4:4">
      <c r="D1867" s="65"/>
    </row>
    <row r="1868" spans="4:4">
      <c r="D1868" s="65"/>
    </row>
    <row r="1869" spans="4:4">
      <c r="D1869" s="65"/>
    </row>
    <row r="1870" spans="4:4">
      <c r="D1870" s="65"/>
    </row>
    <row r="1871" spans="4:4">
      <c r="D1871" s="65"/>
    </row>
    <row r="1872" spans="4:4">
      <c r="D1872" s="65"/>
    </row>
    <row r="1873" spans="4:4">
      <c r="D1873" s="65"/>
    </row>
    <row r="1874" spans="4:4">
      <c r="D1874" s="65"/>
    </row>
    <row r="1875" spans="4:4">
      <c r="D1875" s="65"/>
    </row>
    <row r="1876" spans="4:4">
      <c r="D1876" s="65"/>
    </row>
    <row r="1877" spans="4:4">
      <c r="D1877" s="65"/>
    </row>
    <row r="1878" spans="4:4">
      <c r="D1878" s="65"/>
    </row>
    <row r="1879" spans="4:4">
      <c r="D1879" s="65"/>
    </row>
    <row r="1880" spans="4:4">
      <c r="D1880" s="65"/>
    </row>
    <row r="1881" spans="4:4">
      <c r="D1881" s="65"/>
    </row>
    <row r="1882" spans="4:4">
      <c r="D1882" s="65"/>
    </row>
    <row r="1883" spans="4:4">
      <c r="D1883" s="65"/>
    </row>
    <row r="1884" spans="4:4">
      <c r="D1884" s="65"/>
    </row>
    <row r="1885" spans="4:4">
      <c r="D1885" s="65"/>
    </row>
    <row r="1886" spans="4:4">
      <c r="D1886" s="65"/>
    </row>
    <row r="1887" spans="4:4">
      <c r="D1887" s="65"/>
    </row>
    <row r="1888" spans="4:4">
      <c r="D1888" s="65"/>
    </row>
    <row r="1889" spans="4:4">
      <c r="D1889" s="65"/>
    </row>
    <row r="1890" spans="4:4">
      <c r="D1890" s="65"/>
    </row>
    <row r="1891" spans="4:4">
      <c r="D1891" s="65"/>
    </row>
    <row r="1892" spans="4:4">
      <c r="D1892" s="65"/>
    </row>
    <row r="1893" spans="4:4">
      <c r="D1893" s="65"/>
    </row>
    <row r="1894" spans="4:4">
      <c r="D1894" s="65"/>
    </row>
    <row r="1895" spans="4:4">
      <c r="D1895" s="65"/>
    </row>
    <row r="1896" spans="4:4">
      <c r="D1896" s="65"/>
    </row>
    <row r="1897" spans="4:4">
      <c r="D1897" s="65"/>
    </row>
    <row r="1898" spans="4:4">
      <c r="D1898" s="65"/>
    </row>
    <row r="1899" spans="4:4">
      <c r="D1899" s="65"/>
    </row>
    <row r="1900" spans="4:4">
      <c r="D1900" s="65"/>
    </row>
    <row r="1901" spans="4:4">
      <c r="D1901" s="65"/>
    </row>
    <row r="1902" spans="4:4">
      <c r="D1902" s="65"/>
    </row>
    <row r="1903" spans="4:4">
      <c r="D1903" s="65"/>
    </row>
    <row r="1904" spans="4:4">
      <c r="D1904" s="65"/>
    </row>
    <row r="1905" spans="4:4">
      <c r="D1905" s="65"/>
    </row>
    <row r="1906" spans="4:4">
      <c r="D1906" s="65"/>
    </row>
    <row r="1907" spans="4:4">
      <c r="D1907" s="65"/>
    </row>
    <row r="1908" spans="4:4">
      <c r="D1908" s="65"/>
    </row>
    <row r="1909" spans="4:4">
      <c r="D1909" s="65"/>
    </row>
    <row r="1910" spans="4:4">
      <c r="D1910" s="65"/>
    </row>
    <row r="1911" spans="4:4">
      <c r="D1911" s="65"/>
    </row>
    <row r="1912" spans="4:4">
      <c r="D1912" s="65"/>
    </row>
    <row r="1913" spans="4:4">
      <c r="D1913" s="65"/>
    </row>
    <row r="1914" spans="4:4">
      <c r="D1914" s="65"/>
    </row>
    <row r="1915" spans="4:4">
      <c r="D1915" s="65"/>
    </row>
    <row r="1916" spans="4:4">
      <c r="D1916" s="65"/>
    </row>
    <row r="1917" spans="4:4">
      <c r="D1917" s="65"/>
    </row>
    <row r="1918" spans="4:4">
      <c r="D1918" s="65"/>
    </row>
    <row r="1919" spans="4:4">
      <c r="D1919" s="65"/>
    </row>
    <row r="1920" spans="4:4">
      <c r="D1920" s="65"/>
    </row>
    <row r="1921" spans="4:4">
      <c r="D1921" s="65"/>
    </row>
    <row r="1922" spans="4:4">
      <c r="D1922" s="65"/>
    </row>
    <row r="1923" spans="4:4">
      <c r="D1923" s="65"/>
    </row>
    <row r="1924" spans="4:4">
      <c r="D1924" s="65"/>
    </row>
    <row r="1925" spans="4:4">
      <c r="D1925" s="65"/>
    </row>
    <row r="1926" spans="4:4">
      <c r="D1926" s="65"/>
    </row>
    <row r="1927" spans="4:4">
      <c r="D1927" s="65"/>
    </row>
    <row r="1928" spans="4:4">
      <c r="D1928" s="65"/>
    </row>
    <row r="1929" spans="4:4">
      <c r="D1929" s="65"/>
    </row>
    <row r="1930" spans="4:4">
      <c r="D1930" s="65"/>
    </row>
    <row r="1931" spans="4:4">
      <c r="D1931" s="65"/>
    </row>
    <row r="1932" spans="4:4">
      <c r="D1932" s="65"/>
    </row>
    <row r="1933" spans="4:4">
      <c r="D1933" s="65"/>
    </row>
    <row r="1934" spans="4:4">
      <c r="D1934" s="65"/>
    </row>
    <row r="1935" spans="4:4">
      <c r="D1935" s="65"/>
    </row>
    <row r="1936" spans="4:4">
      <c r="D1936" s="65"/>
    </row>
    <row r="1937" spans="4:4">
      <c r="D1937" s="65"/>
    </row>
    <row r="1938" spans="4:4">
      <c r="D1938" s="65"/>
    </row>
    <row r="1939" spans="4:4">
      <c r="D1939" s="65"/>
    </row>
    <row r="1940" spans="4:4">
      <c r="D1940" s="65"/>
    </row>
    <row r="1941" spans="4:4">
      <c r="D1941" s="65"/>
    </row>
    <row r="1942" spans="4:4">
      <c r="D1942" s="65"/>
    </row>
    <row r="1943" spans="4:4">
      <c r="D1943" s="65"/>
    </row>
    <row r="1944" spans="4:4">
      <c r="D1944" s="65"/>
    </row>
    <row r="1945" spans="4:4">
      <c r="D1945" s="65"/>
    </row>
    <row r="1946" spans="4:4">
      <c r="D1946" s="65"/>
    </row>
    <row r="1947" spans="4:4">
      <c r="D1947" s="65"/>
    </row>
    <row r="1948" spans="4:4">
      <c r="D1948" s="65"/>
    </row>
    <row r="1949" spans="4:4">
      <c r="D1949" s="65"/>
    </row>
    <row r="1950" spans="4:4">
      <c r="D1950" s="65"/>
    </row>
    <row r="1951" spans="4:4">
      <c r="D1951" s="65"/>
    </row>
    <row r="1952" spans="4:4">
      <c r="D1952" s="65"/>
    </row>
    <row r="1953" spans="4:4">
      <c r="D1953" s="65"/>
    </row>
    <row r="1954" spans="4:4">
      <c r="D1954" s="65"/>
    </row>
    <row r="1955" spans="4:4">
      <c r="D1955" s="65"/>
    </row>
    <row r="1956" spans="4:4">
      <c r="D1956" s="65"/>
    </row>
    <row r="1957" spans="4:4">
      <c r="D1957" s="65"/>
    </row>
    <row r="1958" spans="4:4">
      <c r="D1958" s="65"/>
    </row>
    <row r="1959" spans="4:4">
      <c r="D1959" s="65"/>
    </row>
    <row r="1960" spans="4:4">
      <c r="D1960" s="65"/>
    </row>
    <row r="1961" spans="4:4">
      <c r="D1961" s="65"/>
    </row>
    <row r="1962" spans="4:4">
      <c r="D1962" s="65"/>
    </row>
    <row r="1963" spans="4:4">
      <c r="D1963" s="65"/>
    </row>
    <row r="1964" spans="4:4">
      <c r="D1964" s="65"/>
    </row>
    <row r="1965" spans="4:4">
      <c r="D1965" s="65"/>
    </row>
    <row r="1966" spans="4:4">
      <c r="D1966" s="65"/>
    </row>
    <row r="1967" spans="4:4">
      <c r="D1967" s="65"/>
    </row>
    <row r="1968" spans="4:4">
      <c r="D1968" s="65"/>
    </row>
    <row r="1969" spans="4:4">
      <c r="D1969" s="65"/>
    </row>
    <row r="1970" spans="4:4">
      <c r="D1970" s="65"/>
    </row>
    <row r="1971" spans="4:4">
      <c r="D1971" s="65"/>
    </row>
    <row r="1972" spans="4:4">
      <c r="D1972" s="65"/>
    </row>
    <row r="1973" spans="4:4">
      <c r="D1973" s="65"/>
    </row>
    <row r="1974" spans="4:4">
      <c r="D1974" s="65"/>
    </row>
    <row r="1975" spans="4:4">
      <c r="D1975" s="65"/>
    </row>
    <row r="1976" spans="4:4">
      <c r="D1976" s="65"/>
    </row>
    <row r="1977" spans="4:4">
      <c r="D1977" s="65"/>
    </row>
    <row r="1978" spans="4:4">
      <c r="D1978" s="65"/>
    </row>
    <row r="1979" spans="4:4">
      <c r="D1979" s="65"/>
    </row>
    <row r="1980" spans="4:4">
      <c r="D1980" s="65"/>
    </row>
    <row r="1981" spans="4:4">
      <c r="D1981" s="65"/>
    </row>
    <row r="1982" spans="4:4">
      <c r="D1982" s="65"/>
    </row>
    <row r="1983" spans="4:4">
      <c r="D1983" s="65"/>
    </row>
    <row r="1984" spans="4:4">
      <c r="D1984" s="65"/>
    </row>
    <row r="1985" spans="4:4">
      <c r="D1985" s="65"/>
    </row>
    <row r="1986" spans="4:4">
      <c r="D1986" s="65"/>
    </row>
    <row r="1987" spans="4:4">
      <c r="D1987" s="65"/>
    </row>
    <row r="1988" spans="4:4">
      <c r="D1988" s="65"/>
    </row>
    <row r="1989" spans="4:4">
      <c r="D1989" s="65"/>
    </row>
    <row r="1990" spans="4:4">
      <c r="D1990" s="65"/>
    </row>
    <row r="1991" spans="4:4">
      <c r="D1991" s="65"/>
    </row>
    <row r="1992" spans="4:4">
      <c r="D1992" s="65"/>
    </row>
    <row r="1993" spans="4:4">
      <c r="D1993" s="65"/>
    </row>
    <row r="1994" spans="4:4">
      <c r="D1994" s="65"/>
    </row>
    <row r="1995" spans="4:4">
      <c r="D1995" s="65"/>
    </row>
    <row r="1996" spans="4:4">
      <c r="D1996" s="65"/>
    </row>
    <row r="1997" spans="4:4">
      <c r="D1997" s="65"/>
    </row>
    <row r="1998" spans="4:4">
      <c r="D1998" s="65"/>
    </row>
    <row r="1999" spans="4:4">
      <c r="D1999" s="65"/>
    </row>
    <row r="2000" spans="4:4">
      <c r="D2000" s="65"/>
    </row>
    <row r="2001" spans="4:4">
      <c r="D2001" s="65"/>
    </row>
    <row r="2002" spans="4:4">
      <c r="D2002" s="65"/>
    </row>
    <row r="2003" spans="4:4">
      <c r="D2003" s="65"/>
    </row>
    <row r="2004" spans="4:4">
      <c r="D2004" s="65"/>
    </row>
    <row r="2005" spans="4:4">
      <c r="D2005" s="65"/>
    </row>
    <row r="2006" spans="4:4">
      <c r="D2006" s="65"/>
    </row>
    <row r="2007" spans="4:4">
      <c r="D2007" s="65"/>
    </row>
    <row r="2008" spans="4:4">
      <c r="D2008" s="65"/>
    </row>
    <row r="2009" spans="4:4">
      <c r="D2009" s="65"/>
    </row>
    <row r="2010" spans="4:4">
      <c r="D2010" s="65"/>
    </row>
    <row r="2011" spans="4:4">
      <c r="D2011" s="65"/>
    </row>
    <row r="2012" spans="4:4">
      <c r="D2012" s="65"/>
    </row>
    <row r="2013" spans="4:4">
      <c r="D2013" s="65"/>
    </row>
    <row r="2014" spans="4:4">
      <c r="D2014" s="65"/>
    </row>
    <row r="2015" spans="4:4">
      <c r="D2015" s="65"/>
    </row>
    <row r="2016" spans="4:4">
      <c r="D2016" s="65"/>
    </row>
    <row r="2017" spans="4:4">
      <c r="D2017" s="65"/>
    </row>
    <row r="2018" spans="4:4">
      <c r="D2018" s="65"/>
    </row>
    <row r="2019" spans="4:4">
      <c r="D2019" s="65"/>
    </row>
    <row r="2020" spans="4:4">
      <c r="D2020" s="65"/>
    </row>
    <row r="2021" spans="4:4">
      <c r="D2021" s="65"/>
    </row>
    <row r="2022" spans="4:4">
      <c r="D2022" s="65"/>
    </row>
    <row r="2023" spans="4:4">
      <c r="D2023" s="65"/>
    </row>
    <row r="2024" spans="4:4">
      <c r="D2024" s="65"/>
    </row>
    <row r="2025" spans="4:4">
      <c r="D2025" s="65"/>
    </row>
    <row r="2026" spans="4:4">
      <c r="D2026" s="65"/>
    </row>
    <row r="2027" spans="4:4">
      <c r="D2027" s="65"/>
    </row>
    <row r="2028" spans="4:4">
      <c r="D2028" s="65"/>
    </row>
    <row r="2029" spans="4:4">
      <c r="D2029" s="65"/>
    </row>
    <row r="2030" spans="4:4">
      <c r="D2030" s="65"/>
    </row>
    <row r="2031" spans="4:4">
      <c r="D2031" s="65"/>
    </row>
    <row r="2032" spans="4:4">
      <c r="D2032" s="65"/>
    </row>
    <row r="2033" spans="4:4">
      <c r="D2033" s="65"/>
    </row>
    <row r="2034" spans="4:4">
      <c r="D2034" s="65"/>
    </row>
    <row r="2035" spans="4:4">
      <c r="D2035" s="65"/>
    </row>
    <row r="2036" spans="4:4">
      <c r="D2036" s="65"/>
    </row>
    <row r="2037" spans="4:4">
      <c r="D2037" s="65"/>
    </row>
    <row r="2038" spans="4:4">
      <c r="D2038" s="65"/>
    </row>
    <row r="2039" spans="4:4">
      <c r="D2039" s="65"/>
    </row>
    <row r="2040" spans="4:4">
      <c r="D2040" s="65"/>
    </row>
    <row r="2041" spans="4:4">
      <c r="D2041" s="65"/>
    </row>
    <row r="2042" spans="4:4">
      <c r="D2042" s="65"/>
    </row>
    <row r="2043" spans="4:4">
      <c r="D2043" s="65"/>
    </row>
    <row r="2044" spans="4:4">
      <c r="D2044" s="65"/>
    </row>
    <row r="2045" spans="4:4">
      <c r="D2045" s="65"/>
    </row>
    <row r="2046" spans="4:4">
      <c r="D2046" s="65"/>
    </row>
    <row r="2047" spans="4:4">
      <c r="D2047" s="65"/>
    </row>
    <row r="2048" spans="4:4">
      <c r="D2048" s="65"/>
    </row>
    <row r="2049" spans="4:4">
      <c r="D2049" s="65"/>
    </row>
    <row r="2050" spans="4:4">
      <c r="D2050" s="65"/>
    </row>
    <row r="2051" spans="4:4">
      <c r="D2051" s="65"/>
    </row>
    <row r="2052" spans="4:4">
      <c r="D2052" s="65"/>
    </row>
    <row r="2053" spans="4:4">
      <c r="D2053" s="65"/>
    </row>
    <row r="2054" spans="4:4">
      <c r="D2054" s="65"/>
    </row>
    <row r="2055" spans="4:4">
      <c r="D2055" s="65"/>
    </row>
    <row r="2056" spans="4:4">
      <c r="D2056" s="65"/>
    </row>
    <row r="2057" spans="4:4">
      <c r="D2057" s="65"/>
    </row>
    <row r="2058" spans="4:4">
      <c r="D2058" s="65"/>
    </row>
    <row r="2059" spans="4:4">
      <c r="D2059" s="65"/>
    </row>
    <row r="2060" spans="4:4">
      <c r="D2060" s="65"/>
    </row>
    <row r="2061" spans="4:4">
      <c r="D2061" s="65"/>
    </row>
    <row r="2062" spans="4:4">
      <c r="D2062" s="65"/>
    </row>
    <row r="2063" spans="4:4">
      <c r="D2063" s="65"/>
    </row>
    <row r="2064" spans="4:4">
      <c r="D2064" s="65"/>
    </row>
    <row r="2065" spans="4:4">
      <c r="D2065" s="65"/>
    </row>
    <row r="2066" spans="4:4">
      <c r="D2066" s="65"/>
    </row>
    <row r="2067" spans="4:4">
      <c r="D2067" s="65"/>
    </row>
    <row r="2068" spans="4:4">
      <c r="D2068" s="65"/>
    </row>
    <row r="2069" spans="4:4">
      <c r="D2069" s="65"/>
    </row>
    <row r="2070" spans="4:4">
      <c r="D2070" s="65"/>
    </row>
    <row r="2071" spans="4:4">
      <c r="D2071" s="65"/>
    </row>
    <row r="2072" spans="4:4">
      <c r="D2072" s="65"/>
    </row>
    <row r="2073" spans="4:4">
      <c r="D2073" s="65"/>
    </row>
    <row r="2074" spans="4:4">
      <c r="D2074" s="65"/>
    </row>
    <row r="2075" spans="4:4">
      <c r="D2075" s="65"/>
    </row>
    <row r="2076" spans="4:4">
      <c r="D2076" s="65"/>
    </row>
    <row r="2077" spans="4:4">
      <c r="D2077" s="65"/>
    </row>
    <row r="2078" spans="4:4">
      <c r="D2078" s="65"/>
    </row>
    <row r="2079" spans="4:4">
      <c r="D2079" s="65"/>
    </row>
    <row r="2080" spans="4:4">
      <c r="D2080" s="65"/>
    </row>
    <row r="2081" spans="4:4">
      <c r="D2081" s="65"/>
    </row>
    <row r="2082" spans="4:4">
      <c r="D2082" s="65"/>
    </row>
    <row r="2083" spans="4:4">
      <c r="D2083" s="65"/>
    </row>
    <row r="2084" spans="4:4">
      <c r="D2084" s="65"/>
    </row>
    <row r="2085" spans="4:4">
      <c r="D2085" s="65"/>
    </row>
    <row r="2086" spans="4:4">
      <c r="D2086" s="65"/>
    </row>
    <row r="2087" spans="4:4">
      <c r="D2087" s="65"/>
    </row>
    <row r="2088" spans="4:4">
      <c r="D2088" s="65"/>
    </row>
    <row r="2089" spans="4:4">
      <c r="D2089" s="65"/>
    </row>
    <row r="2090" spans="4:4">
      <c r="D2090" s="65"/>
    </row>
    <row r="2091" spans="4:4">
      <c r="D2091" s="65"/>
    </row>
    <row r="2092" spans="4:4">
      <c r="D2092" s="65"/>
    </row>
    <row r="2093" spans="4:4">
      <c r="D2093" s="65"/>
    </row>
    <row r="2094" spans="4:4">
      <c r="D2094" s="65"/>
    </row>
    <row r="2095" spans="4:4">
      <c r="D2095" s="65"/>
    </row>
    <row r="2096" spans="4:4">
      <c r="D2096" s="65"/>
    </row>
    <row r="2097" spans="4:4">
      <c r="D2097" s="65"/>
    </row>
    <row r="2098" spans="4:4">
      <c r="D2098" s="65"/>
    </row>
    <row r="2099" spans="4:4">
      <c r="D2099" s="65"/>
    </row>
    <row r="2100" spans="4:4">
      <c r="D2100" s="65"/>
    </row>
    <row r="2101" spans="4:4">
      <c r="D2101" s="65"/>
    </row>
    <row r="2102" spans="4:4">
      <c r="D2102" s="65"/>
    </row>
    <row r="2103" spans="4:4">
      <c r="D2103" s="65"/>
    </row>
    <row r="2104" spans="4:4">
      <c r="D2104" s="65"/>
    </row>
    <row r="2105" spans="4:4">
      <c r="D2105" s="65"/>
    </row>
    <row r="2106" spans="4:4">
      <c r="D2106" s="65"/>
    </row>
    <row r="2107" spans="4:4">
      <c r="D2107" s="65"/>
    </row>
    <row r="2108" spans="4:4">
      <c r="D2108" s="65"/>
    </row>
    <row r="2109" spans="4:4">
      <c r="D2109" s="65"/>
    </row>
    <row r="2110" spans="4:4">
      <c r="D2110" s="65"/>
    </row>
    <row r="2111" spans="4:4">
      <c r="D2111" s="65"/>
    </row>
    <row r="2112" spans="4:4">
      <c r="D2112" s="65"/>
    </row>
    <row r="2113" spans="4:4">
      <c r="D2113" s="65"/>
    </row>
    <row r="2114" spans="4:4">
      <c r="D2114" s="65"/>
    </row>
    <row r="2115" spans="4:4">
      <c r="D2115" s="65"/>
    </row>
    <row r="2116" spans="4:4">
      <c r="D2116" s="65"/>
    </row>
    <row r="2117" spans="4:4">
      <c r="D2117" s="65"/>
    </row>
    <row r="2118" spans="4:4">
      <c r="D2118" s="65"/>
    </row>
    <row r="2119" spans="4:4">
      <c r="D2119" s="65"/>
    </row>
    <row r="2120" spans="4:4">
      <c r="D2120" s="65"/>
    </row>
    <row r="2121" spans="4:4">
      <c r="D2121" s="65"/>
    </row>
    <row r="2122" spans="4:4">
      <c r="D2122" s="65"/>
    </row>
    <row r="2123" spans="4:4">
      <c r="D2123" s="65"/>
    </row>
    <row r="2124" spans="4:4">
      <c r="D2124" s="65"/>
    </row>
    <row r="2125" spans="4:4">
      <c r="D2125" s="65"/>
    </row>
    <row r="2126" spans="4:4">
      <c r="D2126" s="65"/>
    </row>
    <row r="2127" spans="4:4">
      <c r="D2127" s="65"/>
    </row>
    <row r="2128" spans="4:4">
      <c r="D2128" s="65"/>
    </row>
    <row r="2129" spans="4:4">
      <c r="D2129" s="65"/>
    </row>
    <row r="2130" spans="4:4">
      <c r="D2130" s="65"/>
    </row>
    <row r="2131" spans="4:4">
      <c r="D2131" s="65"/>
    </row>
    <row r="2132" spans="4:4">
      <c r="D2132" s="65"/>
    </row>
    <row r="2133" spans="4:4">
      <c r="D2133" s="65"/>
    </row>
    <row r="2134" spans="4:4">
      <c r="D2134" s="65"/>
    </row>
    <row r="2135" spans="4:4">
      <c r="D2135" s="65"/>
    </row>
    <row r="2136" spans="4:4">
      <c r="D2136" s="65"/>
    </row>
    <row r="2137" spans="4:4">
      <c r="D2137" s="65"/>
    </row>
    <row r="2138" spans="4:4">
      <c r="D2138" s="65"/>
    </row>
    <row r="2139" spans="4:4">
      <c r="D2139" s="65"/>
    </row>
    <row r="2140" spans="4:4">
      <c r="D2140" s="65"/>
    </row>
    <row r="2141" spans="4:4">
      <c r="D2141" s="65"/>
    </row>
    <row r="2142" spans="4:4">
      <c r="D2142" s="65"/>
    </row>
    <row r="2143" spans="4:4">
      <c r="D2143" s="65"/>
    </row>
    <row r="2144" spans="4:4">
      <c r="D2144" s="65"/>
    </row>
    <row r="2145" spans="4:4">
      <c r="D2145" s="65"/>
    </row>
    <row r="2146" spans="4:4">
      <c r="D2146" s="65"/>
    </row>
    <row r="2147" spans="4:4">
      <c r="D2147" s="65"/>
    </row>
    <row r="2148" spans="4:4">
      <c r="D2148" s="65"/>
    </row>
    <row r="2149" spans="4:4">
      <c r="D2149" s="65"/>
    </row>
    <row r="2150" spans="4:4">
      <c r="D2150" s="65"/>
    </row>
    <row r="2151" spans="4:4">
      <c r="D2151" s="65"/>
    </row>
    <row r="2152" spans="4:4">
      <c r="D2152" s="65"/>
    </row>
    <row r="2153" spans="4:4">
      <c r="D2153" s="65"/>
    </row>
    <row r="2154" spans="4:4">
      <c r="D2154" s="65"/>
    </row>
    <row r="2155" spans="4:4">
      <c r="D2155" s="65"/>
    </row>
    <row r="2156" spans="4:4">
      <c r="D2156" s="65"/>
    </row>
    <row r="2157" spans="4:4">
      <c r="D2157" s="65"/>
    </row>
    <row r="2158" spans="4:4">
      <c r="D2158" s="65"/>
    </row>
    <row r="2159" spans="4:4">
      <c r="D2159" s="65"/>
    </row>
    <row r="2160" spans="4:4">
      <c r="D2160" s="65"/>
    </row>
    <row r="2161" spans="4:4">
      <c r="D2161" s="65"/>
    </row>
    <row r="2162" spans="4:4">
      <c r="D2162" s="65"/>
    </row>
    <row r="2163" spans="4:4">
      <c r="D2163" s="65"/>
    </row>
    <row r="2164" spans="4:4">
      <c r="D2164" s="65"/>
    </row>
    <row r="2165" spans="4:4">
      <c r="D2165" s="65"/>
    </row>
    <row r="2166" spans="4:4">
      <c r="D2166" s="65"/>
    </row>
    <row r="2167" spans="4:4">
      <c r="D2167" s="65"/>
    </row>
    <row r="2168" spans="4:4">
      <c r="D2168" s="65"/>
    </row>
    <row r="2169" spans="4:4">
      <c r="D2169" s="65"/>
    </row>
    <row r="2170" spans="4:4">
      <c r="D2170" s="65"/>
    </row>
    <row r="2171" spans="4:4">
      <c r="D2171" s="65"/>
    </row>
    <row r="2172" spans="4:4">
      <c r="D2172" s="65"/>
    </row>
    <row r="2173" spans="4:4">
      <c r="D2173" s="65"/>
    </row>
    <row r="2174" spans="4:4">
      <c r="D2174" s="65"/>
    </row>
    <row r="2175" spans="4:4">
      <c r="D2175" s="65"/>
    </row>
    <row r="2176" spans="4:4">
      <c r="D2176" s="65"/>
    </row>
    <row r="2177" spans="4:4">
      <c r="D2177" s="65"/>
    </row>
    <row r="2178" spans="4:4">
      <c r="D2178" s="65"/>
    </row>
    <row r="2179" spans="4:4">
      <c r="D2179" s="65"/>
    </row>
    <row r="2180" spans="4:4">
      <c r="D2180" s="65"/>
    </row>
    <row r="2181" spans="4:4">
      <c r="D2181" s="65"/>
    </row>
    <row r="2182" spans="4:4">
      <c r="D2182" s="65"/>
    </row>
    <row r="2183" spans="4:4">
      <c r="D2183" s="65"/>
    </row>
    <row r="2184" spans="4:4">
      <c r="D2184" s="65"/>
    </row>
    <row r="2185" spans="4:4">
      <c r="D2185" s="65"/>
    </row>
    <row r="2186" spans="4:4">
      <c r="D2186" s="65"/>
    </row>
    <row r="2187" spans="4:4">
      <c r="D2187" s="65"/>
    </row>
    <row r="2188" spans="4:4">
      <c r="D2188" s="65"/>
    </row>
    <row r="2189" spans="4:4">
      <c r="D2189" s="65"/>
    </row>
    <row r="2190" spans="4:4">
      <c r="D2190" s="65"/>
    </row>
    <row r="2191" spans="4:4">
      <c r="D2191" s="65"/>
    </row>
    <row r="2192" spans="4:4">
      <c r="D2192" s="65"/>
    </row>
    <row r="2193" spans="4:4">
      <c r="D2193" s="65"/>
    </row>
    <row r="2194" spans="4:4">
      <c r="D2194" s="65"/>
    </row>
    <row r="2195" spans="4:4">
      <c r="D2195" s="65"/>
    </row>
    <row r="2196" spans="4:4">
      <c r="D2196" s="65"/>
    </row>
    <row r="2197" spans="4:4">
      <c r="D2197" s="65"/>
    </row>
    <row r="2198" spans="4:4">
      <c r="D2198" s="65"/>
    </row>
    <row r="2199" spans="4:4">
      <c r="D2199" s="65"/>
    </row>
    <row r="2200" spans="4:4">
      <c r="D2200" s="65"/>
    </row>
    <row r="2201" spans="4:4">
      <c r="D2201" s="65"/>
    </row>
    <row r="2202" spans="4:4">
      <c r="D2202" s="65"/>
    </row>
    <row r="2203" spans="4:4">
      <c r="D2203" s="65"/>
    </row>
    <row r="2204" spans="4:4">
      <c r="D2204" s="65"/>
    </row>
    <row r="2205" spans="4:4">
      <c r="D2205" s="65"/>
    </row>
    <row r="2206" spans="4:4">
      <c r="D2206" s="65"/>
    </row>
    <row r="2207" spans="4:4">
      <c r="D2207" s="65"/>
    </row>
    <row r="2208" spans="4:4">
      <c r="D2208" s="65"/>
    </row>
    <row r="2209" spans="4:4">
      <c r="D2209" s="65"/>
    </row>
    <row r="2210" spans="4:4">
      <c r="D2210" s="65"/>
    </row>
    <row r="2211" spans="4:4">
      <c r="D2211" s="65"/>
    </row>
    <row r="2212" spans="4:4">
      <c r="D2212" s="65"/>
    </row>
    <row r="2213" spans="4:4">
      <c r="D2213" s="65"/>
    </row>
    <row r="2214" spans="4:4">
      <c r="D2214" s="65"/>
    </row>
    <row r="2215" spans="4:4">
      <c r="D2215" s="65"/>
    </row>
    <row r="2216" spans="4:4">
      <c r="D2216" s="65"/>
    </row>
    <row r="2217" spans="4:4">
      <c r="D2217" s="65"/>
    </row>
    <row r="2218" spans="4:4">
      <c r="D2218" s="65"/>
    </row>
    <row r="2219" spans="4:4">
      <c r="D2219" s="65"/>
    </row>
    <row r="2220" spans="4:4">
      <c r="D2220" s="65"/>
    </row>
    <row r="2221" spans="4:4">
      <c r="D2221" s="65"/>
    </row>
    <row r="2222" spans="4:4">
      <c r="D2222" s="65"/>
    </row>
    <row r="2223" spans="4:4">
      <c r="D2223" s="65"/>
    </row>
    <row r="2224" spans="4:4">
      <c r="D2224" s="65"/>
    </row>
    <row r="2225" spans="4:4">
      <c r="D2225" s="65"/>
    </row>
    <row r="2226" spans="4:4">
      <c r="D2226" s="65"/>
    </row>
    <row r="2227" spans="4:4">
      <c r="D2227" s="65"/>
    </row>
    <row r="2228" spans="4:4">
      <c r="D2228" s="65"/>
    </row>
    <row r="2229" spans="4:4">
      <c r="D2229" s="65"/>
    </row>
    <row r="2230" spans="4:4">
      <c r="D2230" s="65"/>
    </row>
    <row r="2231" spans="4:4">
      <c r="D2231" s="65"/>
    </row>
    <row r="2232" spans="4:4">
      <c r="D2232" s="65"/>
    </row>
    <row r="2233" spans="4:4">
      <c r="D2233" s="65"/>
    </row>
    <row r="2234" spans="4:4">
      <c r="D2234" s="65"/>
    </row>
    <row r="2235" spans="4:4">
      <c r="D2235" s="65"/>
    </row>
    <row r="2236" spans="4:4">
      <c r="D2236" s="65"/>
    </row>
    <row r="2237" spans="4:4">
      <c r="D2237" s="65"/>
    </row>
    <row r="2238" spans="4:4">
      <c r="D2238" s="65"/>
    </row>
    <row r="2239" spans="4:4">
      <c r="D2239" s="65"/>
    </row>
    <row r="2240" spans="4:4">
      <c r="D2240" s="65"/>
    </row>
    <row r="2241" spans="4:4">
      <c r="D2241" s="65"/>
    </row>
    <row r="2242" spans="4:4">
      <c r="D2242" s="65"/>
    </row>
    <row r="2243" spans="4:4">
      <c r="D2243" s="65"/>
    </row>
    <row r="2244" spans="4:4">
      <c r="D2244" s="65"/>
    </row>
    <row r="2245" spans="4:4">
      <c r="D2245" s="65"/>
    </row>
    <row r="2246" spans="4:4">
      <c r="D2246" s="65"/>
    </row>
    <row r="2247" spans="4:4">
      <c r="D2247" s="65"/>
    </row>
    <row r="2248" spans="4:4">
      <c r="D2248" s="65"/>
    </row>
    <row r="2249" spans="4:4">
      <c r="D2249" s="65"/>
    </row>
    <row r="2250" spans="4:4">
      <c r="D2250" s="65"/>
    </row>
    <row r="2251" spans="4:4">
      <c r="D2251" s="65"/>
    </row>
    <row r="2252" spans="4:4">
      <c r="D2252" s="65"/>
    </row>
    <row r="2253" spans="4:4">
      <c r="D2253" s="65"/>
    </row>
    <row r="2254" spans="4:4">
      <c r="D2254" s="65"/>
    </row>
    <row r="2255" spans="4:4">
      <c r="D2255" s="65"/>
    </row>
    <row r="2256" spans="4:4">
      <c r="D2256" s="65"/>
    </row>
    <row r="2257" spans="4:4">
      <c r="D2257" s="65"/>
    </row>
    <row r="2258" spans="4:4">
      <c r="D2258" s="65"/>
    </row>
    <row r="2259" spans="4:4">
      <c r="D2259" s="65"/>
    </row>
    <row r="2260" spans="4:4">
      <c r="D2260" s="65"/>
    </row>
    <row r="2261" spans="4:4">
      <c r="D2261" s="65"/>
    </row>
    <row r="2262" spans="4:4">
      <c r="D2262" s="65"/>
    </row>
    <row r="2263" spans="4:4">
      <c r="D2263" s="65"/>
    </row>
    <row r="2264" spans="4:4">
      <c r="D2264" s="65"/>
    </row>
    <row r="2265" spans="4:4">
      <c r="D2265" s="65"/>
    </row>
    <row r="2266" spans="4:4">
      <c r="D2266" s="65"/>
    </row>
    <row r="2267" spans="4:4">
      <c r="D2267" s="65"/>
    </row>
    <row r="2268" spans="4:4">
      <c r="D2268" s="65"/>
    </row>
    <row r="2269" spans="4:4">
      <c r="D2269" s="65"/>
    </row>
    <row r="2270" spans="4:4">
      <c r="D2270" s="65"/>
    </row>
    <row r="2271" spans="4:4">
      <c r="D2271" s="65"/>
    </row>
    <row r="2272" spans="4:4">
      <c r="D2272" s="65"/>
    </row>
    <row r="2273" spans="4:4">
      <c r="D2273" s="65"/>
    </row>
    <row r="2274" spans="4:4">
      <c r="D2274" s="65"/>
    </row>
    <row r="2275" spans="4:4">
      <c r="D2275" s="65"/>
    </row>
    <row r="2276" spans="4:4">
      <c r="D2276" s="65"/>
    </row>
    <row r="2277" spans="4:4">
      <c r="D2277" s="65"/>
    </row>
    <row r="2278" spans="4:4">
      <c r="D2278" s="65"/>
    </row>
    <row r="2279" spans="4:4">
      <c r="D2279" s="65"/>
    </row>
    <row r="2280" spans="4:4">
      <c r="D2280" s="65"/>
    </row>
    <row r="2281" spans="4:4">
      <c r="D2281" s="65"/>
    </row>
    <row r="2282" spans="4:4">
      <c r="D2282" s="65"/>
    </row>
    <row r="2283" spans="4:4">
      <c r="D2283" s="65"/>
    </row>
    <row r="2284" spans="4:4">
      <c r="D2284" s="65"/>
    </row>
    <row r="2285" spans="4:4">
      <c r="D2285" s="65"/>
    </row>
    <row r="2286" spans="4:4">
      <c r="D2286" s="65"/>
    </row>
    <row r="2287" spans="4:4">
      <c r="D2287" s="65"/>
    </row>
    <row r="2288" spans="4:4">
      <c r="D2288" s="65"/>
    </row>
    <row r="2289" spans="4:4">
      <c r="D2289" s="65"/>
    </row>
    <row r="2290" spans="4:4">
      <c r="D2290" s="65"/>
    </row>
    <row r="2291" spans="4:4">
      <c r="D2291" s="65"/>
    </row>
    <row r="2292" spans="4:4">
      <c r="D2292" s="65"/>
    </row>
    <row r="2293" spans="4:4">
      <c r="D2293" s="65"/>
    </row>
    <row r="2294" spans="4:4">
      <c r="D2294" s="65"/>
    </row>
    <row r="2295" spans="4:4">
      <c r="D2295" s="65"/>
    </row>
    <row r="2296" spans="4:4">
      <c r="D2296" s="65"/>
    </row>
    <row r="2297" spans="4:4">
      <c r="D2297" s="65"/>
    </row>
    <row r="2298" spans="4:4">
      <c r="D2298" s="65"/>
    </row>
    <row r="2299" spans="4:4">
      <c r="D2299" s="65"/>
    </row>
    <row r="2300" spans="4:4">
      <c r="D2300" s="65"/>
    </row>
    <row r="2301" spans="4:4">
      <c r="D2301" s="65"/>
    </row>
    <row r="2302" spans="4:4">
      <c r="D2302" s="65"/>
    </row>
    <row r="2303" spans="4:4">
      <c r="D2303" s="65"/>
    </row>
    <row r="2304" spans="4:4">
      <c r="D2304" s="65"/>
    </row>
    <row r="2305" spans="4:4">
      <c r="D2305" s="65"/>
    </row>
    <row r="2306" spans="4:4">
      <c r="D2306" s="65"/>
    </row>
    <row r="2307" spans="4:4">
      <c r="D2307" s="65"/>
    </row>
    <row r="2308" spans="4:4">
      <c r="D2308" s="65"/>
    </row>
    <row r="2309" spans="4:4">
      <c r="D2309" s="65"/>
    </row>
    <row r="2310" spans="4:4">
      <c r="D2310" s="65"/>
    </row>
    <row r="2311" spans="4:4">
      <c r="D2311" s="65"/>
    </row>
    <row r="2312" spans="4:4">
      <c r="D2312" s="65"/>
    </row>
    <row r="2313" spans="4:4">
      <c r="D2313" s="65"/>
    </row>
    <row r="2314" spans="4:4">
      <c r="D2314" s="65"/>
    </row>
    <row r="2315" spans="4:4">
      <c r="D2315" s="65"/>
    </row>
    <row r="2316" spans="4:4">
      <c r="D2316" s="65"/>
    </row>
    <row r="2317" spans="4:4">
      <c r="D2317" s="65"/>
    </row>
    <row r="2318" spans="4:4">
      <c r="D2318" s="65"/>
    </row>
    <row r="2319" spans="4:4">
      <c r="D2319" s="65"/>
    </row>
    <row r="2320" spans="4:4">
      <c r="D2320" s="65"/>
    </row>
    <row r="2321" spans="4:4">
      <c r="D2321" s="65"/>
    </row>
    <row r="2322" spans="4:4">
      <c r="D2322" s="65"/>
    </row>
    <row r="2323" spans="4:4">
      <c r="D2323" s="65"/>
    </row>
    <row r="2324" spans="4:4">
      <c r="D2324" s="65"/>
    </row>
    <row r="2325" spans="4:4">
      <c r="D2325" s="65"/>
    </row>
    <row r="2326" spans="4:4">
      <c r="D2326" s="65"/>
    </row>
    <row r="2327" spans="4:4">
      <c r="D2327" s="65"/>
    </row>
    <row r="2328" spans="4:4">
      <c r="D2328" s="65"/>
    </row>
    <row r="2329" spans="4:4">
      <c r="D2329" s="65"/>
    </row>
    <row r="2330" spans="4:4">
      <c r="D2330" s="65"/>
    </row>
    <row r="2331" spans="4:4">
      <c r="D2331" s="65"/>
    </row>
    <row r="2332" spans="4:4">
      <c r="D2332" s="65"/>
    </row>
    <row r="2333" spans="4:4">
      <c r="D2333" s="65"/>
    </row>
    <row r="2334" spans="4:4">
      <c r="D2334" s="65"/>
    </row>
    <row r="2335" spans="4:4">
      <c r="D2335" s="65"/>
    </row>
    <row r="2336" spans="4:4">
      <c r="D2336" s="65"/>
    </row>
    <row r="2337" spans="4:4">
      <c r="D2337" s="65"/>
    </row>
    <row r="2338" spans="4:4">
      <c r="D2338" s="65"/>
    </row>
    <row r="2339" spans="4:4">
      <c r="D2339" s="65"/>
    </row>
    <row r="2340" spans="4:4">
      <c r="D2340" s="65"/>
    </row>
    <row r="2341" spans="4:4">
      <c r="D2341" s="65"/>
    </row>
    <row r="2342" spans="4:4">
      <c r="D2342" s="65"/>
    </row>
    <row r="2343" spans="4:4">
      <c r="D2343" s="65"/>
    </row>
    <row r="2344" spans="4:4">
      <c r="D2344" s="65"/>
    </row>
    <row r="2345" spans="4:4">
      <c r="D2345" s="65"/>
    </row>
    <row r="2346" spans="4:4">
      <c r="D2346" s="65"/>
    </row>
    <row r="2347" spans="4:4">
      <c r="D2347" s="65"/>
    </row>
    <row r="2348" spans="4:4">
      <c r="D2348" s="65"/>
    </row>
    <row r="2349" spans="4:4">
      <c r="D2349" s="65"/>
    </row>
    <row r="2350" spans="4:4">
      <c r="D2350" s="65"/>
    </row>
    <row r="2351" spans="4:4">
      <c r="D2351" s="65"/>
    </row>
    <row r="2352" spans="4:4">
      <c r="D2352" s="65"/>
    </row>
    <row r="2353" spans="4:4">
      <c r="D2353" s="65"/>
    </row>
    <row r="2354" spans="4:4">
      <c r="D2354" s="65"/>
    </row>
    <row r="2355" spans="4:4">
      <c r="D2355" s="65"/>
    </row>
    <row r="2356" spans="4:4">
      <c r="D2356" s="65"/>
    </row>
    <row r="2357" spans="4:4">
      <c r="D2357" s="65"/>
    </row>
    <row r="2358" spans="4:4">
      <c r="D2358" s="65"/>
    </row>
    <row r="2359" spans="4:4">
      <c r="D2359" s="65"/>
    </row>
    <row r="2360" spans="4:4">
      <c r="D2360" s="65"/>
    </row>
    <row r="2361" spans="4:4">
      <c r="D2361" s="65"/>
    </row>
    <row r="2362" spans="4:4">
      <c r="D2362" s="65"/>
    </row>
    <row r="2363" spans="4:4">
      <c r="D2363" s="65"/>
    </row>
    <row r="2364" spans="4:4">
      <c r="D2364" s="65"/>
    </row>
    <row r="2365" spans="4:4">
      <c r="D2365" s="65"/>
    </row>
    <row r="2366" spans="4:4">
      <c r="D2366" s="65"/>
    </row>
    <row r="2367" spans="4:4">
      <c r="D2367" s="65"/>
    </row>
    <row r="2368" spans="4:4">
      <c r="D2368" s="65"/>
    </row>
    <row r="2369" spans="4:4">
      <c r="D2369" s="65"/>
    </row>
    <row r="2370" spans="4:4">
      <c r="D2370" s="65"/>
    </row>
    <row r="2371" spans="4:4">
      <c r="D2371" s="65"/>
    </row>
    <row r="2372" spans="4:4">
      <c r="D2372" s="65"/>
    </row>
    <row r="2373" spans="4:4">
      <c r="D2373" s="65"/>
    </row>
    <row r="2374" spans="4:4">
      <c r="D2374" s="65"/>
    </row>
    <row r="2375" spans="4:4">
      <c r="D2375" s="65"/>
    </row>
    <row r="2376" spans="4:4">
      <c r="D2376" s="65"/>
    </row>
    <row r="2377" spans="4:4">
      <c r="D2377" s="65"/>
    </row>
    <row r="2378" spans="4:4">
      <c r="D2378" s="65"/>
    </row>
    <row r="2379" spans="4:4">
      <c r="D2379" s="65"/>
    </row>
    <row r="2380" spans="4:4">
      <c r="D2380" s="65"/>
    </row>
    <row r="2381" spans="4:4">
      <c r="D2381" s="65"/>
    </row>
    <row r="2382" spans="4:4">
      <c r="D2382" s="65"/>
    </row>
    <row r="2383" spans="4:4">
      <c r="D2383" s="65"/>
    </row>
    <row r="2384" spans="4:4">
      <c r="D2384" s="65"/>
    </row>
    <row r="2385" spans="4:4">
      <c r="D2385" s="65"/>
    </row>
    <row r="2386" spans="4:4">
      <c r="D2386" s="65"/>
    </row>
    <row r="2387" spans="4:4">
      <c r="D2387" s="65"/>
    </row>
    <row r="2388" spans="4:4">
      <c r="D2388" s="65"/>
    </row>
    <row r="2389" spans="4:4">
      <c r="D2389" s="65"/>
    </row>
    <row r="2390" spans="4:4">
      <c r="D2390" s="65"/>
    </row>
    <row r="2391" spans="4:4">
      <c r="D2391" s="65"/>
    </row>
    <row r="2392" spans="4:4">
      <c r="D2392" s="65"/>
    </row>
    <row r="2393" spans="4:4">
      <c r="D2393" s="65"/>
    </row>
    <row r="2394" spans="4:4">
      <c r="D2394" s="65"/>
    </row>
    <row r="2395" spans="4:4">
      <c r="D2395" s="65"/>
    </row>
    <row r="2396" spans="4:4">
      <c r="D2396" s="65"/>
    </row>
    <row r="2397" spans="4:4">
      <c r="D2397" s="65"/>
    </row>
    <row r="2398" spans="4:4">
      <c r="D2398" s="65"/>
    </row>
    <row r="2399" spans="4:4">
      <c r="D2399" s="65"/>
    </row>
    <row r="2400" spans="4:4">
      <c r="D2400" s="65"/>
    </row>
    <row r="2401" spans="4:4">
      <c r="D2401" s="65"/>
    </row>
    <row r="2402" spans="4:4">
      <c r="D2402" s="65"/>
    </row>
    <row r="2403" spans="4:4">
      <c r="D2403" s="65"/>
    </row>
    <row r="2404" spans="4:4">
      <c r="D2404" s="65"/>
    </row>
    <row r="2405" spans="4:4">
      <c r="D2405" s="65"/>
    </row>
    <row r="2406" spans="4:4">
      <c r="D2406" s="65"/>
    </row>
    <row r="2407" spans="4:4">
      <c r="D2407" s="65"/>
    </row>
    <row r="2408" spans="4:4">
      <c r="D2408" s="65"/>
    </row>
    <row r="2409" spans="4:4">
      <c r="D2409" s="65"/>
    </row>
    <row r="2410" spans="4:4">
      <c r="D2410" s="65"/>
    </row>
    <row r="2411" spans="4:4">
      <c r="D2411" s="65"/>
    </row>
    <row r="2412" spans="4:4">
      <c r="D2412" s="65"/>
    </row>
    <row r="2413" spans="4:4">
      <c r="D2413" s="65"/>
    </row>
    <row r="2414" spans="4:4">
      <c r="D2414" s="65"/>
    </row>
    <row r="2415" spans="4:4">
      <c r="D2415" s="65"/>
    </row>
    <row r="2416" spans="4:4">
      <c r="D2416" s="65"/>
    </row>
    <row r="2417" spans="4:4">
      <c r="D2417" s="65"/>
    </row>
    <row r="2418" spans="4:4">
      <c r="D2418" s="65"/>
    </row>
    <row r="2419" spans="4:4">
      <c r="D2419" s="65"/>
    </row>
    <row r="2420" spans="4:4">
      <c r="D2420" s="65"/>
    </row>
    <row r="2421" spans="4:4">
      <c r="D2421" s="65"/>
    </row>
    <row r="2422" spans="4:4">
      <c r="D2422" s="65"/>
    </row>
    <row r="2423" spans="4:4">
      <c r="D2423" s="65"/>
    </row>
    <row r="2424" spans="4:4">
      <c r="D2424" s="65"/>
    </row>
    <row r="2425" spans="4:4">
      <c r="D2425" s="65"/>
    </row>
    <row r="2426" spans="4:4">
      <c r="D2426" s="65"/>
    </row>
    <row r="2427" spans="4:4">
      <c r="D2427" s="65"/>
    </row>
    <row r="2428" spans="4:4">
      <c r="D2428" s="65"/>
    </row>
    <row r="2429" spans="4:4">
      <c r="D2429" s="65"/>
    </row>
    <row r="2430" spans="4:4">
      <c r="D2430" s="65"/>
    </row>
    <row r="2431" spans="4:4">
      <c r="D2431" s="65"/>
    </row>
    <row r="2432" spans="4:4">
      <c r="D2432" s="65"/>
    </row>
    <row r="2433" spans="4:4">
      <c r="D2433" s="65"/>
    </row>
    <row r="2434" spans="4:4">
      <c r="D2434" s="65"/>
    </row>
    <row r="2435" spans="4:4">
      <c r="D2435" s="65"/>
    </row>
    <row r="2436" spans="4:4">
      <c r="D2436" s="65"/>
    </row>
    <row r="2437" spans="4:4">
      <c r="D2437" s="65"/>
    </row>
    <row r="2438" spans="4:4">
      <c r="D2438" s="65"/>
    </row>
    <row r="2439" spans="4:4">
      <c r="D2439" s="65"/>
    </row>
    <row r="2440" spans="4:4">
      <c r="D2440" s="65"/>
    </row>
    <row r="2441" spans="4:4">
      <c r="D2441" s="65"/>
    </row>
    <row r="2442" spans="4:4">
      <c r="D2442" s="65"/>
    </row>
    <row r="2443" spans="4:4">
      <c r="D2443" s="65"/>
    </row>
    <row r="2444" spans="4:4">
      <c r="D2444" s="65"/>
    </row>
    <row r="2445" spans="4:4">
      <c r="D2445" s="65"/>
    </row>
    <row r="2446" spans="4:4">
      <c r="D2446" s="65"/>
    </row>
    <row r="2447" spans="4:4">
      <c r="D2447" s="65"/>
    </row>
    <row r="2448" spans="4:4">
      <c r="D2448" s="65"/>
    </row>
    <row r="2449" spans="4:4">
      <c r="D2449" s="65"/>
    </row>
    <row r="2450" spans="4:4">
      <c r="D2450" s="65"/>
    </row>
    <row r="2451" spans="4:4">
      <c r="D2451" s="65"/>
    </row>
    <row r="2452" spans="4:4">
      <c r="D2452" s="65"/>
    </row>
    <row r="2453" spans="4:4">
      <c r="D2453" s="65"/>
    </row>
    <row r="2454" spans="4:4">
      <c r="D2454" s="65"/>
    </row>
    <row r="2455" spans="4:4">
      <c r="D2455" s="65"/>
    </row>
    <row r="2456" spans="4:4">
      <c r="D2456" s="65"/>
    </row>
    <row r="2457" spans="4:4">
      <c r="D2457" s="65"/>
    </row>
    <row r="2458" spans="4:4">
      <c r="D2458" s="65"/>
    </row>
    <row r="2459" spans="4:4">
      <c r="D2459" s="65"/>
    </row>
    <row r="2460" spans="4:4">
      <c r="D2460" s="65"/>
    </row>
    <row r="2461" spans="4:4">
      <c r="D2461" s="65"/>
    </row>
    <row r="2462" spans="4:4">
      <c r="D2462" s="65"/>
    </row>
    <row r="2463" spans="4:4">
      <c r="D2463" s="65"/>
    </row>
    <row r="2464" spans="4:4">
      <c r="D2464" s="65"/>
    </row>
    <row r="2465" spans="4:4">
      <c r="D2465" s="65"/>
    </row>
    <row r="2466" spans="4:4">
      <c r="D2466" s="65"/>
    </row>
    <row r="2467" spans="4:4">
      <c r="D2467" s="65"/>
    </row>
    <row r="2468" spans="4:4">
      <c r="D2468" s="65"/>
    </row>
    <row r="2469" spans="4:4">
      <c r="D2469" s="65"/>
    </row>
    <row r="2470" spans="4:4">
      <c r="D2470" s="65"/>
    </row>
    <row r="2471" spans="4:4">
      <c r="D2471" s="65"/>
    </row>
    <row r="2472" spans="4:4">
      <c r="D2472" s="65"/>
    </row>
    <row r="2473" spans="4:4">
      <c r="D2473" s="65"/>
    </row>
    <row r="2474" spans="4:4">
      <c r="D2474" s="65"/>
    </row>
    <row r="2475" spans="4:4">
      <c r="D2475" s="65"/>
    </row>
    <row r="2476" spans="4:4">
      <c r="D2476" s="65"/>
    </row>
    <row r="2477" spans="4:4">
      <c r="D2477" s="65"/>
    </row>
    <row r="2478" spans="4:4">
      <c r="D2478" s="65"/>
    </row>
    <row r="2479" spans="4:4">
      <c r="D2479" s="65"/>
    </row>
    <row r="2480" spans="4:4">
      <c r="D2480" s="65"/>
    </row>
    <row r="2481" spans="4:4">
      <c r="D2481" s="65"/>
    </row>
    <row r="2482" spans="4:4">
      <c r="D2482" s="65"/>
    </row>
    <row r="2483" spans="4:4">
      <c r="D2483" s="65"/>
    </row>
    <row r="2484" spans="4:4">
      <c r="D2484" s="65"/>
    </row>
    <row r="2485" spans="4:4">
      <c r="D2485" s="65"/>
    </row>
    <row r="2486" spans="4:4">
      <c r="D2486" s="65"/>
    </row>
    <row r="2487" spans="4:4">
      <c r="D2487" s="65"/>
    </row>
    <row r="2488" spans="4:4">
      <c r="D2488" s="65"/>
    </row>
    <row r="2489" spans="4:4">
      <c r="D2489" s="65"/>
    </row>
    <row r="2490" spans="4:4">
      <c r="D2490" s="65"/>
    </row>
    <row r="2491" spans="4:4">
      <c r="D2491" s="65"/>
    </row>
    <row r="2492" spans="4:4">
      <c r="D2492" s="65"/>
    </row>
    <row r="2493" spans="4:4">
      <c r="D2493" s="65"/>
    </row>
    <row r="2494" spans="4:4">
      <c r="D2494" s="65"/>
    </row>
    <row r="2495" spans="4:4">
      <c r="D2495" s="65"/>
    </row>
    <row r="2496" spans="4:4">
      <c r="D2496" s="65"/>
    </row>
    <row r="2497" spans="4:4">
      <c r="D2497" s="65"/>
    </row>
    <row r="2498" spans="4:4">
      <c r="D2498" s="65"/>
    </row>
    <row r="2499" spans="4:4">
      <c r="D2499" s="65"/>
    </row>
    <row r="2500" spans="4:4">
      <c r="D2500" s="65"/>
    </row>
    <row r="2501" spans="4:4">
      <c r="D2501" s="65"/>
    </row>
    <row r="2502" spans="4:4">
      <c r="D2502" s="65"/>
    </row>
    <row r="2503" spans="4:4">
      <c r="D2503" s="65"/>
    </row>
    <row r="2504" spans="4:4">
      <c r="D2504" s="65"/>
    </row>
    <row r="2505" spans="4:4">
      <c r="D2505" s="65"/>
    </row>
    <row r="2506" spans="4:4">
      <c r="D2506" s="65"/>
    </row>
    <row r="2507" spans="4:4">
      <c r="D2507" s="65"/>
    </row>
    <row r="2508" spans="4:4">
      <c r="D2508" s="65"/>
    </row>
    <row r="2509" spans="4:4">
      <c r="D2509" s="65"/>
    </row>
    <row r="2510" spans="4:4">
      <c r="D2510" s="65"/>
    </row>
    <row r="2511" spans="4:4">
      <c r="D2511" s="65"/>
    </row>
    <row r="2512" spans="4:4">
      <c r="D2512" s="65"/>
    </row>
    <row r="2513" spans="4:4">
      <c r="D2513" s="65"/>
    </row>
    <row r="2514" spans="4:4">
      <c r="D2514" s="65"/>
    </row>
    <row r="2515" spans="4:4">
      <c r="D2515" s="65"/>
    </row>
    <row r="2516" spans="4:4">
      <c r="D2516" s="65"/>
    </row>
    <row r="2517" spans="4:4">
      <c r="D2517" s="65"/>
    </row>
    <row r="2518" spans="4:4">
      <c r="D2518" s="65"/>
    </row>
    <row r="2519" spans="4:4">
      <c r="D2519" s="65"/>
    </row>
    <row r="2520" spans="4:4">
      <c r="D2520" s="65"/>
    </row>
    <row r="2521" spans="4:4">
      <c r="D2521" s="65"/>
    </row>
    <row r="2522" spans="4:4">
      <c r="D2522" s="65"/>
    </row>
    <row r="2523" spans="4:4">
      <c r="D2523" s="65"/>
    </row>
    <row r="2524" spans="4:4">
      <c r="D2524" s="65"/>
    </row>
    <row r="2525" spans="4:4">
      <c r="D2525" s="65"/>
    </row>
    <row r="2526" spans="4:4">
      <c r="D2526" s="65"/>
    </row>
    <row r="2527" spans="4:4">
      <c r="D2527" s="65"/>
    </row>
    <row r="2528" spans="4:4">
      <c r="D2528" s="65"/>
    </row>
    <row r="2529" spans="4:4">
      <c r="D2529" s="65"/>
    </row>
    <row r="2530" spans="4:4">
      <c r="D2530" s="65"/>
    </row>
    <row r="2531" spans="4:4">
      <c r="D2531" s="65"/>
    </row>
    <row r="2532" spans="4:4">
      <c r="D2532" s="65"/>
    </row>
    <row r="2533" spans="4:4">
      <c r="D2533" s="65"/>
    </row>
    <row r="2534" spans="4:4">
      <c r="D2534" s="65"/>
    </row>
    <row r="2535" spans="4:4">
      <c r="D2535" s="65"/>
    </row>
    <row r="2536" spans="4:4">
      <c r="D2536" s="65"/>
    </row>
    <row r="2537" spans="4:4">
      <c r="D2537" s="65"/>
    </row>
    <row r="2538" spans="4:4">
      <c r="D2538" s="65"/>
    </row>
    <row r="2539" spans="4:4">
      <c r="D2539" s="65"/>
    </row>
    <row r="2540" spans="4:4">
      <c r="D2540" s="65"/>
    </row>
    <row r="2541" spans="4:4">
      <c r="D2541" s="65"/>
    </row>
    <row r="2542" spans="4:4">
      <c r="D2542" s="65"/>
    </row>
    <row r="2543" spans="4:4">
      <c r="D2543" s="65"/>
    </row>
    <row r="2544" spans="4:4">
      <c r="D2544" s="65"/>
    </row>
    <row r="2545" spans="4:4">
      <c r="D2545" s="65"/>
    </row>
    <row r="2546" spans="4:4">
      <c r="D2546" s="65"/>
    </row>
    <row r="2547" spans="4:4">
      <c r="D2547" s="65"/>
    </row>
    <row r="2548" spans="4:4">
      <c r="D2548" s="65"/>
    </row>
    <row r="2549" spans="4:4">
      <c r="D2549" s="65"/>
    </row>
    <row r="2550" spans="4:4">
      <c r="D2550" s="65"/>
    </row>
    <row r="2551" spans="4:4">
      <c r="D2551" s="65"/>
    </row>
    <row r="2552" spans="4:4">
      <c r="D2552" s="65"/>
    </row>
    <row r="2553" spans="4:4">
      <c r="D2553" s="65"/>
    </row>
    <row r="2554" spans="4:4">
      <c r="D2554" s="65"/>
    </row>
    <row r="2555" spans="4:4">
      <c r="D2555" s="65"/>
    </row>
    <row r="2556" spans="4:4">
      <c r="D2556" s="65"/>
    </row>
    <row r="2557" spans="4:4">
      <c r="D2557" s="65"/>
    </row>
    <row r="2558" spans="4:4">
      <c r="D2558" s="65"/>
    </row>
    <row r="2559" spans="4:4">
      <c r="D2559" s="65"/>
    </row>
    <row r="2560" spans="4:4">
      <c r="D2560" s="65"/>
    </row>
    <row r="2561" spans="4:4">
      <c r="D2561" s="65"/>
    </row>
    <row r="2562" spans="4:4">
      <c r="D2562" s="65"/>
    </row>
    <row r="2563" spans="4:4">
      <c r="D2563" s="65"/>
    </row>
    <row r="2564" spans="4:4">
      <c r="D2564" s="65"/>
    </row>
    <row r="2565" spans="4:4">
      <c r="D2565" s="65"/>
    </row>
    <row r="2566" spans="4:4">
      <c r="D2566" s="65"/>
    </row>
    <row r="2567" spans="4:4">
      <c r="D2567" s="65"/>
    </row>
    <row r="2568" spans="4:4">
      <c r="D2568" s="65"/>
    </row>
    <row r="2569" spans="4:4">
      <c r="D2569" s="65"/>
    </row>
    <row r="2570" spans="4:4">
      <c r="D2570" s="65"/>
    </row>
    <row r="2571" spans="4:4">
      <c r="D2571" s="65"/>
    </row>
    <row r="2572" spans="4:4">
      <c r="D2572" s="65"/>
    </row>
    <row r="2573" spans="4:4">
      <c r="D2573" s="65"/>
    </row>
    <row r="2574" spans="4:4">
      <c r="D2574" s="65"/>
    </row>
    <row r="2575" spans="4:4">
      <c r="D2575" s="65"/>
    </row>
    <row r="2576" spans="4:4">
      <c r="D2576" s="65"/>
    </row>
    <row r="2577" spans="4:4">
      <c r="D2577" s="65"/>
    </row>
    <row r="2578" spans="4:4">
      <c r="D2578" s="65"/>
    </row>
    <row r="2579" spans="4:4">
      <c r="D2579" s="65"/>
    </row>
    <row r="2580" spans="4:4">
      <c r="D2580" s="65"/>
    </row>
    <row r="2581" spans="4:4">
      <c r="D2581" s="65"/>
    </row>
    <row r="2582" spans="4:4">
      <c r="D2582" s="65"/>
    </row>
    <row r="2583" spans="4:4">
      <c r="D2583" s="65"/>
    </row>
    <row r="2584" spans="4:4">
      <c r="D2584" s="65"/>
    </row>
    <row r="2585" spans="4:4">
      <c r="D2585" s="65"/>
    </row>
    <row r="2586" spans="4:4">
      <c r="D2586" s="65"/>
    </row>
    <row r="2587" spans="4:4">
      <c r="D2587" s="65"/>
    </row>
    <row r="2588" spans="4:4">
      <c r="D2588" s="65"/>
    </row>
    <row r="2589" spans="4:4">
      <c r="D2589" s="65"/>
    </row>
    <row r="2590" spans="4:4">
      <c r="D2590" s="65"/>
    </row>
    <row r="2591" spans="4:4">
      <c r="D2591" s="65"/>
    </row>
    <row r="2592" spans="4:4">
      <c r="D2592" s="65"/>
    </row>
    <row r="2593" spans="4:4">
      <c r="D2593" s="65"/>
    </row>
    <row r="2594" spans="4:4">
      <c r="D2594" s="65"/>
    </row>
    <row r="2595" spans="4:4">
      <c r="D2595" s="65"/>
    </row>
    <row r="2596" spans="4:4">
      <c r="D2596" s="65"/>
    </row>
    <row r="2597" spans="4:4">
      <c r="D2597" s="65"/>
    </row>
    <row r="2598" spans="4:4">
      <c r="D2598" s="65"/>
    </row>
    <row r="2599" spans="4:4">
      <c r="D2599" s="65"/>
    </row>
    <row r="2600" spans="4:4">
      <c r="D2600" s="65"/>
    </row>
    <row r="2601" spans="4:4">
      <c r="D2601" s="65"/>
    </row>
    <row r="2602" spans="4:4">
      <c r="D2602" s="65"/>
    </row>
    <row r="2603" spans="4:4">
      <c r="D2603" s="65"/>
    </row>
    <row r="2604" spans="4:4">
      <c r="D2604" s="65"/>
    </row>
    <row r="2605" spans="4:4">
      <c r="D2605" s="65"/>
    </row>
    <row r="2606" spans="4:4">
      <c r="D2606" s="65"/>
    </row>
    <row r="2607" spans="4:4">
      <c r="D2607" s="65"/>
    </row>
    <row r="2608" spans="4:4">
      <c r="D2608" s="65"/>
    </row>
    <row r="2609" spans="4:4">
      <c r="D2609" s="65"/>
    </row>
    <row r="2610" spans="4:4">
      <c r="D2610" s="65"/>
    </row>
    <row r="2611" spans="4:4">
      <c r="D2611" s="65"/>
    </row>
    <row r="2612" spans="4:4">
      <c r="D2612" s="65"/>
    </row>
    <row r="2613" spans="4:4">
      <c r="D2613" s="65"/>
    </row>
    <row r="2614" spans="4:4">
      <c r="D2614" s="65"/>
    </row>
    <row r="2615" spans="4:4">
      <c r="D2615" s="65"/>
    </row>
    <row r="2616" spans="4:4">
      <c r="D2616" s="65"/>
    </row>
    <row r="2617" spans="4:4">
      <c r="D2617" s="65"/>
    </row>
    <row r="2618" spans="4:4">
      <c r="D2618" s="65"/>
    </row>
    <row r="2619" spans="4:4">
      <c r="D2619" s="65"/>
    </row>
    <row r="2620" spans="4:4">
      <c r="D2620" s="65"/>
    </row>
    <row r="2621" spans="4:4">
      <c r="D2621" s="65"/>
    </row>
    <row r="2622" spans="4:4">
      <c r="D2622" s="65"/>
    </row>
    <row r="2623" spans="4:4">
      <c r="D2623" s="65"/>
    </row>
    <row r="2624" spans="4:4">
      <c r="D2624" s="65"/>
    </row>
    <row r="2625" spans="4:4">
      <c r="D2625" s="65"/>
    </row>
    <row r="2626" spans="4:4">
      <c r="D2626" s="65"/>
    </row>
    <row r="2627" spans="4:4">
      <c r="D2627" s="65"/>
    </row>
    <row r="2628" spans="4:4">
      <c r="D2628" s="65"/>
    </row>
    <row r="2629" spans="4:4">
      <c r="D2629" s="65"/>
    </row>
    <row r="2630" spans="4:4">
      <c r="D2630" s="65"/>
    </row>
    <row r="2631" spans="4:4">
      <c r="D2631" s="65"/>
    </row>
    <row r="2632" spans="4:4">
      <c r="D2632" s="65"/>
    </row>
    <row r="2633" spans="4:4">
      <c r="D2633" s="65"/>
    </row>
    <row r="2634" spans="4:4">
      <c r="D2634" s="65"/>
    </row>
    <row r="2635" spans="4:4">
      <c r="D2635" s="65"/>
    </row>
    <row r="2636" spans="4:4">
      <c r="D2636" s="65"/>
    </row>
    <row r="2637" spans="4:4">
      <c r="D2637" s="65"/>
    </row>
    <row r="2638" spans="4:4">
      <c r="D2638" s="65"/>
    </row>
    <row r="2639" spans="4:4">
      <c r="D2639" s="65"/>
    </row>
    <row r="2640" spans="4:4">
      <c r="D2640" s="65"/>
    </row>
    <row r="2641" spans="4:4">
      <c r="D2641" s="65"/>
    </row>
    <row r="2642" spans="4:4">
      <c r="D2642" s="65"/>
    </row>
    <row r="2643" spans="4:4">
      <c r="D2643" s="65"/>
    </row>
    <row r="2644" spans="4:4">
      <c r="D2644" s="65"/>
    </row>
    <row r="2645" spans="4:4">
      <c r="D2645" s="65"/>
    </row>
    <row r="2646" spans="4:4">
      <c r="D2646" s="65"/>
    </row>
    <row r="2647" spans="4:4">
      <c r="D2647" s="65"/>
    </row>
    <row r="2648" spans="4:4">
      <c r="D2648" s="65"/>
    </row>
    <row r="2649" spans="4:4">
      <c r="D2649" s="65"/>
    </row>
    <row r="2650" spans="4:4">
      <c r="D2650" s="65"/>
    </row>
    <row r="2651" spans="4:4">
      <c r="D2651" s="65"/>
    </row>
    <row r="2652" spans="4:4">
      <c r="D2652" s="65"/>
    </row>
    <row r="2653" spans="4:4">
      <c r="D2653" s="65"/>
    </row>
    <row r="2654" spans="4:4">
      <c r="D2654" s="65"/>
    </row>
    <row r="2655" spans="4:4">
      <c r="D2655" s="65"/>
    </row>
    <row r="2656" spans="4:4">
      <c r="D2656" s="65"/>
    </row>
    <row r="2657" spans="4:4">
      <c r="D2657" s="65"/>
    </row>
    <row r="2658" spans="4:4">
      <c r="D2658" s="65"/>
    </row>
    <row r="2659" spans="4:4">
      <c r="D2659" s="65"/>
    </row>
    <row r="2660" spans="4:4">
      <c r="D2660" s="65"/>
    </row>
    <row r="2661" spans="4:4">
      <c r="D2661" s="65"/>
    </row>
    <row r="2662" spans="4:4">
      <c r="D2662" s="65"/>
    </row>
    <row r="2663" spans="4:4">
      <c r="D2663" s="65"/>
    </row>
    <row r="2664" spans="4:4">
      <c r="D2664" s="65"/>
    </row>
    <row r="2665" spans="4:4">
      <c r="D2665" s="65"/>
    </row>
    <row r="2666" spans="4:4">
      <c r="D2666" s="65"/>
    </row>
    <row r="2667" spans="4:4">
      <c r="D2667" s="65"/>
    </row>
    <row r="2668" spans="4:4">
      <c r="D2668" s="65"/>
    </row>
    <row r="2669" spans="4:4">
      <c r="D2669" s="65"/>
    </row>
    <row r="2670" spans="4:4">
      <c r="D2670" s="65"/>
    </row>
    <row r="2671" spans="4:4">
      <c r="D2671" s="65"/>
    </row>
    <row r="2672" spans="4:4">
      <c r="D2672" s="65"/>
    </row>
    <row r="2673" spans="4:4">
      <c r="D2673" s="65"/>
    </row>
    <row r="2674" spans="4:4">
      <c r="D2674" s="65"/>
    </row>
    <row r="2675" spans="4:4">
      <c r="D2675" s="65"/>
    </row>
    <row r="2676" spans="4:4">
      <c r="D2676" s="65"/>
    </row>
    <row r="2677" spans="4:4">
      <c r="D2677" s="65"/>
    </row>
    <row r="2678" spans="4:4">
      <c r="D2678" s="65"/>
    </row>
    <row r="2679" spans="4:4">
      <c r="D2679" s="65"/>
    </row>
    <row r="2680" spans="4:4">
      <c r="D2680" s="65"/>
    </row>
    <row r="2681" spans="4:4">
      <c r="D2681" s="65"/>
    </row>
    <row r="2682" spans="4:4">
      <c r="D2682" s="65"/>
    </row>
    <row r="2683" spans="4:4">
      <c r="D2683" s="65"/>
    </row>
    <row r="2684" spans="4:4">
      <c r="D2684" s="65"/>
    </row>
    <row r="2685" spans="4:4">
      <c r="D2685" s="65"/>
    </row>
    <row r="2686" spans="4:4">
      <c r="D2686" s="65"/>
    </row>
    <row r="2687" spans="4:4">
      <c r="D2687" s="65"/>
    </row>
    <row r="2688" spans="4:4">
      <c r="D2688" s="65"/>
    </row>
    <row r="2689" spans="4:4">
      <c r="D2689" s="65"/>
    </row>
    <row r="2690" spans="4:4">
      <c r="D2690" s="65"/>
    </row>
    <row r="2691" spans="4:4">
      <c r="D2691" s="65"/>
    </row>
    <row r="2692" spans="4:4">
      <c r="D2692" s="65"/>
    </row>
    <row r="2693" spans="4:4">
      <c r="D2693" s="65"/>
    </row>
    <row r="2694" spans="4:4">
      <c r="D2694" s="65"/>
    </row>
    <row r="2695" spans="4:4">
      <c r="D2695" s="65"/>
    </row>
    <row r="2696" spans="4:4">
      <c r="D2696" s="65"/>
    </row>
    <row r="2697" spans="4:4">
      <c r="D2697" s="65"/>
    </row>
    <row r="2698" spans="4:4">
      <c r="D2698" s="65"/>
    </row>
    <row r="2699" spans="4:4">
      <c r="D2699" s="65"/>
    </row>
    <row r="2700" spans="4:4">
      <c r="D2700" s="65"/>
    </row>
    <row r="2701" spans="4:4">
      <c r="D2701" s="65"/>
    </row>
    <row r="2702" spans="4:4">
      <c r="D2702" s="65"/>
    </row>
    <row r="2703" spans="4:4">
      <c r="D2703" s="65"/>
    </row>
    <row r="2704" spans="4:4">
      <c r="D2704" s="65"/>
    </row>
    <row r="2705" spans="4:4">
      <c r="D2705" s="65"/>
    </row>
    <row r="2706" spans="4:4">
      <c r="D2706" s="65"/>
    </row>
    <row r="2707" spans="4:4">
      <c r="D2707" s="65"/>
    </row>
    <row r="2708" spans="4:4">
      <c r="D2708" s="65"/>
    </row>
    <row r="2709" spans="4:4">
      <c r="D2709" s="65"/>
    </row>
    <row r="2710" spans="4:4">
      <c r="D2710" s="65"/>
    </row>
    <row r="2711" spans="4:4">
      <c r="D2711" s="65"/>
    </row>
    <row r="2712" spans="4:4">
      <c r="D2712" s="65"/>
    </row>
    <row r="2713" spans="4:4">
      <c r="D2713" s="65"/>
    </row>
    <row r="2714" spans="4:4">
      <c r="D2714" s="65"/>
    </row>
    <row r="2715" spans="4:4">
      <c r="D2715" s="65"/>
    </row>
    <row r="2716" spans="4:4">
      <c r="D2716" s="65"/>
    </row>
    <row r="2717" spans="4:4">
      <c r="D2717" s="65"/>
    </row>
    <row r="2718" spans="4:4">
      <c r="D2718" s="65"/>
    </row>
    <row r="2719" spans="4:4">
      <c r="D2719" s="65"/>
    </row>
    <row r="2720" spans="4:4">
      <c r="D2720" s="65"/>
    </row>
    <row r="2721" spans="4:4">
      <c r="D2721" s="65"/>
    </row>
    <row r="2722" spans="4:4">
      <c r="D2722" s="65"/>
    </row>
    <row r="2723" spans="4:4">
      <c r="D2723" s="65"/>
    </row>
    <row r="2724" spans="4:4">
      <c r="D2724" s="65"/>
    </row>
    <row r="2725" spans="4:4">
      <c r="D2725" s="65"/>
    </row>
    <row r="2726" spans="4:4">
      <c r="D2726" s="65"/>
    </row>
    <row r="2727" spans="4:4">
      <c r="D2727" s="65"/>
    </row>
    <row r="2728" spans="4:4">
      <c r="D2728" s="65"/>
    </row>
    <row r="2729" spans="4:4">
      <c r="D2729" s="65"/>
    </row>
    <row r="2730" spans="4:4">
      <c r="D2730" s="65"/>
    </row>
    <row r="2731" spans="4:4">
      <c r="D2731" s="65"/>
    </row>
    <row r="2732" spans="4:4">
      <c r="D2732" s="65"/>
    </row>
    <row r="2733" spans="4:4">
      <c r="D2733" s="65"/>
    </row>
    <row r="2734" spans="4:4">
      <c r="D2734" s="65"/>
    </row>
    <row r="2735" spans="4:4">
      <c r="D2735" s="65"/>
    </row>
    <row r="2736" spans="4:4">
      <c r="D2736" s="65"/>
    </row>
    <row r="2737" spans="4:4">
      <c r="D2737" s="65"/>
    </row>
    <row r="2738" spans="4:4">
      <c r="D2738" s="65"/>
    </row>
    <row r="2739" spans="4:4">
      <c r="D2739" s="65"/>
    </row>
    <row r="2740" spans="4:4">
      <c r="D2740" s="65"/>
    </row>
    <row r="2741" spans="4:4">
      <c r="D2741" s="65"/>
    </row>
    <row r="2742" spans="4:4">
      <c r="D2742" s="65"/>
    </row>
    <row r="2743" spans="4:4">
      <c r="D2743" s="65"/>
    </row>
    <row r="2744" spans="4:4">
      <c r="D2744" s="65"/>
    </row>
    <row r="2745" spans="4:4">
      <c r="D2745" s="65"/>
    </row>
    <row r="2746" spans="4:4">
      <c r="D2746" s="65"/>
    </row>
    <row r="2747" spans="4:4">
      <c r="D2747" s="65"/>
    </row>
    <row r="2748" spans="4:4">
      <c r="D2748" s="65"/>
    </row>
    <row r="2749" spans="4:4">
      <c r="D2749" s="65"/>
    </row>
    <row r="2750" spans="4:4">
      <c r="D2750" s="65"/>
    </row>
    <row r="2751" spans="4:4">
      <c r="D2751" s="65"/>
    </row>
    <row r="2752" spans="4:4">
      <c r="D2752" s="65"/>
    </row>
    <row r="2753" spans="4:4">
      <c r="D2753" s="65"/>
    </row>
    <row r="2754" spans="4:4">
      <c r="D2754" s="65"/>
    </row>
    <row r="2755" spans="4:4">
      <c r="D2755" s="65"/>
    </row>
    <row r="2756" spans="4:4">
      <c r="D2756" s="65"/>
    </row>
    <row r="2757" spans="4:4">
      <c r="D2757" s="65"/>
    </row>
    <row r="2758" spans="4:4">
      <c r="D2758" s="65"/>
    </row>
    <row r="2759" spans="4:4">
      <c r="D2759" s="65"/>
    </row>
    <row r="2760" spans="4:4">
      <c r="D2760" s="65"/>
    </row>
    <row r="2761" spans="4:4">
      <c r="D2761" s="65"/>
    </row>
    <row r="2762" spans="4:4">
      <c r="D2762" s="65"/>
    </row>
    <row r="2763" spans="4:4">
      <c r="D2763" s="65"/>
    </row>
    <row r="2764" spans="4:4">
      <c r="D2764" s="65"/>
    </row>
    <row r="2765" spans="4:4">
      <c r="D2765" s="65"/>
    </row>
    <row r="2766" spans="4:4">
      <c r="D2766" s="65"/>
    </row>
    <row r="2767" spans="4:4">
      <c r="D2767" s="65"/>
    </row>
    <row r="2768" spans="4:4">
      <c r="D2768" s="65"/>
    </row>
    <row r="2769" spans="4:4">
      <c r="D2769" s="65"/>
    </row>
    <row r="2770" spans="4:4">
      <c r="D2770" s="65"/>
    </row>
    <row r="2771" spans="4:4">
      <c r="D2771" s="65"/>
    </row>
    <row r="2772" spans="4:4">
      <c r="D2772" s="65"/>
    </row>
    <row r="2773" spans="4:4">
      <c r="D2773" s="65"/>
    </row>
    <row r="2774" spans="4:4">
      <c r="D2774" s="65"/>
    </row>
    <row r="2775" spans="4:4">
      <c r="D2775" s="65"/>
    </row>
    <row r="2776" spans="4:4">
      <c r="D2776" s="65"/>
    </row>
    <row r="2777" spans="4:4">
      <c r="D2777" s="65"/>
    </row>
    <row r="2778" spans="4:4">
      <c r="D2778" s="65"/>
    </row>
    <row r="2779" spans="4:4">
      <c r="D2779" s="65"/>
    </row>
    <row r="2780" spans="4:4">
      <c r="D2780" s="65"/>
    </row>
    <row r="2781" spans="4:4">
      <c r="D2781" s="65"/>
    </row>
    <row r="2782" spans="4:4">
      <c r="D2782" s="65"/>
    </row>
    <row r="2783" spans="4:4">
      <c r="D2783" s="65"/>
    </row>
    <row r="2784" spans="4:4">
      <c r="D2784" s="65"/>
    </row>
    <row r="2785" spans="4:4">
      <c r="D2785" s="65"/>
    </row>
    <row r="2786" spans="4:4">
      <c r="D2786" s="65"/>
    </row>
    <row r="2787" spans="4:4">
      <c r="D2787" s="65"/>
    </row>
    <row r="2788" spans="4:4">
      <c r="D2788" s="65"/>
    </row>
    <row r="2789" spans="4:4">
      <c r="D2789" s="65"/>
    </row>
    <row r="2790" spans="4:4">
      <c r="D2790" s="65"/>
    </row>
    <row r="2791" spans="4:4">
      <c r="D2791" s="65"/>
    </row>
    <row r="2792" spans="4:4">
      <c r="D2792" s="65"/>
    </row>
    <row r="2793" spans="4:4">
      <c r="D2793" s="65"/>
    </row>
    <row r="2794" spans="4:4">
      <c r="D2794" s="65"/>
    </row>
    <row r="2795" spans="4:4">
      <c r="D2795" s="65"/>
    </row>
    <row r="2796" spans="4:4">
      <c r="D2796" s="65"/>
    </row>
    <row r="2797" spans="4:4">
      <c r="D2797" s="65"/>
    </row>
    <row r="2798" spans="4:4">
      <c r="D2798" s="65"/>
    </row>
    <row r="2799" spans="4:4">
      <c r="D2799" s="65"/>
    </row>
    <row r="2800" spans="4:4">
      <c r="D2800" s="65"/>
    </row>
    <row r="2801" spans="4:4">
      <c r="D2801" s="65"/>
    </row>
    <row r="2802" spans="4:4">
      <c r="D2802" s="65"/>
    </row>
    <row r="2803" spans="4:4">
      <c r="D2803" s="65"/>
    </row>
    <row r="2804" spans="4:4">
      <c r="D2804" s="65"/>
    </row>
    <row r="2805" spans="4:4">
      <c r="D2805" s="65"/>
    </row>
    <row r="2806" spans="4:4">
      <c r="D2806" s="65"/>
    </row>
    <row r="2807" spans="4:4">
      <c r="D2807" s="65"/>
    </row>
    <row r="2808" spans="4:4">
      <c r="D2808" s="65"/>
    </row>
    <row r="2809" spans="4:4">
      <c r="D2809" s="65"/>
    </row>
    <row r="2810" spans="4:4">
      <c r="D2810" s="65"/>
    </row>
    <row r="2811" spans="4:4">
      <c r="D2811" s="65"/>
    </row>
    <row r="2812" spans="4:4">
      <c r="D2812" s="65"/>
    </row>
    <row r="2813" spans="4:4">
      <c r="D2813" s="65"/>
    </row>
    <row r="2814" spans="4:4">
      <c r="D2814" s="65"/>
    </row>
    <row r="2815" spans="4:4">
      <c r="D2815" s="65"/>
    </row>
    <row r="2816" spans="4:4">
      <c r="D2816" s="65"/>
    </row>
    <row r="2817" spans="4:4">
      <c r="D2817" s="65"/>
    </row>
    <row r="2818" spans="4:4">
      <c r="D2818" s="65"/>
    </row>
    <row r="2819" spans="4:4">
      <c r="D2819" s="65"/>
    </row>
    <row r="2820" spans="4:4">
      <c r="D2820" s="65"/>
    </row>
    <row r="2821" spans="4:4">
      <c r="D2821" s="65"/>
    </row>
    <row r="2822" spans="4:4">
      <c r="D2822" s="65"/>
    </row>
    <row r="2823" spans="4:4">
      <c r="D2823" s="65"/>
    </row>
    <row r="2824" spans="4:4">
      <c r="D2824" s="65"/>
    </row>
    <row r="2825" spans="4:4">
      <c r="D2825" s="65"/>
    </row>
    <row r="2826" spans="4:4">
      <c r="D2826" s="65"/>
    </row>
    <row r="2827" spans="4:4">
      <c r="D2827" s="65"/>
    </row>
    <row r="2828" spans="4:4">
      <c r="D2828" s="65"/>
    </row>
    <row r="2829" spans="4:4">
      <c r="D2829" s="65"/>
    </row>
    <row r="2830" spans="4:4">
      <c r="D2830" s="65"/>
    </row>
    <row r="2831" spans="4:4">
      <c r="D2831" s="65"/>
    </row>
    <row r="2832" spans="4:4">
      <c r="D2832" s="65"/>
    </row>
    <row r="2833" spans="4:4">
      <c r="D2833" s="65"/>
    </row>
    <row r="2834" spans="4:4">
      <c r="D2834" s="65"/>
    </row>
    <row r="2835" spans="4:4">
      <c r="D2835" s="65"/>
    </row>
    <row r="2836" spans="4:4">
      <c r="D2836" s="65"/>
    </row>
    <row r="2837" spans="4:4">
      <c r="D2837" s="65"/>
    </row>
    <row r="2838" spans="4:4">
      <c r="D2838" s="65"/>
    </row>
    <row r="2839" spans="4:4">
      <c r="D2839" s="65"/>
    </row>
    <row r="2840" spans="4:4">
      <c r="D2840" s="65"/>
    </row>
    <row r="2841" spans="4:4">
      <c r="D2841" s="65"/>
    </row>
    <row r="2842" spans="4:4">
      <c r="D2842" s="65"/>
    </row>
    <row r="2843" spans="4:4">
      <c r="D2843" s="65"/>
    </row>
    <row r="2844" spans="4:4">
      <c r="D2844" s="65"/>
    </row>
    <row r="2845" spans="4:4">
      <c r="D2845" s="65"/>
    </row>
    <row r="2846" spans="4:4">
      <c r="D2846" s="65"/>
    </row>
    <row r="2847" spans="4:4">
      <c r="D2847" s="65"/>
    </row>
    <row r="2848" spans="4:4">
      <c r="D2848" s="65"/>
    </row>
    <row r="2849" spans="4:4">
      <c r="D2849" s="65"/>
    </row>
    <row r="2850" spans="4:4">
      <c r="D2850" s="65"/>
    </row>
    <row r="2851" spans="4:4">
      <c r="D2851" s="65"/>
    </row>
    <row r="2852" spans="4:4">
      <c r="D2852" s="65"/>
    </row>
    <row r="2853" spans="4:4">
      <c r="D2853" s="65"/>
    </row>
    <row r="2854" spans="4:4">
      <c r="D2854" s="65"/>
    </row>
    <row r="2855" spans="4:4">
      <c r="D2855" s="65"/>
    </row>
    <row r="2856" spans="4:4">
      <c r="D2856" s="65"/>
    </row>
    <row r="2857" spans="4:4">
      <c r="D2857" s="65"/>
    </row>
    <row r="2858" spans="4:4">
      <c r="D2858" s="65"/>
    </row>
    <row r="2859" spans="4:4">
      <c r="D2859" s="65"/>
    </row>
    <row r="2860" spans="4:4">
      <c r="D2860" s="65"/>
    </row>
    <row r="2861" spans="4:4">
      <c r="D2861" s="65"/>
    </row>
    <row r="2862" spans="4:4">
      <c r="D2862" s="65"/>
    </row>
    <row r="2863" spans="4:4">
      <c r="D2863" s="65"/>
    </row>
    <row r="2864" spans="4:4">
      <c r="D2864" s="65"/>
    </row>
    <row r="2865" spans="4:4">
      <c r="D2865" s="65"/>
    </row>
    <row r="2866" spans="4:4">
      <c r="D2866" s="65"/>
    </row>
    <row r="2867" spans="4:4">
      <c r="D2867" s="65"/>
    </row>
    <row r="2868" spans="4:4">
      <c r="D2868" s="65"/>
    </row>
    <row r="2869" spans="4:4">
      <c r="D2869" s="65"/>
    </row>
    <row r="2870" spans="4:4">
      <c r="D2870" s="65"/>
    </row>
    <row r="2871" spans="4:4">
      <c r="D2871" s="65"/>
    </row>
    <row r="2872" spans="4:4">
      <c r="D2872" s="65"/>
    </row>
    <row r="2873" spans="4:4">
      <c r="D2873" s="65"/>
    </row>
    <row r="2874" spans="4:4">
      <c r="D2874" s="65"/>
    </row>
    <row r="2875" spans="4:4">
      <c r="D2875" s="65"/>
    </row>
    <row r="2876" spans="4:4">
      <c r="D2876" s="65"/>
    </row>
    <row r="2877" spans="4:4">
      <c r="D2877" s="65"/>
    </row>
    <row r="2878" spans="4:4">
      <c r="D2878" s="65"/>
    </row>
    <row r="2879" spans="4:4">
      <c r="D2879" s="65"/>
    </row>
    <row r="2880" spans="4:4">
      <c r="D2880" s="65"/>
    </row>
    <row r="2881" spans="4:4">
      <c r="D2881" s="65"/>
    </row>
    <row r="2882" spans="4:4">
      <c r="D2882" s="65"/>
    </row>
    <row r="2883" spans="4:4">
      <c r="D2883" s="65"/>
    </row>
    <row r="2884" spans="4:4">
      <c r="D2884" s="65"/>
    </row>
    <row r="2885" spans="4:4">
      <c r="D2885" s="65"/>
    </row>
    <row r="2886" spans="4:4">
      <c r="D2886" s="65"/>
    </row>
    <row r="2887" spans="4:4">
      <c r="D2887" s="65"/>
    </row>
    <row r="2888" spans="4:4">
      <c r="D2888" s="65"/>
    </row>
    <row r="2889" spans="4:4">
      <c r="D2889" s="65"/>
    </row>
    <row r="2890" spans="4:4">
      <c r="D2890" s="65"/>
    </row>
    <row r="2891" spans="4:4">
      <c r="D2891" s="65"/>
    </row>
    <row r="2892" spans="4:4">
      <c r="D2892" s="65"/>
    </row>
    <row r="2893" spans="4:4">
      <c r="D2893" s="65"/>
    </row>
    <row r="2894" spans="4:4">
      <c r="D2894" s="65"/>
    </row>
    <row r="2895" spans="4:4">
      <c r="D2895" s="65"/>
    </row>
    <row r="2896" spans="4:4">
      <c r="D2896" s="65"/>
    </row>
    <row r="2897" spans="4:4">
      <c r="D2897" s="65"/>
    </row>
    <row r="2898" spans="4:4">
      <c r="D2898" s="65"/>
    </row>
    <row r="2899" spans="4:4">
      <c r="D2899" s="65"/>
    </row>
    <row r="2900" spans="4:4">
      <c r="D2900" s="65"/>
    </row>
    <row r="2901" spans="4:4">
      <c r="D2901" s="65"/>
    </row>
    <row r="2902" spans="4:4">
      <c r="D2902" s="65"/>
    </row>
    <row r="2903" spans="4:4">
      <c r="D2903" s="65"/>
    </row>
    <row r="2904" spans="4:4">
      <c r="D2904" s="65"/>
    </row>
    <row r="2905" spans="4:4">
      <c r="D2905" s="65"/>
    </row>
    <row r="2906" spans="4:4">
      <c r="D2906" s="65"/>
    </row>
    <row r="2907" spans="4:4">
      <c r="D2907" s="65"/>
    </row>
    <row r="2908" spans="4:4">
      <c r="D2908" s="65"/>
    </row>
    <row r="2909" spans="4:4">
      <c r="D2909" s="65"/>
    </row>
    <row r="2910" spans="4:4">
      <c r="D2910" s="65"/>
    </row>
    <row r="2911" spans="4:4">
      <c r="D2911" s="65"/>
    </row>
    <row r="2912" spans="4:4">
      <c r="D2912" s="65"/>
    </row>
    <row r="2913" spans="4:4">
      <c r="D2913" s="65"/>
    </row>
    <row r="2914" spans="4:4">
      <c r="D2914" s="65"/>
    </row>
    <row r="2915" spans="4:4">
      <c r="D2915" s="65"/>
    </row>
    <row r="2916" spans="4:4">
      <c r="D2916" s="65"/>
    </row>
    <row r="2917" spans="4:4">
      <c r="D2917" s="65"/>
    </row>
    <row r="2918" spans="4:4">
      <c r="D2918" s="65"/>
    </row>
    <row r="2919" spans="4:4">
      <c r="D2919" s="65"/>
    </row>
    <row r="2920" spans="4:4">
      <c r="D2920" s="65"/>
    </row>
    <row r="2921" spans="4:4">
      <c r="D2921" s="65"/>
    </row>
    <row r="2922" spans="4:4">
      <c r="D2922" s="65"/>
    </row>
    <row r="2923" spans="4:4">
      <c r="D2923" s="65"/>
    </row>
    <row r="2924" spans="4:4">
      <c r="D2924" s="65"/>
    </row>
    <row r="2925" spans="4:4">
      <c r="D2925" s="65"/>
    </row>
    <row r="2926" spans="4:4">
      <c r="D2926" s="65"/>
    </row>
    <row r="2927" spans="4:4">
      <c r="D2927" s="65"/>
    </row>
    <row r="2928" spans="4:4">
      <c r="D2928" s="65"/>
    </row>
    <row r="2929" spans="4:4">
      <c r="D2929" s="65"/>
    </row>
    <row r="2930" spans="4:4">
      <c r="D2930" s="65"/>
    </row>
    <row r="2931" spans="4:4">
      <c r="D2931" s="65"/>
    </row>
    <row r="2932" spans="4:4">
      <c r="D2932" s="65"/>
    </row>
    <row r="2933" spans="4:4">
      <c r="D2933" s="65"/>
    </row>
    <row r="2934" spans="4:4">
      <c r="D2934" s="65"/>
    </row>
    <row r="2935" spans="4:4">
      <c r="D2935" s="65"/>
    </row>
    <row r="2936" spans="4:4">
      <c r="D2936" s="65"/>
    </row>
    <row r="2937" spans="4:4">
      <c r="D2937" s="65"/>
    </row>
    <row r="2938" spans="4:4">
      <c r="D2938" s="65"/>
    </row>
    <row r="2939" spans="4:4">
      <c r="D2939" s="65"/>
    </row>
    <row r="2940" spans="4:4">
      <c r="D2940" s="65"/>
    </row>
    <row r="2941" spans="4:4">
      <c r="D2941" s="65"/>
    </row>
    <row r="2942" spans="4:4">
      <c r="D2942" s="65"/>
    </row>
    <row r="2943" spans="4:4">
      <c r="D2943" s="65"/>
    </row>
    <row r="2944" spans="4:4">
      <c r="D2944" s="65"/>
    </row>
    <row r="2945" spans="4:4">
      <c r="D2945" s="65"/>
    </row>
    <row r="2946" spans="4:4">
      <c r="D2946" s="65"/>
    </row>
    <row r="2947" spans="4:4">
      <c r="D2947" s="65"/>
    </row>
    <row r="2948" spans="4:4">
      <c r="D2948" s="65"/>
    </row>
    <row r="2949" spans="4:4">
      <c r="D2949" s="65"/>
    </row>
    <row r="2950" spans="4:4">
      <c r="D2950" s="65"/>
    </row>
    <row r="2951" spans="4:4">
      <c r="D2951" s="65"/>
    </row>
    <row r="2952" spans="4:4">
      <c r="D2952" s="65"/>
    </row>
    <row r="2953" spans="4:4">
      <c r="D2953" s="65"/>
    </row>
    <row r="2954" spans="4:4">
      <c r="D2954" s="65"/>
    </row>
    <row r="2955" spans="4:4">
      <c r="D2955" s="65"/>
    </row>
    <row r="2956" spans="4:4">
      <c r="D2956" s="65"/>
    </row>
    <row r="2957" spans="4:4">
      <c r="D2957" s="65"/>
    </row>
    <row r="2958" spans="4:4">
      <c r="D2958" s="65"/>
    </row>
    <row r="2959" spans="4:4">
      <c r="D2959" s="65"/>
    </row>
    <row r="2960" spans="4:4">
      <c r="D2960" s="65"/>
    </row>
    <row r="2961" spans="4:4">
      <c r="D2961" s="65"/>
    </row>
    <row r="2962" spans="4:4">
      <c r="D2962" s="65"/>
    </row>
    <row r="2963" spans="4:4">
      <c r="D2963" s="65"/>
    </row>
    <row r="2964" spans="4:4">
      <c r="D2964" s="65"/>
    </row>
    <row r="2965" spans="4:4">
      <c r="D2965" s="65"/>
    </row>
    <row r="2966" spans="4:4">
      <c r="D2966" s="65"/>
    </row>
    <row r="2967" spans="4:4">
      <c r="D2967" s="65"/>
    </row>
    <row r="2968" spans="4:4">
      <c r="D2968" s="65"/>
    </row>
    <row r="2969" spans="4:4">
      <c r="D2969" s="65"/>
    </row>
    <row r="2970" spans="4:4">
      <c r="D2970" s="65"/>
    </row>
    <row r="2971" spans="4:4">
      <c r="D2971" s="65"/>
    </row>
    <row r="2972" spans="4:4">
      <c r="D2972" s="65"/>
    </row>
    <row r="2973" spans="4:4">
      <c r="D2973" s="65"/>
    </row>
    <row r="2974" spans="4:4">
      <c r="D2974" s="65"/>
    </row>
    <row r="2975" spans="4:4">
      <c r="D2975" s="65"/>
    </row>
    <row r="2976" spans="4:4">
      <c r="D2976" s="65"/>
    </row>
    <row r="2977" spans="4:4">
      <c r="D2977" s="65"/>
    </row>
    <row r="2978" spans="4:4">
      <c r="D2978" s="65"/>
    </row>
    <row r="2979" spans="4:4">
      <c r="D2979" s="65"/>
    </row>
    <row r="2980" spans="4:4">
      <c r="D2980" s="65"/>
    </row>
    <row r="2981" spans="4:4">
      <c r="D2981" s="65"/>
    </row>
    <row r="2982" spans="4:4">
      <c r="D2982" s="65"/>
    </row>
    <row r="2983" spans="4:4">
      <c r="D2983" s="65"/>
    </row>
    <row r="2984" spans="4:4">
      <c r="D2984" s="65"/>
    </row>
    <row r="2985" spans="4:4">
      <c r="D2985" s="65"/>
    </row>
    <row r="2986" spans="4:4">
      <c r="D2986" s="65"/>
    </row>
    <row r="2987" spans="4:4">
      <c r="D2987" s="65"/>
    </row>
    <row r="2988" spans="4:4">
      <c r="D2988" s="65"/>
    </row>
    <row r="2989" spans="4:4">
      <c r="D2989" s="65"/>
    </row>
    <row r="2990" spans="4:4">
      <c r="D2990" s="65"/>
    </row>
    <row r="2991" spans="4:4">
      <c r="D2991" s="65"/>
    </row>
    <row r="2992" spans="4:4">
      <c r="D2992" s="65"/>
    </row>
    <row r="2993" spans="4:4">
      <c r="D2993" s="65"/>
    </row>
    <row r="2994" spans="4:4">
      <c r="D2994" s="65"/>
    </row>
    <row r="2995" spans="4:4">
      <c r="D2995" s="65"/>
    </row>
    <row r="2996" spans="4:4">
      <c r="D2996" s="65"/>
    </row>
    <row r="2997" spans="4:4">
      <c r="D2997" s="65"/>
    </row>
    <row r="2998" spans="4:4">
      <c r="D2998" s="65"/>
    </row>
    <row r="2999" spans="4:4">
      <c r="D2999" s="65"/>
    </row>
    <row r="3000" spans="4:4">
      <c r="D3000" s="65"/>
    </row>
    <row r="3001" spans="4:4">
      <c r="D3001" s="65"/>
    </row>
    <row r="3002" spans="4:4">
      <c r="D3002" s="65"/>
    </row>
    <row r="3003" spans="4:4">
      <c r="D3003" s="65"/>
    </row>
    <row r="3004" spans="4:4">
      <c r="D3004" s="65"/>
    </row>
    <row r="3005" spans="4:4">
      <c r="D3005" s="65"/>
    </row>
    <row r="3006" spans="4:4">
      <c r="D3006" s="65"/>
    </row>
    <row r="3007" spans="4:4">
      <c r="D3007" s="65"/>
    </row>
    <row r="3008" spans="4:4">
      <c r="D3008" s="65"/>
    </row>
    <row r="3009" spans="4:4">
      <c r="D3009" s="65"/>
    </row>
    <row r="3010" spans="4:4">
      <c r="D3010" s="65"/>
    </row>
    <row r="3011" spans="4:4">
      <c r="D3011" s="65"/>
    </row>
    <row r="3012" spans="4:4">
      <c r="D3012" s="65"/>
    </row>
    <row r="3013" spans="4:4">
      <c r="D3013" s="65"/>
    </row>
    <row r="3014" spans="4:4">
      <c r="D3014" s="65"/>
    </row>
    <row r="3015" spans="4:4">
      <c r="D3015" s="65"/>
    </row>
    <row r="3016" spans="4:4">
      <c r="D3016" s="65"/>
    </row>
    <row r="3017" spans="4:4">
      <c r="D3017" s="65"/>
    </row>
    <row r="3018" spans="4:4">
      <c r="D3018" s="65"/>
    </row>
    <row r="3019" spans="4:4">
      <c r="D3019" s="65"/>
    </row>
    <row r="3020" spans="4:4">
      <c r="D3020" s="65"/>
    </row>
    <row r="3021" spans="4:4">
      <c r="D3021" s="65"/>
    </row>
    <row r="3022" spans="4:4">
      <c r="D3022" s="65"/>
    </row>
    <row r="3023" spans="4:4">
      <c r="D3023" s="65"/>
    </row>
    <row r="3024" spans="4:4">
      <c r="D3024" s="65"/>
    </row>
    <row r="3025" spans="4:4">
      <c r="D3025" s="65"/>
    </row>
    <row r="3026" spans="4:4">
      <c r="D3026" s="65"/>
    </row>
    <row r="3027" spans="4:4">
      <c r="D3027" s="65"/>
    </row>
    <row r="3028" spans="4:4">
      <c r="D3028" s="65"/>
    </row>
    <row r="3029" spans="4:4">
      <c r="D3029" s="65"/>
    </row>
    <row r="3030" spans="4:4">
      <c r="D3030" s="65"/>
    </row>
    <row r="3031" spans="4:4">
      <c r="D3031" s="65"/>
    </row>
    <row r="3032" spans="4:4">
      <c r="D3032" s="65"/>
    </row>
    <row r="3033" spans="4:4">
      <c r="D3033" s="65"/>
    </row>
    <row r="3034" spans="4:4">
      <c r="D3034" s="65"/>
    </row>
    <row r="3035" spans="4:4">
      <c r="D3035" s="65"/>
    </row>
    <row r="3036" spans="4:4">
      <c r="D3036" s="65"/>
    </row>
    <row r="3037" spans="4:4">
      <c r="D3037" s="65"/>
    </row>
    <row r="3038" spans="4:4">
      <c r="D3038" s="65"/>
    </row>
    <row r="3039" spans="4:4">
      <c r="D3039" s="65"/>
    </row>
    <row r="3040" spans="4:4">
      <c r="D3040" s="65"/>
    </row>
    <row r="3041" spans="4:4">
      <c r="D3041" s="65"/>
    </row>
    <row r="3042" spans="4:4">
      <c r="D3042" s="65"/>
    </row>
    <row r="3043" spans="4:4">
      <c r="D3043" s="65"/>
    </row>
    <row r="3044" spans="4:4">
      <c r="D3044" s="65"/>
    </row>
    <row r="3045" spans="4:4">
      <c r="D3045" s="65"/>
    </row>
    <row r="3046" spans="4:4">
      <c r="D3046" s="65"/>
    </row>
    <row r="3047" spans="4:4">
      <c r="D3047" s="65"/>
    </row>
    <row r="3048" spans="4:4">
      <c r="D3048" s="65"/>
    </row>
    <row r="3049" spans="4:4">
      <c r="D3049" s="65"/>
    </row>
    <row r="3050" spans="4:4">
      <c r="D3050" s="65"/>
    </row>
    <row r="3051" spans="4:4">
      <c r="D3051" s="65"/>
    </row>
    <row r="3052" spans="4:4">
      <c r="D3052" s="65"/>
    </row>
    <row r="3053" spans="4:4">
      <c r="D3053" s="65"/>
    </row>
    <row r="3054" spans="4:4">
      <c r="D3054" s="65"/>
    </row>
    <row r="3055" spans="4:4">
      <c r="D3055" s="65"/>
    </row>
    <row r="3056" spans="4:4">
      <c r="D3056" s="65"/>
    </row>
    <row r="3057" spans="4:4">
      <c r="D3057" s="65"/>
    </row>
    <row r="3058" spans="4:4">
      <c r="D3058" s="65"/>
    </row>
    <row r="3059" spans="4:4">
      <c r="D3059" s="65"/>
    </row>
    <row r="3060" spans="4:4">
      <c r="D3060" s="65"/>
    </row>
    <row r="3061" spans="4:4">
      <c r="D3061" s="65"/>
    </row>
    <row r="3062" spans="4:4">
      <c r="D3062" s="65"/>
    </row>
    <row r="3063" spans="4:4">
      <c r="D3063" s="65"/>
    </row>
    <row r="3064" spans="4:4">
      <c r="D3064" s="65"/>
    </row>
    <row r="3065" spans="4:4">
      <c r="D3065" s="65"/>
    </row>
    <row r="3066" spans="4:4">
      <c r="D3066" s="65"/>
    </row>
    <row r="3067" spans="4:4">
      <c r="D3067" s="65"/>
    </row>
    <row r="3068" spans="4:4">
      <c r="D3068" s="65"/>
    </row>
    <row r="3069" spans="4:4">
      <c r="D3069" s="65"/>
    </row>
    <row r="3070" spans="4:4">
      <c r="D3070" s="65"/>
    </row>
    <row r="3071" spans="4:4">
      <c r="D3071" s="65"/>
    </row>
    <row r="3072" spans="4:4">
      <c r="D3072" s="65"/>
    </row>
    <row r="3073" spans="4:4">
      <c r="D3073" s="65"/>
    </row>
    <row r="3074" spans="4:4">
      <c r="D3074" s="65"/>
    </row>
    <row r="3075" spans="4:4">
      <c r="D3075" s="65"/>
    </row>
    <row r="3076" spans="4:4">
      <c r="D3076" s="65"/>
    </row>
    <row r="3077" spans="4:4">
      <c r="D3077" s="65"/>
    </row>
    <row r="3078" spans="4:4">
      <c r="D3078" s="65"/>
    </row>
    <row r="3079" spans="4:4">
      <c r="D3079" s="65"/>
    </row>
    <row r="3080" spans="4:4">
      <c r="D3080" s="65"/>
    </row>
    <row r="3081" spans="4:4">
      <c r="D3081" s="65"/>
    </row>
    <row r="3082" spans="4:4">
      <c r="D3082" s="65"/>
    </row>
    <row r="3083" spans="4:4">
      <c r="D3083" s="65"/>
    </row>
    <row r="3084" spans="4:4">
      <c r="D3084" s="65"/>
    </row>
    <row r="3085" spans="4:4">
      <c r="D3085" s="65"/>
    </row>
    <row r="3086" spans="4:4">
      <c r="D3086" s="65"/>
    </row>
    <row r="3087" spans="4:4">
      <c r="D3087" s="65"/>
    </row>
    <row r="3088" spans="4:4">
      <c r="D3088" s="65"/>
    </row>
    <row r="3089" spans="4:4">
      <c r="D3089" s="65"/>
    </row>
    <row r="3090" spans="4:4">
      <c r="D3090" s="65"/>
    </row>
    <row r="3091" spans="4:4">
      <c r="D3091" s="65"/>
    </row>
    <row r="3092" spans="4:4">
      <c r="D3092" s="65"/>
    </row>
    <row r="3093" spans="4:4">
      <c r="D3093" s="65"/>
    </row>
    <row r="3094" spans="4:4">
      <c r="D3094" s="65"/>
    </row>
    <row r="3095" spans="4:4">
      <c r="D3095" s="65"/>
    </row>
    <row r="3096" spans="4:4">
      <c r="D3096" s="65"/>
    </row>
    <row r="3097" spans="4:4">
      <c r="D3097" s="65"/>
    </row>
    <row r="3098" spans="4:4">
      <c r="D3098" s="65"/>
    </row>
    <row r="3099" spans="4:4">
      <c r="D3099" s="65"/>
    </row>
    <row r="3100" spans="4:4">
      <c r="D3100" s="65"/>
    </row>
    <row r="3101" spans="4:4">
      <c r="D3101" s="65"/>
    </row>
    <row r="3102" spans="4:4">
      <c r="D3102" s="65"/>
    </row>
    <row r="3103" spans="4:4">
      <c r="D3103" s="65"/>
    </row>
    <row r="3104" spans="4:4">
      <c r="D3104" s="65"/>
    </row>
    <row r="3105" spans="4:4">
      <c r="D3105" s="65"/>
    </row>
    <row r="3106" spans="4:4">
      <c r="D3106" s="65"/>
    </row>
    <row r="3107" spans="4:4">
      <c r="D3107" s="65"/>
    </row>
    <row r="3108" spans="4:4">
      <c r="D3108" s="65"/>
    </row>
    <row r="3109" spans="4:4">
      <c r="D3109" s="65"/>
    </row>
    <row r="3110" spans="4:4">
      <c r="D3110" s="65"/>
    </row>
    <row r="3111" spans="4:4">
      <c r="D3111" s="65"/>
    </row>
    <row r="3112" spans="4:4">
      <c r="D3112" s="65"/>
    </row>
    <row r="3113" spans="4:4">
      <c r="D3113" s="65"/>
    </row>
    <row r="3114" spans="4:4">
      <c r="D3114" s="65"/>
    </row>
    <row r="3115" spans="4:4">
      <c r="D3115" s="65"/>
    </row>
    <row r="3116" spans="4:4">
      <c r="D3116" s="65"/>
    </row>
    <row r="3117" spans="4:4">
      <c r="D3117" s="65"/>
    </row>
    <row r="3118" spans="4:4">
      <c r="D3118" s="65"/>
    </row>
    <row r="3119" spans="4:4">
      <c r="D3119" s="65"/>
    </row>
    <row r="3120" spans="4:4">
      <c r="D3120" s="65"/>
    </row>
    <row r="3121" spans="4:4">
      <c r="D3121" s="65"/>
    </row>
    <row r="3122" spans="4:4">
      <c r="D3122" s="65"/>
    </row>
    <row r="3123" spans="4:4">
      <c r="D3123" s="65"/>
    </row>
    <row r="3124" spans="4:4">
      <c r="D3124" s="65"/>
    </row>
    <row r="3125" spans="4:4">
      <c r="D3125" s="65"/>
    </row>
    <row r="3126" spans="4:4">
      <c r="D3126" s="65"/>
    </row>
    <row r="3127" spans="4:4">
      <c r="D3127" s="65"/>
    </row>
    <row r="3128" spans="4:4">
      <c r="D3128" s="65"/>
    </row>
    <row r="3129" spans="4:4">
      <c r="D3129" s="65"/>
    </row>
    <row r="3130" spans="4:4">
      <c r="D3130" s="65"/>
    </row>
    <row r="3131" spans="4:4">
      <c r="D3131" s="65"/>
    </row>
    <row r="3132" spans="4:4">
      <c r="D3132" s="65"/>
    </row>
    <row r="3133" spans="4:4">
      <c r="D3133" s="65"/>
    </row>
    <row r="3134" spans="4:4">
      <c r="D3134" s="65"/>
    </row>
    <row r="3135" spans="4:4">
      <c r="D3135" s="65"/>
    </row>
    <row r="3136" spans="4:4">
      <c r="D3136" s="65"/>
    </row>
    <row r="3137" spans="4:4">
      <c r="D3137" s="65"/>
    </row>
    <row r="3138" spans="4:4">
      <c r="D3138" s="65"/>
    </row>
    <row r="3139" spans="4:4">
      <c r="D3139" s="65"/>
    </row>
    <row r="3140" spans="4:4">
      <c r="D3140" s="65"/>
    </row>
    <row r="3141" spans="4:4">
      <c r="D3141" s="65"/>
    </row>
    <row r="3142" spans="4:4">
      <c r="D3142" s="65"/>
    </row>
    <row r="3143" spans="4:4">
      <c r="D3143" s="65"/>
    </row>
    <row r="3144" spans="4:4">
      <c r="D3144" s="65"/>
    </row>
    <row r="3145" spans="4:4">
      <c r="D3145" s="65"/>
    </row>
    <row r="3146" spans="4:4">
      <c r="D3146" s="65"/>
    </row>
    <row r="3147" spans="4:4">
      <c r="D3147" s="65"/>
    </row>
    <row r="3148" spans="4:4">
      <c r="D3148" s="65"/>
    </row>
    <row r="3149" spans="4:4">
      <c r="D3149" s="65"/>
    </row>
    <row r="3150" spans="4:4">
      <c r="D3150" s="65"/>
    </row>
    <row r="3151" spans="4:4">
      <c r="D3151" s="65"/>
    </row>
    <row r="3152" spans="4:4">
      <c r="D3152" s="65"/>
    </row>
    <row r="3153" spans="4:4">
      <c r="D3153" s="65"/>
    </row>
    <row r="3154" spans="4:4">
      <c r="D3154" s="65"/>
    </row>
    <row r="3155" spans="4:4">
      <c r="D3155" s="65"/>
    </row>
    <row r="3156" spans="4:4">
      <c r="D3156" s="65"/>
    </row>
    <row r="3157" spans="4:4">
      <c r="D3157" s="65"/>
    </row>
    <row r="3158" spans="4:4">
      <c r="D3158" s="65"/>
    </row>
    <row r="3159" spans="4:4">
      <c r="D3159" s="65"/>
    </row>
    <row r="3160" spans="4:4">
      <c r="D3160" s="65"/>
    </row>
    <row r="3161" spans="4:4">
      <c r="D3161" s="65"/>
    </row>
    <row r="3162" spans="4:4">
      <c r="D3162" s="65"/>
    </row>
    <row r="3163" spans="4:4">
      <c r="D3163" s="65"/>
    </row>
    <row r="3164" spans="4:4">
      <c r="D3164" s="65"/>
    </row>
    <row r="3165" spans="4:4">
      <c r="D3165" s="65"/>
    </row>
    <row r="3166" spans="4:4">
      <c r="D3166" s="65"/>
    </row>
    <row r="3167" spans="4:4">
      <c r="D3167" s="65"/>
    </row>
    <row r="3168" spans="4:4">
      <c r="D3168" s="65"/>
    </row>
    <row r="3169" spans="4:4">
      <c r="D3169" s="65"/>
    </row>
    <row r="3170" spans="4:4">
      <c r="D3170" s="65"/>
    </row>
    <row r="3171" spans="4:4">
      <c r="D3171" s="65"/>
    </row>
    <row r="3172" spans="4:4">
      <c r="D3172" s="65"/>
    </row>
    <row r="3173" spans="4:4">
      <c r="D3173" s="65"/>
    </row>
    <row r="3174" spans="4:4">
      <c r="D3174" s="65"/>
    </row>
    <row r="3175" spans="4:4">
      <c r="D3175" s="65"/>
    </row>
    <row r="3176" spans="4:4">
      <c r="D3176" s="65"/>
    </row>
    <row r="3177" spans="4:4">
      <c r="D3177" s="65"/>
    </row>
    <row r="3178" spans="4:4">
      <c r="D3178" s="65"/>
    </row>
    <row r="3179" spans="4:4">
      <c r="D3179" s="65"/>
    </row>
    <row r="3180" spans="4:4">
      <c r="D3180" s="65"/>
    </row>
    <row r="3181" spans="4:4">
      <c r="D3181" s="65"/>
    </row>
    <row r="3182" spans="4:4">
      <c r="D3182" s="65"/>
    </row>
    <row r="3183" spans="4:4">
      <c r="D3183" s="65"/>
    </row>
    <row r="3184" spans="4:4">
      <c r="D3184" s="65"/>
    </row>
    <row r="3185" spans="4:4">
      <c r="D3185" s="65"/>
    </row>
    <row r="3186" spans="4:4">
      <c r="D3186" s="65"/>
    </row>
    <row r="3187" spans="4:4">
      <c r="D3187" s="65"/>
    </row>
    <row r="3188" spans="4:4">
      <c r="D3188" s="65"/>
    </row>
    <row r="3189" spans="4:4">
      <c r="D3189" s="65"/>
    </row>
    <row r="3190" spans="4:4">
      <c r="D3190" s="65"/>
    </row>
    <row r="3191" spans="4:4">
      <c r="D3191" s="65"/>
    </row>
    <row r="3192" spans="4:4">
      <c r="D3192" s="65"/>
    </row>
    <row r="3193" spans="4:4">
      <c r="D3193" s="65"/>
    </row>
    <row r="3194" spans="4:4">
      <c r="D3194" s="65"/>
    </row>
    <row r="3195" spans="4:4">
      <c r="D3195" s="65"/>
    </row>
    <row r="3196" spans="4:4">
      <c r="D3196" s="65"/>
    </row>
    <row r="3197" spans="4:4">
      <c r="D3197" s="65"/>
    </row>
    <row r="3198" spans="4:4">
      <c r="D3198" s="65"/>
    </row>
    <row r="3199" spans="4:4">
      <c r="D3199" s="65"/>
    </row>
    <row r="3200" spans="4:4">
      <c r="D3200" s="65"/>
    </row>
    <row r="3201" spans="4:4">
      <c r="D3201" s="65"/>
    </row>
    <row r="3202" spans="4:4">
      <c r="D3202" s="65"/>
    </row>
    <row r="3203" spans="4:4">
      <c r="D3203" s="65"/>
    </row>
    <row r="3204" spans="4:4">
      <c r="D3204" s="65"/>
    </row>
    <row r="3205" spans="4:4">
      <c r="D3205" s="65"/>
    </row>
    <row r="3206" spans="4:4">
      <c r="D3206" s="65"/>
    </row>
    <row r="3207" spans="4:4">
      <c r="D3207" s="65"/>
    </row>
    <row r="3208" spans="4:4">
      <c r="D3208" s="65"/>
    </row>
    <row r="3209" spans="4:4">
      <c r="D3209" s="65"/>
    </row>
    <row r="3210" spans="4:4">
      <c r="D3210" s="65"/>
    </row>
    <row r="3211" spans="4:4">
      <c r="D3211" s="65"/>
    </row>
    <row r="3212" spans="4:4">
      <c r="D3212" s="65"/>
    </row>
    <row r="3213" spans="4:4">
      <c r="D3213" s="65"/>
    </row>
    <row r="3214" spans="4:4">
      <c r="D3214" s="65"/>
    </row>
    <row r="3215" spans="4:4">
      <c r="D3215" s="65"/>
    </row>
    <row r="3216" spans="4:4">
      <c r="D3216" s="65"/>
    </row>
    <row r="3217" spans="4:4">
      <c r="D3217" s="65"/>
    </row>
    <row r="3218" spans="4:4">
      <c r="D3218" s="65"/>
    </row>
    <row r="3219" spans="4:4">
      <c r="D3219" s="65"/>
    </row>
    <row r="3220" spans="4:4">
      <c r="D3220" s="65"/>
    </row>
    <row r="3221" spans="4:4">
      <c r="D3221" s="65"/>
    </row>
    <row r="3222" spans="4:4">
      <c r="D3222" s="65"/>
    </row>
    <row r="3223" spans="4:4">
      <c r="D3223" s="65"/>
    </row>
    <row r="3224" spans="4:4">
      <c r="D3224" s="65"/>
    </row>
    <row r="3225" spans="4:4">
      <c r="D3225" s="65"/>
    </row>
    <row r="3226" spans="4:4">
      <c r="D3226" s="65"/>
    </row>
    <row r="3227" spans="4:4">
      <c r="D3227" s="65"/>
    </row>
    <row r="3228" spans="4:4">
      <c r="D3228" s="65"/>
    </row>
    <row r="3229" spans="4:4">
      <c r="D3229" s="65"/>
    </row>
    <row r="3230" spans="4:4">
      <c r="D3230" s="65"/>
    </row>
    <row r="3231" spans="4:4">
      <c r="D3231" s="65"/>
    </row>
    <row r="3232" spans="4:4">
      <c r="D3232" s="65"/>
    </row>
    <row r="3233" spans="4:4">
      <c r="D3233" s="65"/>
    </row>
    <row r="3234" spans="4:4">
      <c r="D3234" s="65"/>
    </row>
    <row r="3235" spans="4:4">
      <c r="D3235" s="65"/>
    </row>
    <row r="3236" spans="4:4">
      <c r="D3236" s="65"/>
    </row>
    <row r="3237" spans="4:4">
      <c r="D3237" s="65"/>
    </row>
    <row r="3238" spans="4:4">
      <c r="D3238" s="65"/>
    </row>
    <row r="3239" spans="4:4">
      <c r="D3239" s="65"/>
    </row>
    <row r="3240" spans="4:4">
      <c r="D3240" s="65"/>
    </row>
    <row r="3241" spans="4:4">
      <c r="D3241" s="65"/>
    </row>
    <row r="3242" spans="4:4">
      <c r="D3242" s="65"/>
    </row>
    <row r="3243" spans="4:4">
      <c r="D3243" s="65"/>
    </row>
    <row r="3244" spans="4:4">
      <c r="D3244" s="65"/>
    </row>
    <row r="3245" spans="4:4">
      <c r="D3245" s="65"/>
    </row>
    <row r="3246" spans="4:4">
      <c r="D3246" s="65"/>
    </row>
    <row r="3247" spans="4:4">
      <c r="D3247" s="65"/>
    </row>
    <row r="3248" spans="4:4">
      <c r="D3248" s="65"/>
    </row>
    <row r="3249" spans="4:4">
      <c r="D3249" s="65"/>
    </row>
    <row r="3250" spans="4:4">
      <c r="D3250" s="65"/>
    </row>
    <row r="3251" spans="4:4">
      <c r="D3251" s="65"/>
    </row>
    <row r="3252" spans="4:4">
      <c r="D3252" s="65"/>
    </row>
    <row r="3253" spans="4:4">
      <c r="D3253" s="65"/>
    </row>
    <row r="3254" spans="4:4">
      <c r="D3254" s="65"/>
    </row>
    <row r="3255" spans="4:4">
      <c r="D3255" s="65"/>
    </row>
    <row r="3256" spans="4:4">
      <c r="D3256" s="65"/>
    </row>
    <row r="3257" spans="4:4">
      <c r="D3257" s="65"/>
    </row>
    <row r="3258" spans="4:4">
      <c r="D3258" s="65"/>
    </row>
    <row r="3259" spans="4:4">
      <c r="D3259" s="65"/>
    </row>
    <row r="3260" spans="4:4">
      <c r="D3260" s="65"/>
    </row>
    <row r="3261" spans="4:4">
      <c r="D3261" s="65"/>
    </row>
    <row r="3262" spans="4:4">
      <c r="D3262" s="65"/>
    </row>
    <row r="3263" spans="4:4">
      <c r="D3263" s="65"/>
    </row>
    <row r="3264" spans="4:4">
      <c r="D3264" s="65"/>
    </row>
    <row r="3265" spans="4:4">
      <c r="D3265" s="65"/>
    </row>
    <row r="3266" spans="4:4">
      <c r="D3266" s="65"/>
    </row>
    <row r="3267" spans="4:4">
      <c r="D3267" s="65"/>
    </row>
    <row r="3268" spans="4:4">
      <c r="D3268" s="65"/>
    </row>
    <row r="3269" spans="4:4">
      <c r="D3269" s="65"/>
    </row>
    <row r="3270" spans="4:4">
      <c r="D3270" s="65"/>
    </row>
    <row r="3271" spans="4:4">
      <c r="D3271" s="65"/>
    </row>
    <row r="3272" spans="4:4">
      <c r="D3272" s="65"/>
    </row>
    <row r="3273" spans="4:4">
      <c r="D3273" s="65"/>
    </row>
    <row r="3274" spans="4:4">
      <c r="D3274" s="65"/>
    </row>
    <row r="3275" spans="4:4">
      <c r="D3275" s="65"/>
    </row>
    <row r="3276" spans="4:4">
      <c r="D3276" s="65"/>
    </row>
    <row r="3277" spans="4:4">
      <c r="D3277" s="65"/>
    </row>
    <row r="3278" spans="4:4">
      <c r="D3278" s="65"/>
    </row>
    <row r="3279" spans="4:4">
      <c r="D3279" s="65"/>
    </row>
    <row r="3280" spans="4:4">
      <c r="D3280" s="65"/>
    </row>
    <row r="3281" spans="4:4">
      <c r="D3281" s="65"/>
    </row>
    <row r="3282" spans="4:4">
      <c r="D3282" s="65"/>
    </row>
    <row r="3283" spans="4:4">
      <c r="D3283" s="65"/>
    </row>
    <row r="3284" spans="4:4">
      <c r="D3284" s="65"/>
    </row>
    <row r="3285" spans="4:4">
      <c r="D3285" s="65"/>
    </row>
    <row r="3286" spans="4:4">
      <c r="D3286" s="65"/>
    </row>
    <row r="3287" spans="4:4">
      <c r="D3287" s="65"/>
    </row>
    <row r="3288" spans="4:4">
      <c r="D3288" s="65"/>
    </row>
    <row r="3289" spans="4:4">
      <c r="D3289" s="65"/>
    </row>
    <row r="3290" spans="4:4">
      <c r="D3290" s="65"/>
    </row>
    <row r="3291" spans="4:4">
      <c r="D3291" s="65"/>
    </row>
    <row r="3292" spans="4:4">
      <c r="D3292" s="65"/>
    </row>
    <row r="3293" spans="4:4">
      <c r="D3293" s="65"/>
    </row>
    <row r="3294" spans="4:4">
      <c r="D3294" s="65"/>
    </row>
    <row r="3295" spans="4:4">
      <c r="D3295" s="65"/>
    </row>
    <row r="3296" spans="4:4">
      <c r="D3296" s="65"/>
    </row>
    <row r="3297" spans="4:4">
      <c r="D3297" s="65"/>
    </row>
    <row r="3298" spans="4:4">
      <c r="D3298" s="65"/>
    </row>
    <row r="3299" spans="4:4">
      <c r="D3299" s="65"/>
    </row>
    <row r="3300" spans="4:4">
      <c r="D3300" s="65"/>
    </row>
    <row r="3301" spans="4:4">
      <c r="D3301" s="65"/>
    </row>
    <row r="3302" spans="4:4">
      <c r="D3302" s="65"/>
    </row>
    <row r="3303" spans="4:4">
      <c r="D3303" s="65"/>
    </row>
    <row r="3304" spans="4:4">
      <c r="D3304" s="65"/>
    </row>
    <row r="3305" spans="4:4">
      <c r="D3305" s="65"/>
    </row>
    <row r="3306" spans="4:4">
      <c r="D3306" s="65"/>
    </row>
    <row r="3307" spans="4:4">
      <c r="D3307" s="65"/>
    </row>
    <row r="3308" spans="4:4">
      <c r="D3308" s="65"/>
    </row>
    <row r="3309" spans="4:4">
      <c r="D3309" s="65"/>
    </row>
    <row r="3310" spans="4:4">
      <c r="D3310" s="65"/>
    </row>
    <row r="3311" spans="4:4">
      <c r="D3311" s="65"/>
    </row>
    <row r="3312" spans="4:4">
      <c r="D3312" s="65"/>
    </row>
    <row r="3313" spans="4:4">
      <c r="D3313" s="65"/>
    </row>
    <row r="3314" spans="4:4">
      <c r="D3314" s="65"/>
    </row>
    <row r="3315" spans="4:4">
      <c r="D3315" s="65"/>
    </row>
    <row r="3316" spans="4:4">
      <c r="D3316" s="65"/>
    </row>
    <row r="3317" spans="4:4">
      <c r="D3317" s="65"/>
    </row>
    <row r="3318" spans="4:4">
      <c r="D3318" s="65"/>
    </row>
    <row r="3319" spans="4:4">
      <c r="D3319" s="65"/>
    </row>
    <row r="3320" spans="4:4">
      <c r="D3320" s="65"/>
    </row>
    <row r="3321" spans="4:4">
      <c r="D3321" s="65"/>
    </row>
    <row r="3322" spans="4:4">
      <c r="D3322" s="65"/>
    </row>
    <row r="3323" spans="4:4">
      <c r="D3323" s="65"/>
    </row>
    <row r="3324" spans="4:4">
      <c r="D3324" s="65"/>
    </row>
    <row r="3325" spans="4:4">
      <c r="D3325" s="65"/>
    </row>
    <row r="3326" spans="4:4">
      <c r="D3326" s="65"/>
    </row>
    <row r="3327" spans="4:4">
      <c r="D3327" s="65"/>
    </row>
    <row r="3328" spans="4:4">
      <c r="D3328" s="65"/>
    </row>
    <row r="3329" spans="4:4">
      <c r="D3329" s="65"/>
    </row>
    <row r="3330" spans="4:4">
      <c r="D3330" s="65"/>
    </row>
  </sheetData>
  <autoFilter ref="A3:AA457" xr:uid="{00000000-0009-0000-0000-00000F000000}"/>
  <sortState xmlns:xlrd2="http://schemas.microsoft.com/office/spreadsheetml/2017/richdata2" ref="B4:B59">
    <sortCondition ref="B3"/>
  </sortState>
  <phoneticPr fontId="133" type="noConversion"/>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898C"/>
  </sheetPr>
  <dimension ref="A1:CR409"/>
  <sheetViews>
    <sheetView tabSelected="1" zoomScale="89" zoomScaleNormal="89" zoomScaleSheetLayoutView="40" workbookViewId="0">
      <pane xSplit="8" ySplit="6" topLeftCell="I160" activePane="bottomRight" state="frozen"/>
      <selection pane="topRight" activeCell="I1" sqref="I1"/>
      <selection pane="bottomLeft" activeCell="A7" sqref="A7"/>
      <selection pane="bottomRight" activeCell="G19" sqref="G19"/>
    </sheetView>
  </sheetViews>
  <sheetFormatPr defaultColWidth="9" defaultRowHeight="15.6" outlineLevelCol="1"/>
  <cols>
    <col min="1" max="1" width="9.09765625" style="34" customWidth="1"/>
    <col min="2" max="2" width="9" style="34" customWidth="1"/>
    <col min="3" max="3" width="8.19921875" style="20" customWidth="1"/>
    <col min="4" max="4" width="18" style="20" customWidth="1"/>
    <col min="5" max="5" width="15.19921875" style="20" bestFit="1" customWidth="1"/>
    <col min="6" max="6" width="10.09765625" style="20" customWidth="1"/>
    <col min="7" max="7" width="18.5" style="20" customWidth="1"/>
    <col min="8" max="8" width="33.19921875" style="20" customWidth="1"/>
    <col min="9" max="9" width="7.69921875" style="20" customWidth="1"/>
    <col min="10" max="10" width="8.5" style="38" customWidth="1"/>
    <col min="11" max="11" width="14.69921875" style="20" customWidth="1"/>
    <col min="12" max="12" width="17.69921875" customWidth="1"/>
    <col min="13" max="13" width="12.09765625" customWidth="1"/>
    <col min="14" max="14" width="15.19921875" style="33" customWidth="1"/>
    <col min="15" max="16" width="16.5" customWidth="1"/>
    <col min="17" max="18" width="16.69921875" style="31" customWidth="1"/>
    <col min="19" max="20" width="13.09765625" style="31" customWidth="1"/>
    <col min="21" max="21" width="14.59765625" style="31" customWidth="1"/>
    <col min="22" max="22" width="16.5" style="20" customWidth="1"/>
    <col min="23" max="23" width="15.59765625" style="32" customWidth="1"/>
    <col min="24" max="24" width="14.69921875" style="33" customWidth="1"/>
    <col min="25" max="25" width="13.09765625" style="33" customWidth="1"/>
    <col min="26" max="27" width="17.59765625" style="20" customWidth="1"/>
    <col min="28" max="29" width="17.59765625" style="33" customWidth="1"/>
    <col min="30" max="30" width="12.19921875" style="35" customWidth="1"/>
    <col min="31" max="42" width="13.09765625" style="35" customWidth="1"/>
    <col min="43" max="45" width="27" style="35" customWidth="1"/>
    <col min="46" max="46" width="16.19921875" style="33" customWidth="1" outlineLevel="1"/>
    <col min="47" max="47" width="24.19921875" style="33" customWidth="1" outlineLevel="1"/>
    <col min="48" max="48" width="20.59765625" style="33" customWidth="1" outlineLevel="1"/>
    <col min="49" max="49" width="17.09765625" style="33" customWidth="1" outlineLevel="1"/>
    <col min="50" max="50" width="13" style="33" customWidth="1" outlineLevel="1"/>
    <col min="51" max="51" width="15.69921875" style="31" customWidth="1" outlineLevel="1"/>
    <col min="52" max="52" width="22.5" style="31" customWidth="1" outlineLevel="1"/>
    <col min="53" max="53" width="13.09765625" style="31" customWidth="1" outlineLevel="1"/>
    <col min="54" max="54" width="13.09765625" style="33" customWidth="1" outlineLevel="1"/>
    <col min="55" max="55" width="15.5" style="31" customWidth="1" outlineLevel="1"/>
    <col min="56" max="56" width="14" style="31" customWidth="1" outlineLevel="1"/>
    <col min="57" max="58" width="12" style="33" customWidth="1" outlineLevel="1"/>
    <col min="59" max="60" width="19.19921875" style="33" customWidth="1" outlineLevel="1"/>
    <col min="61" max="61" width="9" customWidth="1" outlineLevel="1"/>
    <col min="62" max="62" width="12.09765625" style="32" customWidth="1" outlineLevel="1"/>
    <col min="63" max="63" width="18" customWidth="1" outlineLevel="1"/>
    <col min="64" max="64" width="18" style="470" customWidth="1" outlineLevel="1"/>
    <col min="65" max="65" width="15.5" style="33" customWidth="1" outlineLevel="1"/>
    <col min="66" max="66" width="23.09765625" style="33" customWidth="1" outlineLevel="1"/>
    <col min="67" max="67" width="14.19921875" style="33" customWidth="1" outlineLevel="1"/>
    <col min="68" max="68" width="11.69921875" style="33" customWidth="1" outlineLevel="1"/>
    <col min="69" max="71" width="11.69921875" style="473" customWidth="1" outlineLevel="1"/>
    <col min="72" max="72" width="16.19921875" style="393" customWidth="1" outlineLevel="1"/>
    <col min="73" max="75" width="12" style="33" customWidth="1"/>
    <col min="76" max="76" width="11.69921875" customWidth="1"/>
    <col min="77" max="77" width="13.69921875" style="33" customWidth="1"/>
    <col min="78" max="78" width="13.09765625" style="33" bestFit="1" customWidth="1"/>
    <col min="79" max="79" width="8.69921875" style="35" bestFit="1" customWidth="1"/>
    <col min="80" max="80" width="27.19921875" style="31" customWidth="1"/>
    <col min="81" max="81" width="12" style="31" customWidth="1"/>
    <col min="82" max="83" width="12" style="33" customWidth="1"/>
    <col min="85" max="85" width="15.19921875" style="33" customWidth="1"/>
    <col min="86" max="86" width="10.09765625" style="36" customWidth="1"/>
    <col min="87" max="87" width="12" style="36" customWidth="1"/>
    <col min="88" max="88" width="21.09765625" style="37" bestFit="1" customWidth="1"/>
    <col min="89" max="89" width="11.19921875" style="37" customWidth="1"/>
    <col min="90" max="90" width="13.69921875" style="37" customWidth="1"/>
    <col min="91" max="91" width="24.69921875" style="37" customWidth="1"/>
    <col min="92" max="92" width="9.09765625" style="37" customWidth="1"/>
    <col min="93" max="93" width="10.59765625" style="37" customWidth="1"/>
    <col min="94" max="94" width="15.19921875" style="37" customWidth="1"/>
    <col min="95" max="95" width="9.5" style="37" customWidth="1"/>
    <col min="96" max="96" width="14.5" style="37" customWidth="1"/>
    <col min="97" max="97" width="9" style="20" customWidth="1"/>
    <col min="98" max="16384" width="9" style="20"/>
  </cols>
  <sheetData>
    <row r="1" spans="1:80" s="19" customFormat="1" ht="13.5" hidden="1" customHeight="1" thickBot="1">
      <c r="A1" s="223"/>
      <c r="B1" s="229" t="s">
        <v>2353</v>
      </c>
      <c r="C1" s="229"/>
      <c r="D1" s="229"/>
      <c r="E1" s="227" t="s">
        <v>2351</v>
      </c>
      <c r="F1" s="219"/>
      <c r="G1" s="219"/>
      <c r="H1" s="219"/>
      <c r="I1" s="219"/>
      <c r="J1" s="219"/>
      <c r="K1" s="849" t="s">
        <v>2352</v>
      </c>
      <c r="L1" s="850"/>
      <c r="M1" s="69"/>
      <c r="N1" s="69"/>
      <c r="O1" s="224" t="s">
        <v>1982</v>
      </c>
      <c r="P1" s="224"/>
      <c r="Q1" s="224"/>
      <c r="R1" s="224"/>
      <c r="S1" s="224"/>
      <c r="T1" s="224"/>
      <c r="U1" s="224"/>
      <c r="V1" s="225" t="s">
        <v>1983</v>
      </c>
      <c r="W1" s="225"/>
      <c r="X1" s="225"/>
      <c r="Y1" s="225"/>
      <c r="Z1" s="225"/>
      <c r="AA1" s="225"/>
      <c r="AB1" s="225"/>
      <c r="AC1" s="225"/>
      <c r="AD1" s="226" t="s">
        <v>1984</v>
      </c>
      <c r="AE1" s="226"/>
      <c r="AF1" s="226"/>
      <c r="AG1" s="226"/>
      <c r="AH1" s="226"/>
      <c r="AI1" s="226"/>
      <c r="AJ1" s="226"/>
      <c r="AK1" s="226"/>
      <c r="AL1" s="226"/>
      <c r="AM1" s="226"/>
      <c r="AN1" s="226"/>
      <c r="AO1" s="632" t="s">
        <v>2938</v>
      </c>
      <c r="AP1" s="632"/>
      <c r="AQ1" s="632"/>
      <c r="AR1" s="632"/>
      <c r="AS1" s="632"/>
      <c r="AT1" s="70"/>
      <c r="AU1" s="72"/>
      <c r="AV1" s="70"/>
      <c r="AW1" s="70"/>
      <c r="AX1" s="70"/>
      <c r="AY1" s="72"/>
      <c r="AZ1" s="72"/>
      <c r="BA1" s="70"/>
      <c r="BB1" s="70"/>
      <c r="BC1" s="70"/>
      <c r="BD1" s="70"/>
      <c r="BE1" s="70"/>
      <c r="BF1" s="72"/>
      <c r="BG1" s="72"/>
      <c r="BH1" s="70"/>
      <c r="BI1" s="70"/>
      <c r="BJ1" s="70"/>
      <c r="BK1" s="72"/>
      <c r="BL1" s="72"/>
      <c r="BM1" s="72"/>
      <c r="BN1" s="70"/>
      <c r="BO1" s="70"/>
      <c r="BP1" s="70"/>
      <c r="BQ1" s="70"/>
      <c r="BR1" s="70"/>
      <c r="BS1" s="70"/>
      <c r="BT1" s="70"/>
      <c r="BU1" s="143"/>
      <c r="BV1" s="143"/>
      <c r="BW1" s="143"/>
      <c r="BX1" s="143"/>
      <c r="BY1" s="143"/>
      <c r="BZ1" s="143"/>
      <c r="CA1" s="143"/>
      <c r="CB1" s="143"/>
    </row>
    <row r="2" spans="1:80" s="550" customFormat="1" ht="14.7" hidden="1" customHeight="1" thickBot="1">
      <c r="A2" s="218" t="s">
        <v>0</v>
      </c>
      <c r="B2" s="228" t="s">
        <v>1</v>
      </c>
      <c r="C2" s="228" t="s">
        <v>2</v>
      </c>
      <c r="D2" s="228" t="s">
        <v>3</v>
      </c>
      <c r="E2" s="219" t="s">
        <v>4</v>
      </c>
      <c r="F2" s="219" t="s">
        <v>1150</v>
      </c>
      <c r="G2" s="219" t="s">
        <v>5</v>
      </c>
      <c r="H2" s="219" t="s">
        <v>6</v>
      </c>
      <c r="I2" s="219" t="s">
        <v>49</v>
      </c>
      <c r="J2" s="219" t="s">
        <v>50</v>
      </c>
      <c r="K2" s="217" t="s">
        <v>53</v>
      </c>
      <c r="L2" s="217" t="s">
        <v>55</v>
      </c>
      <c r="M2" s="218" t="s">
        <v>57</v>
      </c>
      <c r="N2" s="218" t="s">
        <v>110</v>
      </c>
      <c r="O2" s="543" t="s">
        <v>111</v>
      </c>
      <c r="P2" s="543" t="s">
        <v>59</v>
      </c>
      <c r="Q2" s="543" t="s">
        <v>58</v>
      </c>
      <c r="R2" s="543" t="s">
        <v>60</v>
      </c>
      <c r="S2" s="543" t="s">
        <v>1151</v>
      </c>
      <c r="T2" s="543" t="s">
        <v>62</v>
      </c>
      <c r="U2" s="543" t="s">
        <v>63</v>
      </c>
      <c r="V2" s="540" t="s">
        <v>64</v>
      </c>
      <c r="W2" s="540" t="s">
        <v>65</v>
      </c>
      <c r="X2" s="540" t="s">
        <v>1152</v>
      </c>
      <c r="Y2" s="540" t="s">
        <v>66</v>
      </c>
      <c r="Z2" s="540" t="s">
        <v>67</v>
      </c>
      <c r="AA2" s="540" t="s">
        <v>68</v>
      </c>
      <c r="AB2" s="540" t="s">
        <v>69</v>
      </c>
      <c r="AC2" s="540" t="s">
        <v>1301</v>
      </c>
      <c r="AD2" s="541" t="s">
        <v>1302</v>
      </c>
      <c r="AE2" s="541" t="s">
        <v>1303</v>
      </c>
      <c r="AF2" s="541" t="s">
        <v>1304</v>
      </c>
      <c r="AG2" s="541" t="s">
        <v>1305</v>
      </c>
      <c r="AH2" s="541" t="s">
        <v>1306</v>
      </c>
      <c r="AI2" s="541" t="s">
        <v>1307</v>
      </c>
      <c r="AJ2" s="541" t="s">
        <v>1308</v>
      </c>
      <c r="AK2" s="541" t="s">
        <v>1309</v>
      </c>
      <c r="AL2" s="541" t="s">
        <v>1310</v>
      </c>
      <c r="AM2" s="541" t="s">
        <v>1969</v>
      </c>
      <c r="AN2" s="541" t="s">
        <v>1970</v>
      </c>
      <c r="AO2" s="542" t="s">
        <v>2210</v>
      </c>
      <c r="AP2" s="542" t="s">
        <v>2318</v>
      </c>
      <c r="AQ2" s="696" t="s">
        <v>2319</v>
      </c>
      <c r="AR2" s="696" t="s">
        <v>2320</v>
      </c>
      <c r="AS2" s="696" t="s">
        <v>2321</v>
      </c>
      <c r="AT2" s="851"/>
      <c r="AU2" s="846" t="s">
        <v>2492</v>
      </c>
      <c r="AV2" s="852" t="s">
        <v>2022</v>
      </c>
      <c r="AW2" s="853"/>
      <c r="AX2" s="846"/>
      <c r="AY2" s="846" t="s">
        <v>73</v>
      </c>
      <c r="AZ2" s="865"/>
      <c r="BA2" s="868" t="s">
        <v>2498</v>
      </c>
      <c r="BB2" s="869"/>
      <c r="BC2" s="861" t="s">
        <v>2497</v>
      </c>
      <c r="BD2" s="862"/>
      <c r="BE2" s="526"/>
      <c r="BF2" s="867" t="s">
        <v>2501</v>
      </c>
      <c r="BG2" s="867"/>
      <c r="BH2" s="856"/>
      <c r="BI2" s="857" t="s">
        <v>1922</v>
      </c>
      <c r="BJ2" s="858"/>
      <c r="BK2" s="544" t="s">
        <v>1886</v>
      </c>
      <c r="BL2" s="544"/>
      <c r="BM2" s="545"/>
      <c r="BN2" s="546"/>
      <c r="BO2" s="547" t="s">
        <v>1922</v>
      </c>
      <c r="BP2" s="548"/>
      <c r="BQ2" s="548"/>
      <c r="BR2" s="548"/>
      <c r="BS2" s="548"/>
      <c r="BT2" s="545"/>
      <c r="BU2" s="549" t="s">
        <v>7</v>
      </c>
      <c r="BV2" s="549" t="s">
        <v>8</v>
      </c>
      <c r="BW2" s="549" t="s">
        <v>2899</v>
      </c>
      <c r="BX2" s="549" t="s">
        <v>9</v>
      </c>
      <c r="BY2" s="549" t="s">
        <v>10</v>
      </c>
      <c r="BZ2" s="549" t="s">
        <v>11</v>
      </c>
      <c r="CA2" s="549" t="s">
        <v>12</v>
      </c>
      <c r="CB2" s="549" t="s">
        <v>13</v>
      </c>
    </row>
    <row r="3" spans="1:80" s="250" customFormat="1" ht="28.5" hidden="1" customHeight="1" thickBot="1">
      <c r="A3" s="307" t="s">
        <v>2360</v>
      </c>
      <c r="B3" s="308" t="s">
        <v>2361</v>
      </c>
      <c r="C3" s="308" t="s">
        <v>2362</v>
      </c>
      <c r="D3" s="308" t="s">
        <v>2363</v>
      </c>
      <c r="E3" s="309" t="s">
        <v>2364</v>
      </c>
      <c r="F3" s="309" t="s">
        <v>2365</v>
      </c>
      <c r="G3" s="309" t="s">
        <v>2366</v>
      </c>
      <c r="H3" s="309" t="s">
        <v>2367</v>
      </c>
      <c r="I3" s="309" t="s">
        <v>2409</v>
      </c>
      <c r="J3" s="309" t="s">
        <v>2408</v>
      </c>
      <c r="K3" s="310" t="s">
        <v>2368</v>
      </c>
      <c r="L3" s="310" t="s">
        <v>2369</v>
      </c>
      <c r="M3" s="307" t="s">
        <v>2466</v>
      </c>
      <c r="N3" s="307" t="s">
        <v>2373</v>
      </c>
      <c r="O3" s="311"/>
      <c r="P3" s="311"/>
      <c r="Q3" s="311"/>
      <c r="R3" s="311"/>
      <c r="S3" s="311"/>
      <c r="T3" s="311"/>
      <c r="U3" s="311"/>
      <c r="V3" s="312"/>
      <c r="W3" s="312"/>
      <c r="X3" s="312"/>
      <c r="Y3" s="313"/>
      <c r="Z3" s="314"/>
      <c r="AA3" s="308"/>
      <c r="AB3" s="315"/>
      <c r="AC3" s="316"/>
      <c r="AD3" s="317"/>
      <c r="AE3" s="317"/>
      <c r="AF3" s="317"/>
      <c r="AG3" s="318"/>
      <c r="AH3" s="317"/>
      <c r="AI3" s="317"/>
      <c r="AJ3" s="319"/>
      <c r="AK3" s="317"/>
      <c r="AL3" s="317"/>
      <c r="AM3" s="317"/>
      <c r="AN3" s="319"/>
      <c r="AO3" s="319"/>
      <c r="AP3" s="319"/>
      <c r="AQ3" s="682"/>
      <c r="AR3" s="682"/>
      <c r="AS3" s="682"/>
      <c r="AT3" s="851"/>
      <c r="AU3" s="846"/>
      <c r="AV3" s="854"/>
      <c r="AW3" s="855"/>
      <c r="AX3" s="846"/>
      <c r="AY3" s="846" t="s">
        <v>73</v>
      </c>
      <c r="AZ3" s="866"/>
      <c r="BA3" s="870"/>
      <c r="BB3" s="871"/>
      <c r="BC3" s="863"/>
      <c r="BD3" s="864"/>
      <c r="BE3" s="427"/>
      <c r="BF3" s="867" t="s">
        <v>2501</v>
      </c>
      <c r="BG3" s="867"/>
      <c r="BH3" s="856"/>
      <c r="BI3" s="859"/>
      <c r="BJ3" s="860"/>
      <c r="BK3" s="360" t="s">
        <v>2504</v>
      </c>
      <c r="BL3" s="360"/>
      <c r="BM3" s="365" t="s">
        <v>1628</v>
      </c>
      <c r="BN3" s="367"/>
      <c r="BO3" s="374"/>
      <c r="BP3" s="371"/>
      <c r="BQ3" s="371"/>
      <c r="BR3" s="371"/>
      <c r="BS3" s="371"/>
      <c r="BT3" s="359"/>
      <c r="BU3" s="249"/>
      <c r="BV3" s="249"/>
      <c r="BW3" s="249"/>
      <c r="BX3" s="249"/>
      <c r="BY3" s="249"/>
      <c r="BZ3" s="249"/>
      <c r="CA3" s="249"/>
      <c r="CB3" s="249"/>
    </row>
    <row r="4" spans="1:80" s="264" customFormat="1" ht="60.6" customHeight="1" thickBot="1">
      <c r="A4" s="302" t="s">
        <v>2293</v>
      </c>
      <c r="B4" s="303" t="s">
        <v>2295</v>
      </c>
      <c r="C4" s="303" t="s">
        <v>2297</v>
      </c>
      <c r="D4" s="303" t="s">
        <v>2299</v>
      </c>
      <c r="E4" s="304" t="s">
        <v>19</v>
      </c>
      <c r="F4" s="304" t="s">
        <v>20</v>
      </c>
      <c r="G4" s="304" t="s">
        <v>2301</v>
      </c>
      <c r="H4" s="304" t="s">
        <v>2303</v>
      </c>
      <c r="I4" s="304" t="s">
        <v>22</v>
      </c>
      <c r="J4" s="304" t="s">
        <v>1892</v>
      </c>
      <c r="K4" s="305" t="s">
        <v>2305</v>
      </c>
      <c r="L4" s="305" t="s">
        <v>2307</v>
      </c>
      <c r="M4" s="302" t="s">
        <v>2888</v>
      </c>
      <c r="N4" s="302" t="s">
        <v>2309</v>
      </c>
      <c r="O4" s="306" t="s">
        <v>2835</v>
      </c>
      <c r="P4" s="306" t="s">
        <v>2834</v>
      </c>
      <c r="Q4" s="306" t="s">
        <v>2828</v>
      </c>
      <c r="R4" s="306" t="s">
        <v>2991</v>
      </c>
      <c r="S4" s="306" t="s">
        <v>2833</v>
      </c>
      <c r="T4" s="306" t="s">
        <v>2838</v>
      </c>
      <c r="U4" s="306" t="s">
        <v>2825</v>
      </c>
      <c r="V4" s="202" t="s">
        <v>2837</v>
      </c>
      <c r="W4" s="202" t="s">
        <v>2836</v>
      </c>
      <c r="X4" s="202" t="s">
        <v>2839</v>
      </c>
      <c r="Y4" s="202" t="s">
        <v>2840</v>
      </c>
      <c r="Z4" s="202" t="s">
        <v>2842</v>
      </c>
      <c r="AA4" s="202" t="s">
        <v>2841</v>
      </c>
      <c r="AB4" s="202" t="s">
        <v>2843</v>
      </c>
      <c r="AC4" s="202" t="s">
        <v>2826</v>
      </c>
      <c r="AD4" s="378" t="s">
        <v>2844</v>
      </c>
      <c r="AE4" s="378" t="s">
        <v>2845</v>
      </c>
      <c r="AF4" s="378" t="s">
        <v>2846</v>
      </c>
      <c r="AG4" s="378" t="s">
        <v>2847</v>
      </c>
      <c r="AH4" s="378" t="s">
        <v>2848</v>
      </c>
      <c r="AI4" s="378" t="s">
        <v>2849</v>
      </c>
      <c r="AJ4" s="378" t="s">
        <v>2881</v>
      </c>
      <c r="AK4" s="378" t="s">
        <v>2851</v>
      </c>
      <c r="AL4" s="378" t="s">
        <v>2934</v>
      </c>
      <c r="AM4" s="378" t="s">
        <v>2935</v>
      </c>
      <c r="AN4" s="378" t="s">
        <v>2827</v>
      </c>
      <c r="AO4" s="535" t="s">
        <v>2855</v>
      </c>
      <c r="AP4" s="535" t="s">
        <v>2854</v>
      </c>
      <c r="AQ4" s="682" t="s">
        <v>3127</v>
      </c>
      <c r="AR4" s="682" t="s">
        <v>3129</v>
      </c>
      <c r="AS4" s="682" t="s">
        <v>3130</v>
      </c>
      <c r="AT4" s="321" t="s">
        <v>112</v>
      </c>
      <c r="AU4" s="330" t="s">
        <v>113</v>
      </c>
      <c r="AV4" s="320" t="s">
        <v>1889</v>
      </c>
      <c r="AW4" s="330" t="s">
        <v>114</v>
      </c>
      <c r="AX4" s="320" t="s">
        <v>115</v>
      </c>
      <c r="AY4" s="329" t="s">
        <v>2495</v>
      </c>
      <c r="AZ4" s="328" t="s">
        <v>116</v>
      </c>
      <c r="BA4" s="323" t="s">
        <v>117</v>
      </c>
      <c r="BB4" s="340" t="s">
        <v>2502</v>
      </c>
      <c r="BC4" s="337" t="s">
        <v>118</v>
      </c>
      <c r="BD4" s="328" t="s">
        <v>119</v>
      </c>
      <c r="BE4" s="342" t="s">
        <v>2656</v>
      </c>
      <c r="BF4" s="344" t="s">
        <v>2500</v>
      </c>
      <c r="BG4" s="343" t="s">
        <v>2359</v>
      </c>
      <c r="BH4" s="349" t="s">
        <v>121</v>
      </c>
      <c r="BI4" s="352" t="s">
        <v>120</v>
      </c>
      <c r="BJ4" s="353" t="s">
        <v>2655</v>
      </c>
      <c r="BK4" s="358" t="s">
        <v>74</v>
      </c>
      <c r="BL4" s="358"/>
      <c r="BM4" s="364" t="s">
        <v>2505</v>
      </c>
      <c r="BN4" s="366" t="s">
        <v>122</v>
      </c>
      <c r="BO4" s="375" t="s">
        <v>2443</v>
      </c>
      <c r="BP4" s="370" t="s">
        <v>123</v>
      </c>
      <c r="BQ4" s="370"/>
      <c r="BR4" s="370"/>
      <c r="BS4" s="370"/>
      <c r="BT4" s="358" t="s">
        <v>2898</v>
      </c>
      <c r="BU4" s="263" t="s">
        <v>125</v>
      </c>
      <c r="BV4" s="263" t="s">
        <v>27</v>
      </c>
      <c r="BW4" s="263" t="s">
        <v>28</v>
      </c>
      <c r="BX4" s="263" t="s">
        <v>29</v>
      </c>
      <c r="BY4" s="263" t="s">
        <v>30</v>
      </c>
      <c r="BZ4" s="263" t="s">
        <v>31</v>
      </c>
      <c r="CA4" s="263" t="s">
        <v>32</v>
      </c>
      <c r="CB4" s="263" t="s">
        <v>33</v>
      </c>
    </row>
    <row r="5" spans="1:80" s="270" customFormat="1" ht="27" customHeight="1" thickBot="1">
      <c r="A5" s="265" t="s">
        <v>14</v>
      </c>
      <c r="B5" s="266" t="s">
        <v>14</v>
      </c>
      <c r="C5" s="266" t="s">
        <v>14</v>
      </c>
      <c r="D5" s="266" t="s">
        <v>16</v>
      </c>
      <c r="E5" s="267" t="s">
        <v>14</v>
      </c>
      <c r="F5" s="267" t="s">
        <v>14</v>
      </c>
      <c r="G5" s="267" t="s">
        <v>2436</v>
      </c>
      <c r="H5" s="267" t="s">
        <v>14</v>
      </c>
      <c r="I5" s="267" t="s">
        <v>15</v>
      </c>
      <c r="J5" s="267" t="s">
        <v>15</v>
      </c>
      <c r="K5" s="268" t="s">
        <v>17</v>
      </c>
      <c r="L5" s="268" t="s">
        <v>17</v>
      </c>
      <c r="M5" s="265" t="s">
        <v>15</v>
      </c>
      <c r="N5" s="265" t="s">
        <v>15</v>
      </c>
      <c r="O5" s="552" t="s">
        <v>15</v>
      </c>
      <c r="P5" s="552" t="s">
        <v>15</v>
      </c>
      <c r="Q5" s="552" t="s">
        <v>15</v>
      </c>
      <c r="R5" s="552" t="s">
        <v>2992</v>
      </c>
      <c r="S5" s="552" t="s">
        <v>15</v>
      </c>
      <c r="T5" s="552" t="s">
        <v>15</v>
      </c>
      <c r="U5" s="552" t="s">
        <v>16</v>
      </c>
      <c r="V5" s="553" t="s">
        <v>15</v>
      </c>
      <c r="W5" s="553" t="s">
        <v>2310</v>
      </c>
      <c r="X5" s="553" t="s">
        <v>15</v>
      </c>
      <c r="Y5" s="553" t="s">
        <v>15</v>
      </c>
      <c r="Z5" s="553" t="s">
        <v>15</v>
      </c>
      <c r="AA5" s="553" t="s">
        <v>15</v>
      </c>
      <c r="AB5" s="553" t="s">
        <v>15</v>
      </c>
      <c r="AC5" s="553" t="s">
        <v>16</v>
      </c>
      <c r="AD5" s="554" t="s">
        <v>15</v>
      </c>
      <c r="AE5" s="554" t="s">
        <v>15</v>
      </c>
      <c r="AF5" s="554" t="s">
        <v>15</v>
      </c>
      <c r="AG5" s="554" t="s">
        <v>15</v>
      </c>
      <c r="AH5" s="554" t="s">
        <v>15</v>
      </c>
      <c r="AI5" s="554" t="s">
        <v>15</v>
      </c>
      <c r="AJ5" s="554" t="s">
        <v>15</v>
      </c>
      <c r="AK5" s="554" t="s">
        <v>15</v>
      </c>
      <c r="AL5" s="554" t="s">
        <v>15</v>
      </c>
      <c r="AM5" s="554" t="s">
        <v>15</v>
      </c>
      <c r="AN5" s="554" t="s">
        <v>16</v>
      </c>
      <c r="AO5" s="555" t="s">
        <v>54</v>
      </c>
      <c r="AP5" s="555" t="s">
        <v>54</v>
      </c>
      <c r="AQ5" s="694" t="s">
        <v>15</v>
      </c>
      <c r="AR5" s="694" t="s">
        <v>15</v>
      </c>
      <c r="AS5" s="694" t="s">
        <v>15</v>
      </c>
      <c r="AT5" s="322" t="s">
        <v>54</v>
      </c>
      <c r="AU5" s="326" t="s">
        <v>15</v>
      </c>
      <c r="AV5" s="322" t="s">
        <v>54</v>
      </c>
      <c r="AW5" s="332" t="s">
        <v>15</v>
      </c>
      <c r="AX5" s="332"/>
      <c r="AY5" s="332"/>
      <c r="AZ5" s="335"/>
      <c r="BA5" s="847" t="s">
        <v>2023</v>
      </c>
      <c r="BB5" s="848"/>
      <c r="BC5" s="338" t="s">
        <v>15</v>
      </c>
      <c r="BD5" s="335" t="s">
        <v>15</v>
      </c>
      <c r="BE5" s="345" t="s">
        <v>54</v>
      </c>
      <c r="BF5" s="346" t="s">
        <v>15</v>
      </c>
      <c r="BG5" s="347"/>
      <c r="BH5" s="350" t="s">
        <v>15</v>
      </c>
      <c r="BI5" s="354" t="s">
        <v>15</v>
      </c>
      <c r="BJ5" s="355" t="s">
        <v>54</v>
      </c>
      <c r="BK5" s="361" t="s">
        <v>15</v>
      </c>
      <c r="BL5" s="361" t="s">
        <v>15</v>
      </c>
      <c r="BM5" s="362"/>
      <c r="BN5" s="368" t="s">
        <v>54</v>
      </c>
      <c r="BO5" s="376" t="s">
        <v>54</v>
      </c>
      <c r="BP5" s="372" t="s">
        <v>54</v>
      </c>
      <c r="BQ5" s="456"/>
      <c r="BR5" s="456"/>
      <c r="BS5" s="456"/>
      <c r="BT5" s="456"/>
      <c r="BU5" s="269"/>
      <c r="BV5" s="269"/>
      <c r="BW5" s="269"/>
      <c r="BX5" s="269"/>
      <c r="BY5" s="269"/>
      <c r="BZ5" s="269"/>
      <c r="CA5" s="269"/>
      <c r="CB5" s="269"/>
    </row>
    <row r="6" spans="1:80" s="234" customFormat="1" ht="48.75" customHeight="1" thickTop="1" thickBot="1">
      <c r="A6" s="230" t="s">
        <v>18</v>
      </c>
      <c r="B6" s="220" t="s">
        <v>2295</v>
      </c>
      <c r="C6" s="220" t="s">
        <v>2297</v>
      </c>
      <c r="D6" s="220" t="s">
        <v>24</v>
      </c>
      <c r="E6" s="221" t="s">
        <v>19</v>
      </c>
      <c r="F6" s="221" t="s">
        <v>20</v>
      </c>
      <c r="G6" s="221" t="s">
        <v>124</v>
      </c>
      <c r="H6" s="221" t="s">
        <v>2895</v>
      </c>
      <c r="I6" s="221" t="s">
        <v>22</v>
      </c>
      <c r="J6" s="221" t="s">
        <v>23</v>
      </c>
      <c r="K6" s="222" t="s">
        <v>2305</v>
      </c>
      <c r="L6" s="222" t="s">
        <v>2307</v>
      </c>
      <c r="M6" s="230" t="s">
        <v>2888</v>
      </c>
      <c r="N6" s="230" t="s">
        <v>51</v>
      </c>
      <c r="O6" s="306" t="s">
        <v>2859</v>
      </c>
      <c r="P6" s="306" t="s">
        <v>2860</v>
      </c>
      <c r="Q6" s="306" t="s">
        <v>2857</v>
      </c>
      <c r="R6" s="306" t="s">
        <v>2993</v>
      </c>
      <c r="S6" s="306" t="s">
        <v>2861</v>
      </c>
      <c r="T6" s="306" t="s">
        <v>2858</v>
      </c>
      <c r="U6" s="306" t="s">
        <v>2862</v>
      </c>
      <c r="V6" s="202" t="s">
        <v>2863</v>
      </c>
      <c r="W6" s="202" t="s">
        <v>2864</v>
      </c>
      <c r="X6" s="202" t="s">
        <v>2865</v>
      </c>
      <c r="Y6" s="202" t="s">
        <v>2867</v>
      </c>
      <c r="Z6" s="202" t="s">
        <v>2868</v>
      </c>
      <c r="AA6" s="202" t="s">
        <v>2866</v>
      </c>
      <c r="AB6" s="202" t="s">
        <v>2869</v>
      </c>
      <c r="AC6" s="556" t="s">
        <v>2870</v>
      </c>
      <c r="AD6" s="378" t="s">
        <v>2871</v>
      </c>
      <c r="AE6" s="378" t="s">
        <v>2872</v>
      </c>
      <c r="AF6" s="378" t="s">
        <v>2873</v>
      </c>
      <c r="AG6" s="378" t="s">
        <v>2874</v>
      </c>
      <c r="AH6" s="378" t="s">
        <v>2875</v>
      </c>
      <c r="AI6" s="378" t="s">
        <v>2876</v>
      </c>
      <c r="AJ6" s="378" t="s">
        <v>2880</v>
      </c>
      <c r="AK6" s="378" t="s">
        <v>2877</v>
      </c>
      <c r="AL6" s="378" t="s">
        <v>2936</v>
      </c>
      <c r="AM6" s="378" t="s">
        <v>2937</v>
      </c>
      <c r="AN6" s="378" t="s">
        <v>2882</v>
      </c>
      <c r="AO6" s="535" t="s">
        <v>2878</v>
      </c>
      <c r="AP6" s="535" t="s">
        <v>2879</v>
      </c>
      <c r="AQ6" s="697" t="s">
        <v>3147</v>
      </c>
      <c r="AR6" s="697" t="s">
        <v>3148</v>
      </c>
      <c r="AS6" s="698" t="s">
        <v>3149</v>
      </c>
      <c r="AT6" s="327" t="s">
        <v>1629</v>
      </c>
      <c r="AU6" s="331" t="s">
        <v>2494</v>
      </c>
      <c r="AV6" s="333" t="s">
        <v>2653</v>
      </c>
      <c r="AW6" s="331" t="s">
        <v>1636</v>
      </c>
      <c r="AX6" s="334" t="s">
        <v>2493</v>
      </c>
      <c r="AY6" s="379" t="s">
        <v>73</v>
      </c>
      <c r="AZ6" s="336" t="s">
        <v>1630</v>
      </c>
      <c r="BA6" s="324" t="s">
        <v>1923</v>
      </c>
      <c r="BB6" s="325" t="s">
        <v>2496</v>
      </c>
      <c r="BC6" s="339" t="s">
        <v>1631</v>
      </c>
      <c r="BD6" s="341" t="s">
        <v>119</v>
      </c>
      <c r="BE6" s="348" t="s">
        <v>2656</v>
      </c>
      <c r="BF6" s="380" t="s">
        <v>2501</v>
      </c>
      <c r="BG6" s="348" t="s">
        <v>2499</v>
      </c>
      <c r="BH6" s="351" t="s">
        <v>121</v>
      </c>
      <c r="BI6" s="356" t="s">
        <v>120</v>
      </c>
      <c r="BJ6" s="357" t="s">
        <v>1924</v>
      </c>
      <c r="BK6" s="363" t="s">
        <v>2897</v>
      </c>
      <c r="BL6" s="363" t="s">
        <v>2896</v>
      </c>
      <c r="BM6" s="381" t="s">
        <v>2503</v>
      </c>
      <c r="BN6" s="369" t="s">
        <v>1632</v>
      </c>
      <c r="BO6" s="377" t="s">
        <v>1633</v>
      </c>
      <c r="BP6" s="373" t="s">
        <v>1634</v>
      </c>
      <c r="BQ6" s="633" t="s">
        <v>2943</v>
      </c>
      <c r="BR6" s="422" t="s">
        <v>2944</v>
      </c>
      <c r="BS6" s="370" t="s">
        <v>2945</v>
      </c>
      <c r="BT6" s="422" t="s">
        <v>2898</v>
      </c>
      <c r="BU6" s="231" t="s">
        <v>125</v>
      </c>
      <c r="BV6" s="231" t="s">
        <v>27</v>
      </c>
      <c r="BW6" s="231" t="s">
        <v>28</v>
      </c>
      <c r="BX6" s="231" t="s">
        <v>29</v>
      </c>
      <c r="BY6" s="231" t="s">
        <v>30</v>
      </c>
      <c r="BZ6" s="231" t="s">
        <v>31</v>
      </c>
      <c r="CA6" s="232" t="s">
        <v>32</v>
      </c>
      <c r="CB6" s="233" t="s">
        <v>33</v>
      </c>
    </row>
    <row r="7" spans="1:80">
      <c r="A7" s="641" t="s">
        <v>3150</v>
      </c>
      <c r="B7" s="641" t="s">
        <v>2994</v>
      </c>
      <c r="C7" s="642"/>
      <c r="D7" s="642" t="s">
        <v>231</v>
      </c>
      <c r="E7" s="643" t="s">
        <v>698</v>
      </c>
      <c r="F7" s="642" t="s">
        <v>1234</v>
      </c>
      <c r="G7" s="644" t="str">
        <f>VLOOKUP(WWWW[[#This Row],[Village  Name]],SiteDB6[[Site Name]:[Location Type]],8,FALSE)</f>
        <v>Village</v>
      </c>
      <c r="H7" s="642" t="s">
        <v>2995</v>
      </c>
      <c r="I7" s="646"/>
      <c r="J7" s="646">
        <v>133</v>
      </c>
      <c r="K7" s="647">
        <v>43258</v>
      </c>
      <c r="L7" s="648">
        <v>43830</v>
      </c>
      <c r="M7" s="646"/>
      <c r="N7" s="646"/>
      <c r="O7" s="524"/>
      <c r="P7" s="646"/>
      <c r="Q7" s="646"/>
      <c r="R7" s="646"/>
      <c r="S7" s="646"/>
      <c r="T7" s="646"/>
      <c r="U7" s="649"/>
      <c r="V7" s="646"/>
      <c r="W7" s="646"/>
      <c r="X7" s="646"/>
      <c r="Y7" s="646"/>
      <c r="Z7" s="646"/>
      <c r="AA7" s="646"/>
      <c r="AB7" s="646"/>
      <c r="AC7" s="649"/>
      <c r="AD7" s="646">
        <v>104</v>
      </c>
      <c r="AE7" s="646">
        <v>189</v>
      </c>
      <c r="AF7" s="646">
        <v>1</v>
      </c>
      <c r="AG7" s="646">
        <v>1</v>
      </c>
      <c r="AH7" s="646"/>
      <c r="AI7" s="646"/>
      <c r="AJ7" s="524"/>
      <c r="AK7" s="646"/>
      <c r="AL7" s="524"/>
      <c r="AM7" s="524"/>
      <c r="AN7" s="649"/>
      <c r="AO7" s="477"/>
      <c r="AP7" s="477"/>
      <c r="AQ7" s="524"/>
      <c r="AR7" s="524"/>
      <c r="AS7" s="524"/>
      <c r="AT7"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7" s="651">
        <f>WWWW[[#This Row],[%Equitable and continuous access to sufficient quantity of safe drinking water]]*WWWW[[#This Row],[Total PoP ]]</f>
        <v>0</v>
      </c>
      <c r="AV7"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7" s="651">
        <f>WWWW[[#This Row],[% Access to unimproved water points]]*WWWW[[#This Row],[Total PoP ]]</f>
        <v>0</v>
      </c>
      <c r="AX7"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7"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7" s="651">
        <f>WWWW[[#This Row],[HRP1]]/250</f>
        <v>0</v>
      </c>
      <c r="BA7" s="653">
        <f>1-WWWW[[#This Row],[% Equitable and continuous access to sufficient quantity of domestic water]]</f>
        <v>1</v>
      </c>
      <c r="BB7" s="651">
        <f>WWWW[[#This Row],[%equitable and continuous access to sufficient quantity of safe drinking and domestic water''s GAP]]*WWWW[[#This Row],[Total PoP ]]</f>
        <v>133</v>
      </c>
      <c r="BC7" s="654">
        <f>IF(WWWW[[#This Row],[Total required water points]]-WWWW[[#This Row],['#Water points coverage]]&lt;0,0,WWWW[[#This Row],[Total required water points]]-WWWW[[#This Row],['#Water points coverage]])</f>
        <v>1</v>
      </c>
      <c r="BD7" s="654">
        <f>ROUND(IF(WWWW[[#This Row],[Total PoP ]]&lt;250,1,WWWW[[#This Row],[Total PoP ]]/250),0)</f>
        <v>1</v>
      </c>
      <c r="BE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7" s="651">
        <f>WWWW[[#This Row],[% people access to functioning Latrine]]*WWWW[[#This Row],[Total PoP ]]</f>
        <v>0</v>
      </c>
      <c r="BG7" s="654">
        <f>WWWW[[#This Row],['#_of_Functioning_latrines_in_school]]*50</f>
        <v>0</v>
      </c>
      <c r="BH7" s="654">
        <f>ROUND((WWWW[[#This Row],[Total PoP ]]/6),0)</f>
        <v>22</v>
      </c>
      <c r="BI7" s="654">
        <f>IF(WWWW[[#This Row],[Total required Latrines]]-(WWWW[[#This Row],['#_of_sanitary_fly-proof_HH_latrines]])&lt;0,0,WWWW[[#This Row],[Total required Latrines]]-(WWWW[[#This Row],['#_of_sanitary_fly-proof_HH_latrines]]))</f>
        <v>22</v>
      </c>
      <c r="BJ7" s="650">
        <f>1-WWWW[[#This Row],[% people access to functioning Latrine]]</f>
        <v>1</v>
      </c>
      <c r="BK7"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133</v>
      </c>
      <c r="BL7" s="483">
        <f>IF(WWWW[[#This Row],['#_of_functional_handwashing_facilities_at_HH_level]]*6&gt;WWWW[[#This Row],[Total PoP ]],WWWW[[#This Row],[Total PoP ]],WWWW[[#This Row],['#_of_functional_handwashing_facilities_at_HH_level]]*6)</f>
        <v>0</v>
      </c>
      <c r="BM7" s="654">
        <f>IF(WWWW[[#This Row],['# people reached by regular dedicated hygiene promotion]]&gt;WWWW[[#This Row],['# People received regular supply of hygiene items]],WWWW[[#This Row],['# people reached by regular dedicated hygiene promotion]],WWWW[[#This Row],['# People received regular supply of hygiene items]])</f>
        <v>133</v>
      </c>
      <c r="BN7" s="653">
        <f>IF(WWWW[[#This Row],[HRP3]]/WWWW[[#This Row],[Total PoP ]]&gt;100%,100%,WWWW[[#This Row],[HRP3]]/WWWW[[#This Row],[Total PoP ]])</f>
        <v>1</v>
      </c>
      <c r="BO7" s="650">
        <f>1-WWWW[[#This Row],[Hygiene Coverage%]]</f>
        <v>0</v>
      </c>
      <c r="BP7" s="652">
        <f>WWWW[[#This Row],['# people reached by regular dedicated hygiene promotion]]/WWWW[[#This Row],[Total PoP ]]</f>
        <v>1</v>
      </c>
      <c r="BQ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 s="478">
        <f>WWWW[[#This Row],['#_of_affected_women_and_girls_receiving_a_sufficient_quantity_of_sanitary_pads]]</f>
        <v>0</v>
      </c>
      <c r="BS7" s="524">
        <f>IF(WWWW[[#This Row],['# People with access to soap]]&gt;WWWW[[#This Row],['# People with access to Sanity Pads]],WWWW[[#This Row],['# People with access to soap]],WWWW[[#This Row],['# People with access to Sanity Pads]])</f>
        <v>0</v>
      </c>
      <c r="BT7" s="483" t="str">
        <f>IF(OR(WWWW[[#This Row],['#of students in school]]="",WWWW[[#This Row],['#of students in school]]=0),"No","Yes")</f>
        <v>No</v>
      </c>
      <c r="BU7" s="645" t="str">
        <f>VLOOKUP(WWWW[[#This Row],[Village  Name]],SiteDB6[[Site Name]:[Location Type 1]],9,FALSE)</f>
        <v>Village</v>
      </c>
      <c r="BV7" s="645" t="str">
        <f>VLOOKUP(WWWW[[#This Row],[Village  Name]],SiteDB6[[Site Name]:[Type of Accommodation]],10,FALSE)</f>
        <v>Village</v>
      </c>
      <c r="BW7" s="645">
        <f>VLOOKUP(WWWW[[#This Row],[Village  Name]],SiteDB6[[Site Name]:[Ethnic or GCA/NGCA]],11,FALSE)</f>
        <v>0</v>
      </c>
      <c r="BX7" s="645">
        <f>VLOOKUP(WWWW[[#This Row],[Village  Name]],SiteDB6[[Site Name]:[Lat]],12,FALSE)</f>
        <v>0</v>
      </c>
      <c r="BY7" s="645">
        <f>VLOOKUP(WWWW[[#This Row],[Village  Name]],SiteDB6[[Site Name]:[Long]],13,FALSE)</f>
        <v>0</v>
      </c>
      <c r="BZ7" s="645">
        <f>VLOOKUP(WWWW[[#This Row],[Village  Name]],SiteDB6[[Site Name]:[Pcode]],3,FALSE)</f>
        <v>0</v>
      </c>
      <c r="CA7" s="645" t="str">
        <f t="shared" ref="CA7:CA32" si="0">IF(C7="none","Notcovered","Covered")</f>
        <v>Covered</v>
      </c>
      <c r="CB7" s="655"/>
    </row>
    <row r="8" spans="1:80">
      <c r="A8" s="641" t="s">
        <v>3150</v>
      </c>
      <c r="B8" s="641" t="s">
        <v>2994</v>
      </c>
      <c r="C8" s="642"/>
      <c r="D8" s="642" t="s">
        <v>231</v>
      </c>
      <c r="E8" s="643" t="s">
        <v>698</v>
      </c>
      <c r="F8" s="642" t="s">
        <v>1234</v>
      </c>
      <c r="G8" s="644" t="str">
        <f>VLOOKUP(WWWW[[#This Row],[Village  Name]],SiteDB6[[Site Name]:[Location Type]],8,FALSE)</f>
        <v>Village</v>
      </c>
      <c r="H8" s="642" t="s">
        <v>2996</v>
      </c>
      <c r="I8" s="646"/>
      <c r="J8" s="646">
        <v>240</v>
      </c>
      <c r="K8" s="647">
        <v>43258</v>
      </c>
      <c r="L8" s="648">
        <v>43830</v>
      </c>
      <c r="M8" s="646"/>
      <c r="N8" s="646"/>
      <c r="O8" s="524"/>
      <c r="P8" s="646"/>
      <c r="Q8" s="646"/>
      <c r="R8" s="646"/>
      <c r="S8" s="646"/>
      <c r="T8" s="646"/>
      <c r="U8" s="649"/>
      <c r="V8" s="646">
        <v>3</v>
      </c>
      <c r="W8" s="646"/>
      <c r="X8" s="646"/>
      <c r="Y8" s="646"/>
      <c r="Z8" s="646"/>
      <c r="AA8" s="646"/>
      <c r="AB8" s="646"/>
      <c r="AC8" s="649"/>
      <c r="AD8" s="646">
        <v>21</v>
      </c>
      <c r="AE8" s="646">
        <v>37</v>
      </c>
      <c r="AF8" s="646">
        <v>36</v>
      </c>
      <c r="AG8" s="646">
        <v>41</v>
      </c>
      <c r="AH8" s="646"/>
      <c r="AI8" s="646"/>
      <c r="AJ8" s="524"/>
      <c r="AK8" s="646"/>
      <c r="AL8" s="524"/>
      <c r="AM8" s="524"/>
      <c r="AN8" s="649"/>
      <c r="AO8" s="477"/>
      <c r="AP8" s="477"/>
      <c r="AQ8" s="524"/>
      <c r="AR8" s="524"/>
      <c r="AS8" s="524"/>
      <c r="AT8"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8" s="651">
        <f>WWWW[[#This Row],[%Equitable and continuous access to sufficient quantity of safe drinking water]]*WWWW[[#This Row],[Total PoP ]]</f>
        <v>0</v>
      </c>
      <c r="AV8"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8" s="651">
        <f>WWWW[[#This Row],[% Access to unimproved water points]]*WWWW[[#This Row],[Total PoP ]]</f>
        <v>0</v>
      </c>
      <c r="AX8"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8"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8" s="651">
        <f>WWWW[[#This Row],[HRP1]]/250</f>
        <v>0</v>
      </c>
      <c r="BA8" s="653">
        <f>1-WWWW[[#This Row],[% Equitable and continuous access to sufficient quantity of domestic water]]</f>
        <v>1</v>
      </c>
      <c r="BB8" s="651">
        <f>WWWW[[#This Row],[%equitable and continuous access to sufficient quantity of safe drinking and domestic water''s GAP]]*WWWW[[#This Row],[Total PoP ]]</f>
        <v>240</v>
      </c>
      <c r="BC8" s="654">
        <f>IF(WWWW[[#This Row],[Total required water points]]-WWWW[[#This Row],['#Water points coverage]]&lt;0,0,WWWW[[#This Row],[Total required water points]]-WWWW[[#This Row],['#Water points coverage]])</f>
        <v>1</v>
      </c>
      <c r="BD8" s="654">
        <f>ROUND(IF(WWWW[[#This Row],[Total PoP ]]&lt;250,1,WWWW[[#This Row],[Total PoP ]]/250),0)</f>
        <v>1</v>
      </c>
      <c r="BE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7.4999999999999997E-2</v>
      </c>
      <c r="BF8" s="651">
        <f>WWWW[[#This Row],[% people access to functioning Latrine]]*WWWW[[#This Row],[Total PoP ]]</f>
        <v>18</v>
      </c>
      <c r="BG8" s="654">
        <f>WWWW[[#This Row],['#_of_Functioning_latrines_in_school]]*50</f>
        <v>0</v>
      </c>
      <c r="BH8" s="654">
        <f>ROUND((WWWW[[#This Row],[Total PoP ]]/6),0)</f>
        <v>40</v>
      </c>
      <c r="BI8" s="654">
        <f>IF(WWWW[[#This Row],[Total required Latrines]]-(WWWW[[#This Row],['#_of_sanitary_fly-proof_HH_latrines]])&lt;0,0,WWWW[[#This Row],[Total required Latrines]]-(WWWW[[#This Row],['#_of_sanitary_fly-proof_HH_latrines]]))</f>
        <v>37</v>
      </c>
      <c r="BJ8" s="650">
        <f>1-WWWW[[#This Row],[% people access to functioning Latrine]]</f>
        <v>0.92500000000000004</v>
      </c>
      <c r="BK8"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135</v>
      </c>
      <c r="BL8" s="483">
        <f>IF(WWWW[[#This Row],['#_of_functional_handwashing_facilities_at_HH_level]]*6&gt;WWWW[[#This Row],[Total PoP ]],WWWW[[#This Row],[Total PoP ]],WWWW[[#This Row],['#_of_functional_handwashing_facilities_at_HH_level]]*6)</f>
        <v>0</v>
      </c>
      <c r="BM8" s="654">
        <f>IF(WWWW[[#This Row],['# people reached by regular dedicated hygiene promotion]]&gt;WWWW[[#This Row],['# People received regular supply of hygiene items]],WWWW[[#This Row],['# people reached by regular dedicated hygiene promotion]],WWWW[[#This Row],['# People received regular supply of hygiene items]])</f>
        <v>135</v>
      </c>
      <c r="BN8" s="653">
        <f>IF(WWWW[[#This Row],[HRP3]]/WWWW[[#This Row],[Total PoP ]]&gt;100%,100%,WWWW[[#This Row],[HRP3]]/WWWW[[#This Row],[Total PoP ]])</f>
        <v>0.5625</v>
      </c>
      <c r="BO8" s="650">
        <f>1-WWWW[[#This Row],[Hygiene Coverage%]]</f>
        <v>0.4375</v>
      </c>
      <c r="BP8" s="652">
        <f>WWWW[[#This Row],['# people reached by regular dedicated hygiene promotion]]/WWWW[[#This Row],[Total PoP ]]</f>
        <v>0.5625</v>
      </c>
      <c r="BQ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 s="478">
        <f>WWWW[[#This Row],['#_of_affected_women_and_girls_receiving_a_sufficient_quantity_of_sanitary_pads]]</f>
        <v>0</v>
      </c>
      <c r="BS8" s="524">
        <f>IF(WWWW[[#This Row],['# People with access to soap]]&gt;WWWW[[#This Row],['# People with access to Sanity Pads]],WWWW[[#This Row],['# People with access to soap]],WWWW[[#This Row],['# People with access to Sanity Pads]])</f>
        <v>0</v>
      </c>
      <c r="BT8" s="483" t="str">
        <f>IF(OR(WWWW[[#This Row],['#of students in school]]="",WWWW[[#This Row],['#of students in school]]=0),"No","Yes")</f>
        <v>No</v>
      </c>
      <c r="BU8" s="645" t="str">
        <f>VLOOKUP(WWWW[[#This Row],[Village  Name]],SiteDB6[[Site Name]:[Location Type 1]],9,FALSE)</f>
        <v>Village</v>
      </c>
      <c r="BV8" s="645" t="str">
        <f>VLOOKUP(WWWW[[#This Row],[Village  Name]],SiteDB6[[Site Name]:[Type of Accommodation]],10,FALSE)</f>
        <v>Village</v>
      </c>
      <c r="BW8" s="645">
        <f>VLOOKUP(WWWW[[#This Row],[Village  Name]],SiteDB6[[Site Name]:[Ethnic or GCA/NGCA]],11,FALSE)</f>
        <v>0</v>
      </c>
      <c r="BX8" s="645">
        <f>VLOOKUP(WWWW[[#This Row],[Village  Name]],SiteDB6[[Site Name]:[Lat]],12,FALSE)</f>
        <v>0</v>
      </c>
      <c r="BY8" s="645">
        <f>VLOOKUP(WWWW[[#This Row],[Village  Name]],SiteDB6[[Site Name]:[Long]],13,FALSE)</f>
        <v>0</v>
      </c>
      <c r="BZ8" s="645">
        <f>VLOOKUP(WWWW[[#This Row],[Village  Name]],SiteDB6[[Site Name]:[Pcode]],3,FALSE)</f>
        <v>0</v>
      </c>
      <c r="CA8" s="645" t="str">
        <f t="shared" si="0"/>
        <v>Covered</v>
      </c>
      <c r="CB8" s="655"/>
    </row>
    <row r="9" spans="1:80">
      <c r="A9" s="641" t="s">
        <v>3150</v>
      </c>
      <c r="B9" s="641" t="s">
        <v>2994</v>
      </c>
      <c r="C9" s="642"/>
      <c r="D9" s="642" t="s">
        <v>231</v>
      </c>
      <c r="E9" s="643" t="s">
        <v>698</v>
      </c>
      <c r="F9" s="642" t="s">
        <v>1234</v>
      </c>
      <c r="G9" s="644" t="str">
        <f>VLOOKUP(WWWW[[#This Row],[Village  Name]],SiteDB6[[Site Name]:[Location Type]],8,FALSE)</f>
        <v>Village</v>
      </c>
      <c r="H9" s="642" t="s">
        <v>2997</v>
      </c>
      <c r="I9" s="646"/>
      <c r="J9" s="646">
        <v>836</v>
      </c>
      <c r="K9" s="647">
        <v>43258</v>
      </c>
      <c r="L9" s="648">
        <v>43830</v>
      </c>
      <c r="M9" s="646"/>
      <c r="N9" s="646"/>
      <c r="O9" s="524"/>
      <c r="P9" s="646"/>
      <c r="Q9" s="646"/>
      <c r="R9" s="646"/>
      <c r="S9" s="646"/>
      <c r="T9" s="646"/>
      <c r="U9" s="649"/>
      <c r="V9" s="646"/>
      <c r="W9" s="646"/>
      <c r="X9" s="646"/>
      <c r="Y9" s="646"/>
      <c r="Z9" s="646"/>
      <c r="AA9" s="646"/>
      <c r="AB9" s="646"/>
      <c r="AC9" s="649"/>
      <c r="AD9" s="646">
        <v>177</v>
      </c>
      <c r="AE9" s="646">
        <v>44</v>
      </c>
      <c r="AF9" s="646"/>
      <c r="AG9" s="646"/>
      <c r="AH9" s="646"/>
      <c r="AI9" s="646"/>
      <c r="AJ9" s="524"/>
      <c r="AK9" s="646"/>
      <c r="AL9" s="524"/>
      <c r="AM9" s="524"/>
      <c r="AN9" s="649"/>
      <c r="AO9" s="477"/>
      <c r="AP9" s="477"/>
      <c r="AQ9" s="524"/>
      <c r="AR9" s="524"/>
      <c r="AS9" s="524"/>
      <c r="AT9"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9" s="651">
        <f>WWWW[[#This Row],[%Equitable and continuous access to sufficient quantity of safe drinking water]]*WWWW[[#This Row],[Total PoP ]]</f>
        <v>0</v>
      </c>
      <c r="AV9"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9" s="651">
        <f>WWWW[[#This Row],[% Access to unimproved water points]]*WWWW[[#This Row],[Total PoP ]]</f>
        <v>0</v>
      </c>
      <c r="AX9"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9"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9" s="651">
        <f>WWWW[[#This Row],[HRP1]]/250</f>
        <v>0</v>
      </c>
      <c r="BA9" s="653">
        <f>1-WWWW[[#This Row],[% Equitable and continuous access to sufficient quantity of domestic water]]</f>
        <v>1</v>
      </c>
      <c r="BB9" s="651">
        <f>WWWW[[#This Row],[%equitable and continuous access to sufficient quantity of safe drinking and domestic water''s GAP]]*WWWW[[#This Row],[Total PoP ]]</f>
        <v>836</v>
      </c>
      <c r="BC9" s="654">
        <f>IF(WWWW[[#This Row],[Total required water points]]-WWWW[[#This Row],['#Water points coverage]]&lt;0,0,WWWW[[#This Row],[Total required water points]]-WWWW[[#This Row],['#Water points coverage]])</f>
        <v>3</v>
      </c>
      <c r="BD9" s="654">
        <f>ROUND(IF(WWWW[[#This Row],[Total PoP ]]&lt;250,1,WWWW[[#This Row],[Total PoP ]]/250),0)</f>
        <v>3</v>
      </c>
      <c r="BE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9" s="651">
        <f>WWWW[[#This Row],[% people access to functioning Latrine]]*WWWW[[#This Row],[Total PoP ]]</f>
        <v>0</v>
      </c>
      <c r="BG9" s="654">
        <f>WWWW[[#This Row],['#_of_Functioning_latrines_in_school]]*50</f>
        <v>0</v>
      </c>
      <c r="BH9" s="654">
        <f>ROUND((WWWW[[#This Row],[Total PoP ]]/6),0)</f>
        <v>139</v>
      </c>
      <c r="BI9" s="654">
        <f>IF(WWWW[[#This Row],[Total required Latrines]]-(WWWW[[#This Row],['#_of_sanitary_fly-proof_HH_latrines]])&lt;0,0,WWWW[[#This Row],[Total required Latrines]]-(WWWW[[#This Row],['#_of_sanitary_fly-proof_HH_latrines]]))</f>
        <v>139</v>
      </c>
      <c r="BJ9" s="650">
        <f>1-WWWW[[#This Row],[% people access to functioning Latrine]]</f>
        <v>1</v>
      </c>
      <c r="BK9"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221</v>
      </c>
      <c r="BL9" s="483">
        <f>IF(WWWW[[#This Row],['#_of_functional_handwashing_facilities_at_HH_level]]*6&gt;WWWW[[#This Row],[Total PoP ]],WWWW[[#This Row],[Total PoP ]],WWWW[[#This Row],['#_of_functional_handwashing_facilities_at_HH_level]]*6)</f>
        <v>0</v>
      </c>
      <c r="BM9" s="654">
        <f>IF(WWWW[[#This Row],['# people reached by regular dedicated hygiene promotion]]&gt;WWWW[[#This Row],['# People received regular supply of hygiene items]],WWWW[[#This Row],['# people reached by regular dedicated hygiene promotion]],WWWW[[#This Row],['# People received regular supply of hygiene items]])</f>
        <v>221</v>
      </c>
      <c r="BN9" s="653">
        <f>IF(WWWW[[#This Row],[HRP3]]/WWWW[[#This Row],[Total PoP ]]&gt;100%,100%,WWWW[[#This Row],[HRP3]]/WWWW[[#This Row],[Total PoP ]])</f>
        <v>0.26435406698564595</v>
      </c>
      <c r="BO9" s="650">
        <f>1-WWWW[[#This Row],[Hygiene Coverage%]]</f>
        <v>0.7356459330143541</v>
      </c>
      <c r="BP9" s="652">
        <f>WWWW[[#This Row],['# people reached by regular dedicated hygiene promotion]]/WWWW[[#This Row],[Total PoP ]]</f>
        <v>0.26435406698564595</v>
      </c>
      <c r="BQ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 s="478">
        <f>WWWW[[#This Row],['#_of_affected_women_and_girls_receiving_a_sufficient_quantity_of_sanitary_pads]]</f>
        <v>0</v>
      </c>
      <c r="BS9" s="524">
        <f>IF(WWWW[[#This Row],['# People with access to soap]]&gt;WWWW[[#This Row],['# People with access to Sanity Pads]],WWWW[[#This Row],['# People with access to soap]],WWWW[[#This Row],['# People with access to Sanity Pads]])</f>
        <v>0</v>
      </c>
      <c r="BT9" s="483" t="str">
        <f>IF(OR(WWWW[[#This Row],['#of students in school]]="",WWWW[[#This Row],['#of students in school]]=0),"No","Yes")</f>
        <v>No</v>
      </c>
      <c r="BU9" s="645" t="str">
        <f>VLOOKUP(WWWW[[#This Row],[Village  Name]],SiteDB6[[Site Name]:[Location Type 1]],9,FALSE)</f>
        <v>Village</v>
      </c>
      <c r="BV9" s="645" t="str">
        <f>VLOOKUP(WWWW[[#This Row],[Village  Name]],SiteDB6[[Site Name]:[Type of Accommodation]],10,FALSE)</f>
        <v>Village</v>
      </c>
      <c r="BW9" s="645">
        <f>VLOOKUP(WWWW[[#This Row],[Village  Name]],SiteDB6[[Site Name]:[Ethnic or GCA/NGCA]],11,FALSE)</f>
        <v>0</v>
      </c>
      <c r="BX9" s="645">
        <f>VLOOKUP(WWWW[[#This Row],[Village  Name]],SiteDB6[[Site Name]:[Lat]],12,FALSE)</f>
        <v>0</v>
      </c>
      <c r="BY9" s="645">
        <f>VLOOKUP(WWWW[[#This Row],[Village  Name]],SiteDB6[[Site Name]:[Long]],13,FALSE)</f>
        <v>0</v>
      </c>
      <c r="BZ9" s="645">
        <f>VLOOKUP(WWWW[[#This Row],[Village  Name]],SiteDB6[[Site Name]:[Pcode]],3,FALSE)</f>
        <v>0</v>
      </c>
      <c r="CA9" s="645" t="str">
        <f t="shared" si="0"/>
        <v>Covered</v>
      </c>
      <c r="CB9" s="655"/>
    </row>
    <row r="10" spans="1:80">
      <c r="A10" s="641" t="s">
        <v>3150</v>
      </c>
      <c r="B10" s="641" t="s">
        <v>2994</v>
      </c>
      <c r="C10" s="642"/>
      <c r="D10" s="642" t="s">
        <v>231</v>
      </c>
      <c r="E10" s="643" t="s">
        <v>698</v>
      </c>
      <c r="F10" s="642" t="s">
        <v>1278</v>
      </c>
      <c r="G10" s="644" t="str">
        <f>VLOOKUP(WWWW[[#This Row],[Village  Name]],SiteDB6[[Site Name]:[Location Type]],8,FALSE)</f>
        <v>Village</v>
      </c>
      <c r="H10" s="642" t="s">
        <v>2999</v>
      </c>
      <c r="I10" s="646"/>
      <c r="J10" s="646">
        <v>258</v>
      </c>
      <c r="K10" s="647">
        <v>43258</v>
      </c>
      <c r="L10" s="648">
        <v>43830</v>
      </c>
      <c r="M10" s="646"/>
      <c r="N10" s="646"/>
      <c r="O10" s="524"/>
      <c r="P10" s="646"/>
      <c r="Q10" s="646"/>
      <c r="R10" s="646"/>
      <c r="S10" s="646"/>
      <c r="T10" s="646"/>
      <c r="U10" s="649"/>
      <c r="V10" s="646"/>
      <c r="W10" s="646"/>
      <c r="X10" s="646"/>
      <c r="Y10" s="646"/>
      <c r="Z10" s="646"/>
      <c r="AA10" s="646"/>
      <c r="AB10" s="646"/>
      <c r="AC10" s="649"/>
      <c r="AD10" s="646">
        <v>51</v>
      </c>
      <c r="AE10" s="646">
        <v>44</v>
      </c>
      <c r="AF10" s="646">
        <v>2</v>
      </c>
      <c r="AG10" s="646"/>
      <c r="AH10" s="646"/>
      <c r="AI10" s="646"/>
      <c r="AJ10" s="524"/>
      <c r="AK10" s="646"/>
      <c r="AL10" s="524"/>
      <c r="AM10" s="524"/>
      <c r="AN10" s="649"/>
      <c r="AO10" s="477"/>
      <c r="AP10" s="477"/>
      <c r="AQ10" s="524"/>
      <c r="AR10" s="524"/>
      <c r="AS10" s="524"/>
      <c r="AT10"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0" s="651">
        <f>WWWW[[#This Row],[%Equitable and continuous access to sufficient quantity of safe drinking water]]*WWWW[[#This Row],[Total PoP ]]</f>
        <v>0</v>
      </c>
      <c r="AV10"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0" s="651">
        <f>WWWW[[#This Row],[% Access to unimproved water points]]*WWWW[[#This Row],[Total PoP ]]</f>
        <v>0</v>
      </c>
      <c r="AX10"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0"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0" s="651">
        <f>WWWW[[#This Row],[HRP1]]/250</f>
        <v>0</v>
      </c>
      <c r="BA10" s="653">
        <f>1-WWWW[[#This Row],[% Equitable and continuous access to sufficient quantity of domestic water]]</f>
        <v>1</v>
      </c>
      <c r="BB10" s="651">
        <f>WWWW[[#This Row],[%equitable and continuous access to sufficient quantity of safe drinking and domestic water''s GAP]]*WWWW[[#This Row],[Total PoP ]]</f>
        <v>258</v>
      </c>
      <c r="BC10" s="654">
        <f>IF(WWWW[[#This Row],[Total required water points]]-WWWW[[#This Row],['#Water points coverage]]&lt;0,0,WWWW[[#This Row],[Total required water points]]-WWWW[[#This Row],['#Water points coverage]])</f>
        <v>1</v>
      </c>
      <c r="BD10" s="654">
        <f>ROUND(IF(WWWW[[#This Row],[Total PoP ]]&lt;250,1,WWWW[[#This Row],[Total PoP ]]/250),0)</f>
        <v>1</v>
      </c>
      <c r="BE1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0" s="651">
        <f>WWWW[[#This Row],[% people access to functioning Latrine]]*WWWW[[#This Row],[Total PoP ]]</f>
        <v>0</v>
      </c>
      <c r="BG10" s="654">
        <f>WWWW[[#This Row],['#_of_Functioning_latrines_in_school]]*50</f>
        <v>0</v>
      </c>
      <c r="BH10" s="654">
        <f>ROUND((WWWW[[#This Row],[Total PoP ]]/6),0)</f>
        <v>43</v>
      </c>
      <c r="BI10" s="654">
        <f>IF(WWWW[[#This Row],[Total required Latrines]]-(WWWW[[#This Row],['#_of_sanitary_fly-proof_HH_latrines]])&lt;0,0,WWWW[[#This Row],[Total required Latrines]]-(WWWW[[#This Row],['#_of_sanitary_fly-proof_HH_latrines]]))</f>
        <v>43</v>
      </c>
      <c r="BJ10" s="650">
        <f>1-WWWW[[#This Row],[% people access to functioning Latrine]]</f>
        <v>1</v>
      </c>
      <c r="BK10"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97</v>
      </c>
      <c r="BL10" s="483">
        <f>IF(WWWW[[#This Row],['#_of_functional_handwashing_facilities_at_HH_level]]*6&gt;WWWW[[#This Row],[Total PoP ]],WWWW[[#This Row],[Total PoP ]],WWWW[[#This Row],['#_of_functional_handwashing_facilities_at_HH_level]]*6)</f>
        <v>0</v>
      </c>
      <c r="BM10" s="654">
        <f>IF(WWWW[[#This Row],['# people reached by regular dedicated hygiene promotion]]&gt;WWWW[[#This Row],['# People received regular supply of hygiene items]],WWWW[[#This Row],['# people reached by regular dedicated hygiene promotion]],WWWW[[#This Row],['# People received regular supply of hygiene items]])</f>
        <v>97</v>
      </c>
      <c r="BN10" s="653">
        <f>IF(WWWW[[#This Row],[HRP3]]/WWWW[[#This Row],[Total PoP ]]&gt;100%,100%,WWWW[[#This Row],[HRP3]]/WWWW[[#This Row],[Total PoP ]])</f>
        <v>0.37596899224806202</v>
      </c>
      <c r="BO10" s="650">
        <f>1-WWWW[[#This Row],[Hygiene Coverage%]]</f>
        <v>0.62403100775193798</v>
      </c>
      <c r="BP10" s="652">
        <f>WWWW[[#This Row],['# people reached by regular dedicated hygiene promotion]]/WWWW[[#This Row],[Total PoP ]]</f>
        <v>0.37596899224806202</v>
      </c>
      <c r="BQ1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 s="478">
        <f>WWWW[[#This Row],['#_of_affected_women_and_girls_receiving_a_sufficient_quantity_of_sanitary_pads]]</f>
        <v>0</v>
      </c>
      <c r="BS10" s="524">
        <f>IF(WWWW[[#This Row],['# People with access to soap]]&gt;WWWW[[#This Row],['# People with access to Sanity Pads]],WWWW[[#This Row],['# People with access to soap]],WWWW[[#This Row],['# People with access to Sanity Pads]])</f>
        <v>0</v>
      </c>
      <c r="BT10" s="483" t="str">
        <f>IF(OR(WWWW[[#This Row],['#of students in school]]="",WWWW[[#This Row],['#of students in school]]=0),"No","Yes")</f>
        <v>No</v>
      </c>
      <c r="BU10" s="645" t="str">
        <f>VLOOKUP(WWWW[[#This Row],[Village  Name]],SiteDB6[[Site Name]:[Location Type 1]],9,FALSE)</f>
        <v>Village</v>
      </c>
      <c r="BV10" s="645" t="str">
        <f>VLOOKUP(WWWW[[#This Row],[Village  Name]],SiteDB6[[Site Name]:[Type of Accommodation]],10,FALSE)</f>
        <v>Village</v>
      </c>
      <c r="BW10" s="645">
        <f>VLOOKUP(WWWW[[#This Row],[Village  Name]],SiteDB6[[Site Name]:[Ethnic or GCA/NGCA]],11,FALSE)</f>
        <v>0</v>
      </c>
      <c r="BX10" s="645">
        <f>VLOOKUP(WWWW[[#This Row],[Village  Name]],SiteDB6[[Site Name]:[Lat]],12,FALSE)</f>
        <v>0</v>
      </c>
      <c r="BY10" s="645">
        <f>VLOOKUP(WWWW[[#This Row],[Village  Name]],SiteDB6[[Site Name]:[Long]],13,FALSE)</f>
        <v>0</v>
      </c>
      <c r="BZ10" s="645">
        <f>VLOOKUP(WWWW[[#This Row],[Village  Name]],SiteDB6[[Site Name]:[Pcode]],3,FALSE)</f>
        <v>0</v>
      </c>
      <c r="CA10" s="645" t="str">
        <f t="shared" si="0"/>
        <v>Covered</v>
      </c>
      <c r="CB10" s="655"/>
    </row>
    <row r="11" spans="1:80">
      <c r="A11" s="641" t="s">
        <v>3150</v>
      </c>
      <c r="B11" s="641" t="s">
        <v>2994</v>
      </c>
      <c r="C11" s="642"/>
      <c r="D11" s="642" t="s">
        <v>231</v>
      </c>
      <c r="E11" s="643" t="s">
        <v>698</v>
      </c>
      <c r="F11" s="642" t="s">
        <v>1278</v>
      </c>
      <c r="G11" s="644" t="str">
        <f>VLOOKUP(WWWW[[#This Row],[Village  Name]],SiteDB6[[Site Name]:[Location Type]],8,FALSE)</f>
        <v>Village</v>
      </c>
      <c r="H11" s="642" t="s">
        <v>3000</v>
      </c>
      <c r="I11" s="646"/>
      <c r="J11" s="646">
        <v>190</v>
      </c>
      <c r="K11" s="647">
        <v>43258</v>
      </c>
      <c r="L11" s="648">
        <v>43830</v>
      </c>
      <c r="M11" s="646"/>
      <c r="N11" s="646"/>
      <c r="O11" s="524"/>
      <c r="P11" s="646"/>
      <c r="Q11" s="646"/>
      <c r="R11" s="646"/>
      <c r="S11" s="646"/>
      <c r="T11" s="646"/>
      <c r="U11" s="649"/>
      <c r="V11" s="646"/>
      <c r="W11" s="646"/>
      <c r="X11" s="646"/>
      <c r="Y11" s="646"/>
      <c r="Z11" s="646"/>
      <c r="AA11" s="646"/>
      <c r="AB11" s="646"/>
      <c r="AC11" s="649"/>
      <c r="AD11" s="646">
        <v>247</v>
      </c>
      <c r="AE11" s="646">
        <v>238</v>
      </c>
      <c r="AF11" s="646"/>
      <c r="AG11" s="646"/>
      <c r="AH11" s="646"/>
      <c r="AI11" s="646"/>
      <c r="AJ11" s="524"/>
      <c r="AK11" s="646"/>
      <c r="AL11" s="524"/>
      <c r="AM11" s="524"/>
      <c r="AN11" s="649"/>
      <c r="AO11" s="477"/>
      <c r="AP11" s="477"/>
      <c r="AQ11" s="524"/>
      <c r="AR11" s="524"/>
      <c r="AS11" s="524"/>
      <c r="AT11"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1" s="651">
        <f>WWWW[[#This Row],[%Equitable and continuous access to sufficient quantity of safe drinking water]]*WWWW[[#This Row],[Total PoP ]]</f>
        <v>0</v>
      </c>
      <c r="AV11"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1" s="651">
        <f>WWWW[[#This Row],[% Access to unimproved water points]]*WWWW[[#This Row],[Total PoP ]]</f>
        <v>0</v>
      </c>
      <c r="AX11"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1"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1" s="651">
        <f>WWWW[[#This Row],[HRP1]]/250</f>
        <v>0</v>
      </c>
      <c r="BA11" s="653">
        <f>1-WWWW[[#This Row],[% Equitable and continuous access to sufficient quantity of domestic water]]</f>
        <v>1</v>
      </c>
      <c r="BB11" s="651">
        <f>WWWW[[#This Row],[%equitable and continuous access to sufficient quantity of safe drinking and domestic water''s GAP]]*WWWW[[#This Row],[Total PoP ]]</f>
        <v>190</v>
      </c>
      <c r="BC11" s="654">
        <f>IF(WWWW[[#This Row],[Total required water points]]-WWWW[[#This Row],['#Water points coverage]]&lt;0,0,WWWW[[#This Row],[Total required water points]]-WWWW[[#This Row],['#Water points coverage]])</f>
        <v>1</v>
      </c>
      <c r="BD11" s="654">
        <f>ROUND(IF(WWWW[[#This Row],[Total PoP ]]&lt;250,1,WWWW[[#This Row],[Total PoP ]]/250),0)</f>
        <v>1</v>
      </c>
      <c r="BE1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1" s="651">
        <f>WWWW[[#This Row],[% people access to functioning Latrine]]*WWWW[[#This Row],[Total PoP ]]</f>
        <v>0</v>
      </c>
      <c r="BG11" s="654">
        <f>WWWW[[#This Row],['#_of_Functioning_latrines_in_school]]*50</f>
        <v>0</v>
      </c>
      <c r="BH11" s="654">
        <f>ROUND((WWWW[[#This Row],[Total PoP ]]/6),0)</f>
        <v>32</v>
      </c>
      <c r="BI11" s="654">
        <f>IF(WWWW[[#This Row],[Total required Latrines]]-(WWWW[[#This Row],['#_of_sanitary_fly-proof_HH_latrines]])&lt;0,0,WWWW[[#This Row],[Total required Latrines]]-(WWWW[[#This Row],['#_of_sanitary_fly-proof_HH_latrines]]))</f>
        <v>32</v>
      </c>
      <c r="BJ11" s="650">
        <f>1-WWWW[[#This Row],[% people access to functioning Latrine]]</f>
        <v>1</v>
      </c>
      <c r="BK11"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190</v>
      </c>
      <c r="BL11" s="483">
        <f>IF(WWWW[[#This Row],['#_of_functional_handwashing_facilities_at_HH_level]]*6&gt;WWWW[[#This Row],[Total PoP ]],WWWW[[#This Row],[Total PoP ]],WWWW[[#This Row],['#_of_functional_handwashing_facilities_at_HH_level]]*6)</f>
        <v>0</v>
      </c>
      <c r="BM11" s="654">
        <f>IF(WWWW[[#This Row],['# people reached by regular dedicated hygiene promotion]]&gt;WWWW[[#This Row],['# People received regular supply of hygiene items]],WWWW[[#This Row],['# people reached by regular dedicated hygiene promotion]],WWWW[[#This Row],['# People received regular supply of hygiene items]])</f>
        <v>190</v>
      </c>
      <c r="BN11" s="653">
        <f>IF(WWWW[[#This Row],[HRP3]]/WWWW[[#This Row],[Total PoP ]]&gt;100%,100%,WWWW[[#This Row],[HRP3]]/WWWW[[#This Row],[Total PoP ]])</f>
        <v>1</v>
      </c>
      <c r="BO11" s="650">
        <f>1-WWWW[[#This Row],[Hygiene Coverage%]]</f>
        <v>0</v>
      </c>
      <c r="BP11" s="652">
        <f>WWWW[[#This Row],['# people reached by regular dedicated hygiene promotion]]/WWWW[[#This Row],[Total PoP ]]</f>
        <v>1</v>
      </c>
      <c r="BQ1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 s="478">
        <f>WWWW[[#This Row],['#_of_affected_women_and_girls_receiving_a_sufficient_quantity_of_sanitary_pads]]</f>
        <v>0</v>
      </c>
      <c r="BS11" s="524">
        <f>IF(WWWW[[#This Row],['# People with access to soap]]&gt;WWWW[[#This Row],['# People with access to Sanity Pads]],WWWW[[#This Row],['# People with access to soap]],WWWW[[#This Row],['# People with access to Sanity Pads]])</f>
        <v>0</v>
      </c>
      <c r="BT11" s="483" t="str">
        <f>IF(OR(WWWW[[#This Row],['#of students in school]]="",WWWW[[#This Row],['#of students in school]]=0),"No","Yes")</f>
        <v>No</v>
      </c>
      <c r="BU11" s="645" t="str">
        <f>VLOOKUP(WWWW[[#This Row],[Village  Name]],SiteDB6[[Site Name]:[Location Type 1]],9,FALSE)</f>
        <v>Village</v>
      </c>
      <c r="BV11" s="645" t="str">
        <f>VLOOKUP(WWWW[[#This Row],[Village  Name]],SiteDB6[[Site Name]:[Type of Accommodation]],10,FALSE)</f>
        <v>Village</v>
      </c>
      <c r="BW11" s="645">
        <f>VLOOKUP(WWWW[[#This Row],[Village  Name]],SiteDB6[[Site Name]:[Ethnic or GCA/NGCA]],11,FALSE)</f>
        <v>0</v>
      </c>
      <c r="BX11" s="645">
        <f>VLOOKUP(WWWW[[#This Row],[Village  Name]],SiteDB6[[Site Name]:[Lat]],12,FALSE)</f>
        <v>0</v>
      </c>
      <c r="BY11" s="645">
        <f>VLOOKUP(WWWW[[#This Row],[Village  Name]],SiteDB6[[Site Name]:[Long]],13,FALSE)</f>
        <v>0</v>
      </c>
      <c r="BZ11" s="645">
        <f>VLOOKUP(WWWW[[#This Row],[Village  Name]],SiteDB6[[Site Name]:[Pcode]],3,FALSE)</f>
        <v>0</v>
      </c>
      <c r="CA11" s="645" t="str">
        <f t="shared" si="0"/>
        <v>Covered</v>
      </c>
      <c r="CB11" s="655"/>
    </row>
    <row r="12" spans="1:80">
      <c r="A12" s="641" t="s">
        <v>3150</v>
      </c>
      <c r="B12" s="641" t="s">
        <v>2994</v>
      </c>
      <c r="C12" s="642"/>
      <c r="D12" s="642" t="s">
        <v>231</v>
      </c>
      <c r="E12" s="643" t="s">
        <v>698</v>
      </c>
      <c r="F12" s="642" t="s">
        <v>1278</v>
      </c>
      <c r="G12" s="644" t="str">
        <f>VLOOKUP(WWWW[[#This Row],[Village  Name]],SiteDB6[[Site Name]:[Location Type]],8,FALSE)</f>
        <v>Village</v>
      </c>
      <c r="H12" s="642" t="s">
        <v>3001</v>
      </c>
      <c r="I12" s="646">
        <v>43</v>
      </c>
      <c r="J12" s="646">
        <v>254</v>
      </c>
      <c r="K12" s="647">
        <v>43258</v>
      </c>
      <c r="L12" s="648">
        <v>43830</v>
      </c>
      <c r="M12" s="646"/>
      <c r="N12" s="646"/>
      <c r="O12" s="524"/>
      <c r="P12" s="646"/>
      <c r="Q12" s="646"/>
      <c r="R12" s="646"/>
      <c r="S12" s="646"/>
      <c r="T12" s="646"/>
      <c r="U12" s="649"/>
      <c r="V12" s="646"/>
      <c r="W12" s="646"/>
      <c r="X12" s="646"/>
      <c r="Y12" s="646"/>
      <c r="Z12" s="646"/>
      <c r="AA12" s="646"/>
      <c r="AB12" s="646"/>
      <c r="AC12" s="649"/>
      <c r="AD12" s="646">
        <v>8</v>
      </c>
      <c r="AE12" s="646">
        <v>12</v>
      </c>
      <c r="AF12" s="646">
        <v>8</v>
      </c>
      <c r="AG12" s="646">
        <v>11</v>
      </c>
      <c r="AH12" s="646"/>
      <c r="AI12" s="646"/>
      <c r="AJ12" s="524"/>
      <c r="AK12" s="646"/>
      <c r="AL12" s="524"/>
      <c r="AM12" s="524"/>
      <c r="AN12" s="649"/>
      <c r="AO12" s="477"/>
      <c r="AP12" s="477"/>
      <c r="AQ12" s="524"/>
      <c r="AR12" s="524"/>
      <c r="AS12" s="524"/>
      <c r="AT12"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2" s="651">
        <f>WWWW[[#This Row],[%Equitable and continuous access to sufficient quantity of safe drinking water]]*WWWW[[#This Row],[Total PoP ]]</f>
        <v>0</v>
      </c>
      <c r="AV12"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2" s="651">
        <f>WWWW[[#This Row],[% Access to unimproved water points]]*WWWW[[#This Row],[Total PoP ]]</f>
        <v>0</v>
      </c>
      <c r="AX12"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2"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2" s="651">
        <f>WWWW[[#This Row],[HRP1]]/250</f>
        <v>0</v>
      </c>
      <c r="BA12" s="653">
        <f>1-WWWW[[#This Row],[% Equitable and continuous access to sufficient quantity of domestic water]]</f>
        <v>1</v>
      </c>
      <c r="BB12" s="651">
        <f>WWWW[[#This Row],[%equitable and continuous access to sufficient quantity of safe drinking and domestic water''s GAP]]*WWWW[[#This Row],[Total PoP ]]</f>
        <v>254</v>
      </c>
      <c r="BC12" s="654">
        <f>IF(WWWW[[#This Row],[Total required water points]]-WWWW[[#This Row],['#Water points coverage]]&lt;0,0,WWWW[[#This Row],[Total required water points]]-WWWW[[#This Row],['#Water points coverage]])</f>
        <v>1</v>
      </c>
      <c r="BD12" s="654">
        <f>ROUND(IF(WWWW[[#This Row],[Total PoP ]]&lt;250,1,WWWW[[#This Row],[Total PoP ]]/250),0)</f>
        <v>1</v>
      </c>
      <c r="BE1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2" s="651">
        <f>WWWW[[#This Row],[% people access to functioning Latrine]]*WWWW[[#This Row],[Total PoP ]]</f>
        <v>0</v>
      </c>
      <c r="BG12" s="654">
        <f>WWWW[[#This Row],['#_of_Functioning_latrines_in_school]]*50</f>
        <v>0</v>
      </c>
      <c r="BH12" s="654">
        <f>ROUND((WWWW[[#This Row],[Total PoP ]]/6),0)</f>
        <v>42</v>
      </c>
      <c r="BI12" s="654">
        <f>IF(WWWW[[#This Row],[Total required Latrines]]-(WWWW[[#This Row],['#_of_sanitary_fly-proof_HH_latrines]])&lt;0,0,WWWW[[#This Row],[Total required Latrines]]-(WWWW[[#This Row],['#_of_sanitary_fly-proof_HH_latrines]]))</f>
        <v>42</v>
      </c>
      <c r="BJ12" s="650">
        <f>1-WWWW[[#This Row],[% people access to functioning Latrine]]</f>
        <v>1</v>
      </c>
      <c r="BK12"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39</v>
      </c>
      <c r="BL12" s="483">
        <f>IF(WWWW[[#This Row],['#_of_functional_handwashing_facilities_at_HH_level]]*6&gt;WWWW[[#This Row],[Total PoP ]],WWWW[[#This Row],[Total PoP ]],WWWW[[#This Row],['#_of_functional_handwashing_facilities_at_HH_level]]*6)</f>
        <v>0</v>
      </c>
      <c r="BM12" s="654">
        <f>IF(WWWW[[#This Row],['# people reached by regular dedicated hygiene promotion]]&gt;WWWW[[#This Row],['# People received regular supply of hygiene items]],WWWW[[#This Row],['# people reached by regular dedicated hygiene promotion]],WWWW[[#This Row],['# People received regular supply of hygiene items]])</f>
        <v>39</v>
      </c>
      <c r="BN12" s="653">
        <f>IF(WWWW[[#This Row],[HRP3]]/WWWW[[#This Row],[Total PoP ]]&gt;100%,100%,WWWW[[#This Row],[HRP3]]/WWWW[[#This Row],[Total PoP ]])</f>
        <v>0.15354330708661418</v>
      </c>
      <c r="BO12" s="650">
        <f>1-WWWW[[#This Row],[Hygiene Coverage%]]</f>
        <v>0.84645669291338588</v>
      </c>
      <c r="BP12" s="652">
        <f>WWWW[[#This Row],['# people reached by regular dedicated hygiene promotion]]/WWWW[[#This Row],[Total PoP ]]</f>
        <v>0.15354330708661418</v>
      </c>
      <c r="BQ1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 s="478">
        <f>WWWW[[#This Row],['#_of_affected_women_and_girls_receiving_a_sufficient_quantity_of_sanitary_pads]]</f>
        <v>0</v>
      </c>
      <c r="BS12" s="524">
        <f>IF(WWWW[[#This Row],['# People with access to soap]]&gt;WWWW[[#This Row],['# People with access to Sanity Pads]],WWWW[[#This Row],['# People with access to soap]],WWWW[[#This Row],['# People with access to Sanity Pads]])</f>
        <v>0</v>
      </c>
      <c r="BT12" s="483" t="str">
        <f>IF(OR(WWWW[[#This Row],['#of students in school]]="",WWWW[[#This Row],['#of students in school]]=0),"No","Yes")</f>
        <v>No</v>
      </c>
      <c r="BU12" s="645" t="str">
        <f>VLOOKUP(WWWW[[#This Row],[Village  Name]],SiteDB6[[Site Name]:[Location Type 1]],9,FALSE)</f>
        <v>Village</v>
      </c>
      <c r="BV12" s="645" t="str">
        <f>VLOOKUP(WWWW[[#This Row],[Village  Name]],SiteDB6[[Site Name]:[Type of Accommodation]],10,FALSE)</f>
        <v>Village</v>
      </c>
      <c r="BW12" s="645">
        <f>VLOOKUP(WWWW[[#This Row],[Village  Name]],SiteDB6[[Site Name]:[Ethnic or GCA/NGCA]],11,FALSE)</f>
        <v>0</v>
      </c>
      <c r="BX12" s="645">
        <f>VLOOKUP(WWWW[[#This Row],[Village  Name]],SiteDB6[[Site Name]:[Lat]],12,FALSE)</f>
        <v>0</v>
      </c>
      <c r="BY12" s="645">
        <f>VLOOKUP(WWWW[[#This Row],[Village  Name]],SiteDB6[[Site Name]:[Long]],13,FALSE)</f>
        <v>0</v>
      </c>
      <c r="BZ12" s="645">
        <f>VLOOKUP(WWWW[[#This Row],[Village  Name]],SiteDB6[[Site Name]:[Pcode]],3,FALSE)</f>
        <v>0</v>
      </c>
      <c r="CA12" s="645" t="str">
        <f t="shared" si="0"/>
        <v>Covered</v>
      </c>
      <c r="CB12" s="655"/>
    </row>
    <row r="13" spans="1:80">
      <c r="A13" s="641" t="s">
        <v>3150</v>
      </c>
      <c r="B13" s="641" t="s">
        <v>2994</v>
      </c>
      <c r="C13" s="642"/>
      <c r="D13" s="642" t="s">
        <v>231</v>
      </c>
      <c r="E13" s="643" t="s">
        <v>698</v>
      </c>
      <c r="F13" s="642" t="s">
        <v>1278</v>
      </c>
      <c r="G13" s="644" t="str">
        <f>VLOOKUP(WWWW[[#This Row],[Village  Name]],SiteDB6[[Site Name]:[Location Type]],8,FALSE)</f>
        <v>Village</v>
      </c>
      <c r="H13" s="642" t="s">
        <v>3002</v>
      </c>
      <c r="I13" s="646"/>
      <c r="J13" s="646">
        <v>169</v>
      </c>
      <c r="K13" s="647">
        <v>43258</v>
      </c>
      <c r="L13" s="648">
        <v>43830</v>
      </c>
      <c r="M13" s="646"/>
      <c r="N13" s="646"/>
      <c r="O13" s="524"/>
      <c r="P13" s="646"/>
      <c r="Q13" s="646"/>
      <c r="R13" s="646"/>
      <c r="S13" s="646"/>
      <c r="T13" s="646"/>
      <c r="U13" s="649"/>
      <c r="V13" s="646"/>
      <c r="W13" s="646"/>
      <c r="X13" s="646"/>
      <c r="Y13" s="646"/>
      <c r="Z13" s="646"/>
      <c r="AA13" s="646"/>
      <c r="AB13" s="646"/>
      <c r="AC13" s="649"/>
      <c r="AD13" s="646">
        <v>51</v>
      </c>
      <c r="AE13" s="646">
        <v>56</v>
      </c>
      <c r="AF13" s="646"/>
      <c r="AG13" s="646">
        <v>3</v>
      </c>
      <c r="AH13" s="646"/>
      <c r="AI13" s="646"/>
      <c r="AJ13" s="524"/>
      <c r="AK13" s="646"/>
      <c r="AL13" s="524"/>
      <c r="AM13" s="524"/>
      <c r="AN13" s="649"/>
      <c r="AO13" s="477"/>
      <c r="AP13" s="477"/>
      <c r="AQ13" s="524"/>
      <c r="AR13" s="524"/>
      <c r="AS13" s="524"/>
      <c r="AT13"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3" s="651">
        <f>WWWW[[#This Row],[%Equitable and continuous access to sufficient quantity of safe drinking water]]*WWWW[[#This Row],[Total PoP ]]</f>
        <v>0</v>
      </c>
      <c r="AV13"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3" s="651">
        <f>WWWW[[#This Row],[% Access to unimproved water points]]*WWWW[[#This Row],[Total PoP ]]</f>
        <v>0</v>
      </c>
      <c r="AX13"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3"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3" s="651">
        <f>WWWW[[#This Row],[HRP1]]/250</f>
        <v>0</v>
      </c>
      <c r="BA13" s="653">
        <f>1-WWWW[[#This Row],[% Equitable and continuous access to sufficient quantity of domestic water]]</f>
        <v>1</v>
      </c>
      <c r="BB13" s="651">
        <f>WWWW[[#This Row],[%equitable and continuous access to sufficient quantity of safe drinking and domestic water''s GAP]]*WWWW[[#This Row],[Total PoP ]]</f>
        <v>169</v>
      </c>
      <c r="BC13" s="654">
        <f>IF(WWWW[[#This Row],[Total required water points]]-WWWW[[#This Row],['#Water points coverage]]&lt;0,0,WWWW[[#This Row],[Total required water points]]-WWWW[[#This Row],['#Water points coverage]])</f>
        <v>1</v>
      </c>
      <c r="BD13" s="654">
        <f>ROUND(IF(WWWW[[#This Row],[Total PoP ]]&lt;250,1,WWWW[[#This Row],[Total PoP ]]/250),0)</f>
        <v>1</v>
      </c>
      <c r="BE1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3" s="651">
        <f>WWWW[[#This Row],[% people access to functioning Latrine]]*WWWW[[#This Row],[Total PoP ]]</f>
        <v>0</v>
      </c>
      <c r="BG13" s="654">
        <f>WWWW[[#This Row],['#_of_Functioning_latrines_in_school]]*50</f>
        <v>0</v>
      </c>
      <c r="BH13" s="654">
        <f>ROUND((WWWW[[#This Row],[Total PoP ]]/6),0)</f>
        <v>28</v>
      </c>
      <c r="BI13" s="654">
        <f>IF(WWWW[[#This Row],[Total required Latrines]]-(WWWW[[#This Row],['#_of_sanitary_fly-proof_HH_latrines]])&lt;0,0,WWWW[[#This Row],[Total required Latrines]]-(WWWW[[#This Row],['#_of_sanitary_fly-proof_HH_latrines]]))</f>
        <v>28</v>
      </c>
      <c r="BJ13" s="650">
        <f>1-WWWW[[#This Row],[% people access to functioning Latrine]]</f>
        <v>1</v>
      </c>
      <c r="BK13"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110</v>
      </c>
      <c r="BL13" s="483">
        <f>IF(WWWW[[#This Row],['#_of_functional_handwashing_facilities_at_HH_level]]*6&gt;WWWW[[#This Row],[Total PoP ]],WWWW[[#This Row],[Total PoP ]],WWWW[[#This Row],['#_of_functional_handwashing_facilities_at_HH_level]]*6)</f>
        <v>0</v>
      </c>
      <c r="BM13" s="654">
        <f>IF(WWWW[[#This Row],['# people reached by regular dedicated hygiene promotion]]&gt;WWWW[[#This Row],['# People received regular supply of hygiene items]],WWWW[[#This Row],['# people reached by regular dedicated hygiene promotion]],WWWW[[#This Row],['# People received regular supply of hygiene items]])</f>
        <v>110</v>
      </c>
      <c r="BN13" s="653">
        <f>IF(WWWW[[#This Row],[HRP3]]/WWWW[[#This Row],[Total PoP ]]&gt;100%,100%,WWWW[[#This Row],[HRP3]]/WWWW[[#This Row],[Total PoP ]])</f>
        <v>0.65088757396449703</v>
      </c>
      <c r="BO13" s="650">
        <f>1-WWWW[[#This Row],[Hygiene Coverage%]]</f>
        <v>0.34911242603550297</v>
      </c>
      <c r="BP13" s="652">
        <f>WWWW[[#This Row],['# people reached by regular dedicated hygiene promotion]]/WWWW[[#This Row],[Total PoP ]]</f>
        <v>0.65088757396449703</v>
      </c>
      <c r="BQ1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3" s="478">
        <f>WWWW[[#This Row],['#_of_affected_women_and_girls_receiving_a_sufficient_quantity_of_sanitary_pads]]</f>
        <v>0</v>
      </c>
      <c r="BS13" s="524">
        <f>IF(WWWW[[#This Row],['# People with access to soap]]&gt;WWWW[[#This Row],['# People with access to Sanity Pads]],WWWW[[#This Row],['# People with access to soap]],WWWW[[#This Row],['# People with access to Sanity Pads]])</f>
        <v>0</v>
      </c>
      <c r="BT13" s="483" t="str">
        <f>IF(OR(WWWW[[#This Row],['#of students in school]]="",WWWW[[#This Row],['#of students in school]]=0),"No","Yes")</f>
        <v>No</v>
      </c>
      <c r="BU13" s="645" t="str">
        <f>VLOOKUP(WWWW[[#This Row],[Village  Name]],SiteDB6[[Site Name]:[Location Type 1]],9,FALSE)</f>
        <v>Village</v>
      </c>
      <c r="BV13" s="645" t="str">
        <f>VLOOKUP(WWWW[[#This Row],[Village  Name]],SiteDB6[[Site Name]:[Type of Accommodation]],10,FALSE)</f>
        <v>Village</v>
      </c>
      <c r="BW13" s="645">
        <f>VLOOKUP(WWWW[[#This Row],[Village  Name]],SiteDB6[[Site Name]:[Ethnic or GCA/NGCA]],11,FALSE)</f>
        <v>0</v>
      </c>
      <c r="BX13" s="645">
        <f>VLOOKUP(WWWW[[#This Row],[Village  Name]],SiteDB6[[Site Name]:[Lat]],12,FALSE)</f>
        <v>0</v>
      </c>
      <c r="BY13" s="645">
        <f>VLOOKUP(WWWW[[#This Row],[Village  Name]],SiteDB6[[Site Name]:[Long]],13,FALSE)</f>
        <v>0</v>
      </c>
      <c r="BZ13" s="645">
        <f>VLOOKUP(WWWW[[#This Row],[Village  Name]],SiteDB6[[Site Name]:[Pcode]],3,FALSE)</f>
        <v>0</v>
      </c>
      <c r="CA13" s="645" t="str">
        <f t="shared" si="0"/>
        <v>Covered</v>
      </c>
      <c r="CB13" s="655"/>
    </row>
    <row r="14" spans="1:80">
      <c r="A14" s="641" t="s">
        <v>3150</v>
      </c>
      <c r="B14" s="641" t="s">
        <v>2994</v>
      </c>
      <c r="C14" s="642"/>
      <c r="D14" s="642" t="s">
        <v>231</v>
      </c>
      <c r="E14" s="643" t="s">
        <v>698</v>
      </c>
      <c r="F14" s="642" t="s">
        <v>3005</v>
      </c>
      <c r="G14" s="644" t="str">
        <f>VLOOKUP(WWWW[[#This Row],[Village  Name]],SiteDB6[[Site Name]:[Location Type]],8,FALSE)</f>
        <v>Village</v>
      </c>
      <c r="H14" s="642" t="s">
        <v>3006</v>
      </c>
      <c r="I14" s="646"/>
      <c r="J14" s="646">
        <v>937</v>
      </c>
      <c r="K14" s="647">
        <v>43258</v>
      </c>
      <c r="L14" s="648">
        <v>43830</v>
      </c>
      <c r="M14" s="646"/>
      <c r="N14" s="646"/>
      <c r="O14" s="524"/>
      <c r="P14" s="646"/>
      <c r="Q14" s="646"/>
      <c r="R14" s="646"/>
      <c r="S14" s="646"/>
      <c r="T14" s="646"/>
      <c r="U14" s="649"/>
      <c r="V14" s="646"/>
      <c r="W14" s="646"/>
      <c r="X14" s="646"/>
      <c r="Y14" s="646"/>
      <c r="Z14" s="646"/>
      <c r="AA14" s="646"/>
      <c r="AB14" s="646"/>
      <c r="AC14" s="649"/>
      <c r="AD14" s="646">
        <v>41</v>
      </c>
      <c r="AE14" s="646">
        <v>64</v>
      </c>
      <c r="AF14" s="646"/>
      <c r="AG14" s="646"/>
      <c r="AH14" s="646"/>
      <c r="AI14" s="646"/>
      <c r="AJ14" s="524"/>
      <c r="AK14" s="646"/>
      <c r="AL14" s="524"/>
      <c r="AM14" s="524"/>
      <c r="AN14" s="649"/>
      <c r="AO14" s="477"/>
      <c r="AP14" s="477"/>
      <c r="AQ14" s="524"/>
      <c r="AR14" s="524"/>
      <c r="AS14" s="524"/>
      <c r="AT14"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4" s="651">
        <f>WWWW[[#This Row],[%Equitable and continuous access to sufficient quantity of safe drinking water]]*WWWW[[#This Row],[Total PoP ]]</f>
        <v>0</v>
      </c>
      <c r="AV14"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4" s="651">
        <f>WWWW[[#This Row],[% Access to unimproved water points]]*WWWW[[#This Row],[Total PoP ]]</f>
        <v>0</v>
      </c>
      <c r="AX14"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4"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4" s="651">
        <f>WWWW[[#This Row],[HRP1]]/250</f>
        <v>0</v>
      </c>
      <c r="BA14" s="653">
        <f>1-WWWW[[#This Row],[% Equitable and continuous access to sufficient quantity of domestic water]]</f>
        <v>1</v>
      </c>
      <c r="BB14" s="651">
        <f>WWWW[[#This Row],[%equitable and continuous access to sufficient quantity of safe drinking and domestic water''s GAP]]*WWWW[[#This Row],[Total PoP ]]</f>
        <v>937</v>
      </c>
      <c r="BC14" s="654">
        <f>IF(WWWW[[#This Row],[Total required water points]]-WWWW[[#This Row],['#Water points coverage]]&lt;0,0,WWWW[[#This Row],[Total required water points]]-WWWW[[#This Row],['#Water points coverage]])</f>
        <v>4</v>
      </c>
      <c r="BD14" s="654">
        <f>ROUND(IF(WWWW[[#This Row],[Total PoP ]]&lt;250,1,WWWW[[#This Row],[Total PoP ]]/250),0)</f>
        <v>4</v>
      </c>
      <c r="BE1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4" s="651">
        <f>WWWW[[#This Row],[% people access to functioning Latrine]]*WWWW[[#This Row],[Total PoP ]]</f>
        <v>0</v>
      </c>
      <c r="BG14" s="654">
        <f>WWWW[[#This Row],['#_of_Functioning_latrines_in_school]]*50</f>
        <v>0</v>
      </c>
      <c r="BH14" s="654">
        <f>ROUND((WWWW[[#This Row],[Total PoP ]]/6),0)</f>
        <v>156</v>
      </c>
      <c r="BI14" s="654">
        <f>IF(WWWW[[#This Row],[Total required Latrines]]-(WWWW[[#This Row],['#_of_sanitary_fly-proof_HH_latrines]])&lt;0,0,WWWW[[#This Row],[Total required Latrines]]-(WWWW[[#This Row],['#_of_sanitary_fly-proof_HH_latrines]]))</f>
        <v>156</v>
      </c>
      <c r="BJ14" s="650">
        <f>1-WWWW[[#This Row],[% people access to functioning Latrine]]</f>
        <v>1</v>
      </c>
      <c r="BK14"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105</v>
      </c>
      <c r="BL14" s="483">
        <f>IF(WWWW[[#This Row],['#_of_functional_handwashing_facilities_at_HH_level]]*6&gt;WWWW[[#This Row],[Total PoP ]],WWWW[[#This Row],[Total PoP ]],WWWW[[#This Row],['#_of_functional_handwashing_facilities_at_HH_level]]*6)</f>
        <v>0</v>
      </c>
      <c r="BM14" s="654">
        <f>IF(WWWW[[#This Row],['# people reached by regular dedicated hygiene promotion]]&gt;WWWW[[#This Row],['# People received regular supply of hygiene items]],WWWW[[#This Row],['# people reached by regular dedicated hygiene promotion]],WWWW[[#This Row],['# People received regular supply of hygiene items]])</f>
        <v>105</v>
      </c>
      <c r="BN14" s="653">
        <f>IF(WWWW[[#This Row],[HRP3]]/WWWW[[#This Row],[Total PoP ]]&gt;100%,100%,WWWW[[#This Row],[HRP3]]/WWWW[[#This Row],[Total PoP ]])</f>
        <v>0.11205976520811099</v>
      </c>
      <c r="BO14" s="650">
        <f>1-WWWW[[#This Row],[Hygiene Coverage%]]</f>
        <v>0.88794023479188899</v>
      </c>
      <c r="BP14" s="652">
        <f>WWWW[[#This Row],['# people reached by regular dedicated hygiene promotion]]/WWWW[[#This Row],[Total PoP ]]</f>
        <v>0.11205976520811099</v>
      </c>
      <c r="BQ1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4" s="478">
        <f>WWWW[[#This Row],['#_of_affected_women_and_girls_receiving_a_sufficient_quantity_of_sanitary_pads]]</f>
        <v>0</v>
      </c>
      <c r="BS14" s="524">
        <f>IF(WWWW[[#This Row],['# People with access to soap]]&gt;WWWW[[#This Row],['# People with access to Sanity Pads]],WWWW[[#This Row],['# People with access to soap]],WWWW[[#This Row],['# People with access to Sanity Pads]])</f>
        <v>0</v>
      </c>
      <c r="BT14" s="483" t="str">
        <f>IF(OR(WWWW[[#This Row],['#of students in school]]="",WWWW[[#This Row],['#of students in school]]=0),"No","Yes")</f>
        <v>No</v>
      </c>
      <c r="BU14" s="645" t="str">
        <f>VLOOKUP(WWWW[[#This Row],[Village  Name]],SiteDB6[[Site Name]:[Location Type 1]],9,FALSE)</f>
        <v>Village</v>
      </c>
      <c r="BV14" s="645" t="str">
        <f>VLOOKUP(WWWW[[#This Row],[Village  Name]],SiteDB6[[Site Name]:[Type of Accommodation]],10,FALSE)</f>
        <v>Village</v>
      </c>
      <c r="BW14" s="645">
        <f>VLOOKUP(WWWW[[#This Row],[Village  Name]],SiteDB6[[Site Name]:[Ethnic or GCA/NGCA]],11,FALSE)</f>
        <v>0</v>
      </c>
      <c r="BX14" s="645">
        <f>VLOOKUP(WWWW[[#This Row],[Village  Name]],SiteDB6[[Site Name]:[Lat]],12,FALSE)</f>
        <v>0</v>
      </c>
      <c r="BY14" s="645">
        <f>VLOOKUP(WWWW[[#This Row],[Village  Name]],SiteDB6[[Site Name]:[Long]],13,FALSE)</f>
        <v>0</v>
      </c>
      <c r="BZ14" s="645">
        <f>VLOOKUP(WWWW[[#This Row],[Village  Name]],SiteDB6[[Site Name]:[Pcode]],3,FALSE)</f>
        <v>0</v>
      </c>
      <c r="CA14" s="645" t="str">
        <f t="shared" si="0"/>
        <v>Covered</v>
      </c>
      <c r="CB14" s="655"/>
    </row>
    <row r="15" spans="1:80">
      <c r="A15" s="641" t="s">
        <v>3150</v>
      </c>
      <c r="B15" s="641" t="s">
        <v>2994</v>
      </c>
      <c r="C15" s="642"/>
      <c r="D15" s="642" t="s">
        <v>231</v>
      </c>
      <c r="E15" s="643" t="s">
        <v>698</v>
      </c>
      <c r="F15" s="642" t="s">
        <v>1272</v>
      </c>
      <c r="G15" s="644" t="str">
        <f>VLOOKUP(WWWW[[#This Row],[Village  Name]],SiteDB6[[Site Name]:[Location Type]],8,FALSE)</f>
        <v>Village</v>
      </c>
      <c r="H15" s="642" t="s">
        <v>3007</v>
      </c>
      <c r="I15" s="646"/>
      <c r="J15" s="646">
        <v>352</v>
      </c>
      <c r="K15" s="647">
        <v>43258</v>
      </c>
      <c r="L15" s="648">
        <v>43830</v>
      </c>
      <c r="M15" s="646"/>
      <c r="N15" s="646"/>
      <c r="O15" s="524"/>
      <c r="P15" s="646"/>
      <c r="Q15" s="646"/>
      <c r="R15" s="646"/>
      <c r="S15" s="646"/>
      <c r="T15" s="646"/>
      <c r="U15" s="649"/>
      <c r="V15" s="646">
        <v>17</v>
      </c>
      <c r="W15" s="646"/>
      <c r="X15" s="646"/>
      <c r="Y15" s="646"/>
      <c r="Z15" s="646"/>
      <c r="AA15" s="646"/>
      <c r="AB15" s="646"/>
      <c r="AC15" s="649"/>
      <c r="AD15" s="646">
        <v>17</v>
      </c>
      <c r="AE15" s="646">
        <v>24</v>
      </c>
      <c r="AF15" s="646"/>
      <c r="AG15" s="646"/>
      <c r="AH15" s="646"/>
      <c r="AI15" s="646"/>
      <c r="AJ15" s="524"/>
      <c r="AK15" s="646"/>
      <c r="AL15" s="524"/>
      <c r="AM15" s="524"/>
      <c r="AN15" s="649"/>
      <c r="AO15" s="477"/>
      <c r="AP15" s="477"/>
      <c r="AQ15" s="524"/>
      <c r="AR15" s="524"/>
      <c r="AS15" s="524"/>
      <c r="AT15"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5" s="651">
        <f>WWWW[[#This Row],[%Equitable and continuous access to sufficient quantity of safe drinking water]]*WWWW[[#This Row],[Total PoP ]]</f>
        <v>0</v>
      </c>
      <c r="AV15"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5" s="651">
        <f>WWWW[[#This Row],[% Access to unimproved water points]]*WWWW[[#This Row],[Total PoP ]]</f>
        <v>0</v>
      </c>
      <c r="AX15"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5"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5" s="651">
        <f>WWWW[[#This Row],[HRP1]]/250</f>
        <v>0</v>
      </c>
      <c r="BA15" s="653">
        <f>1-WWWW[[#This Row],[% Equitable and continuous access to sufficient quantity of domestic water]]</f>
        <v>1</v>
      </c>
      <c r="BB15" s="651">
        <f>WWWW[[#This Row],[%equitable and continuous access to sufficient quantity of safe drinking and domestic water''s GAP]]*WWWW[[#This Row],[Total PoP ]]</f>
        <v>352</v>
      </c>
      <c r="BC15" s="654">
        <f>IF(WWWW[[#This Row],[Total required water points]]-WWWW[[#This Row],['#Water points coverage]]&lt;0,0,WWWW[[#This Row],[Total required water points]]-WWWW[[#This Row],['#Water points coverage]])</f>
        <v>1</v>
      </c>
      <c r="BD15" s="654">
        <f>ROUND(IF(WWWW[[#This Row],[Total PoP ]]&lt;250,1,WWWW[[#This Row],[Total PoP ]]/250),0)</f>
        <v>1</v>
      </c>
      <c r="BE1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0.28977272727272729</v>
      </c>
      <c r="BF15" s="651">
        <f>WWWW[[#This Row],[% people access to functioning Latrine]]*WWWW[[#This Row],[Total PoP ]]</f>
        <v>102</v>
      </c>
      <c r="BG15" s="654">
        <f>WWWW[[#This Row],['#_of_Functioning_latrines_in_school]]*50</f>
        <v>0</v>
      </c>
      <c r="BH15" s="654">
        <f>ROUND((WWWW[[#This Row],[Total PoP ]]/6),0)</f>
        <v>59</v>
      </c>
      <c r="BI15" s="654">
        <f>IF(WWWW[[#This Row],[Total required Latrines]]-(WWWW[[#This Row],['#_of_sanitary_fly-proof_HH_latrines]])&lt;0,0,WWWW[[#This Row],[Total required Latrines]]-(WWWW[[#This Row],['#_of_sanitary_fly-proof_HH_latrines]]))</f>
        <v>42</v>
      </c>
      <c r="BJ15" s="650">
        <f>1-WWWW[[#This Row],[% people access to functioning Latrine]]</f>
        <v>0.71022727272727271</v>
      </c>
      <c r="BK15"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41</v>
      </c>
      <c r="BL15" s="483">
        <f>IF(WWWW[[#This Row],['#_of_functional_handwashing_facilities_at_HH_level]]*6&gt;WWWW[[#This Row],[Total PoP ]],WWWW[[#This Row],[Total PoP ]],WWWW[[#This Row],['#_of_functional_handwashing_facilities_at_HH_level]]*6)</f>
        <v>0</v>
      </c>
      <c r="BM15" s="654">
        <f>IF(WWWW[[#This Row],['# people reached by regular dedicated hygiene promotion]]&gt;WWWW[[#This Row],['# People received regular supply of hygiene items]],WWWW[[#This Row],['# people reached by regular dedicated hygiene promotion]],WWWW[[#This Row],['# People received regular supply of hygiene items]])</f>
        <v>41</v>
      </c>
      <c r="BN15" s="653">
        <f>IF(WWWW[[#This Row],[HRP3]]/WWWW[[#This Row],[Total PoP ]]&gt;100%,100%,WWWW[[#This Row],[HRP3]]/WWWW[[#This Row],[Total PoP ]])</f>
        <v>0.11647727272727272</v>
      </c>
      <c r="BO15" s="650">
        <f>1-WWWW[[#This Row],[Hygiene Coverage%]]</f>
        <v>0.88352272727272729</v>
      </c>
      <c r="BP15" s="652">
        <f>WWWW[[#This Row],['# people reached by regular dedicated hygiene promotion]]/WWWW[[#This Row],[Total PoP ]]</f>
        <v>0.11647727272727272</v>
      </c>
      <c r="BQ1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5" s="478">
        <f>WWWW[[#This Row],['#_of_affected_women_and_girls_receiving_a_sufficient_quantity_of_sanitary_pads]]</f>
        <v>0</v>
      </c>
      <c r="BS15" s="524">
        <f>IF(WWWW[[#This Row],['# People with access to soap]]&gt;WWWW[[#This Row],['# People with access to Sanity Pads]],WWWW[[#This Row],['# People with access to soap]],WWWW[[#This Row],['# People with access to Sanity Pads]])</f>
        <v>0</v>
      </c>
      <c r="BT15" s="483" t="str">
        <f>IF(OR(WWWW[[#This Row],['#of students in school]]="",WWWW[[#This Row],['#of students in school]]=0),"No","Yes")</f>
        <v>No</v>
      </c>
      <c r="BU15" s="645" t="str">
        <f>VLOOKUP(WWWW[[#This Row],[Village  Name]],SiteDB6[[Site Name]:[Location Type 1]],9,FALSE)</f>
        <v>Village</v>
      </c>
      <c r="BV15" s="645" t="str">
        <f>VLOOKUP(WWWW[[#This Row],[Village  Name]],SiteDB6[[Site Name]:[Type of Accommodation]],10,FALSE)</f>
        <v>Village</v>
      </c>
      <c r="BW15" s="645">
        <f>VLOOKUP(WWWW[[#This Row],[Village  Name]],SiteDB6[[Site Name]:[Ethnic or GCA/NGCA]],11,FALSE)</f>
        <v>0</v>
      </c>
      <c r="BX15" s="645">
        <f>VLOOKUP(WWWW[[#This Row],[Village  Name]],SiteDB6[[Site Name]:[Lat]],12,FALSE)</f>
        <v>0</v>
      </c>
      <c r="BY15" s="645">
        <f>VLOOKUP(WWWW[[#This Row],[Village  Name]],SiteDB6[[Site Name]:[Long]],13,FALSE)</f>
        <v>0</v>
      </c>
      <c r="BZ15" s="645">
        <f>VLOOKUP(WWWW[[#This Row],[Village  Name]],SiteDB6[[Site Name]:[Pcode]],3,FALSE)</f>
        <v>0</v>
      </c>
      <c r="CA15" s="645" t="str">
        <f t="shared" si="0"/>
        <v>Covered</v>
      </c>
      <c r="CB15" s="655"/>
    </row>
    <row r="16" spans="1:80">
      <c r="A16" s="641" t="s">
        <v>3150</v>
      </c>
      <c r="B16" s="641" t="s">
        <v>2994</v>
      </c>
      <c r="C16" s="642"/>
      <c r="D16" s="642" t="s">
        <v>231</v>
      </c>
      <c r="E16" s="643" t="s">
        <v>698</v>
      </c>
      <c r="F16" s="642" t="s">
        <v>1272</v>
      </c>
      <c r="G16" s="644" t="str">
        <f>VLOOKUP(WWWW[[#This Row],[Village  Name]],SiteDB6[[Site Name]:[Location Type]],8,FALSE)</f>
        <v>Village</v>
      </c>
      <c r="H16" s="642" t="s">
        <v>3008</v>
      </c>
      <c r="I16" s="646"/>
      <c r="J16" s="646">
        <v>265</v>
      </c>
      <c r="K16" s="647">
        <v>43258</v>
      </c>
      <c r="L16" s="648">
        <v>43830</v>
      </c>
      <c r="M16" s="646"/>
      <c r="N16" s="646"/>
      <c r="O16" s="524"/>
      <c r="P16" s="646"/>
      <c r="Q16" s="646"/>
      <c r="R16" s="646"/>
      <c r="S16" s="646"/>
      <c r="T16" s="646"/>
      <c r="U16" s="649"/>
      <c r="V16" s="646">
        <v>9</v>
      </c>
      <c r="W16" s="646"/>
      <c r="X16" s="646"/>
      <c r="Y16" s="646"/>
      <c r="Z16" s="646"/>
      <c r="AA16" s="646"/>
      <c r="AB16" s="646"/>
      <c r="AC16" s="649"/>
      <c r="AD16" s="646">
        <v>11</v>
      </c>
      <c r="AE16" s="646">
        <v>23</v>
      </c>
      <c r="AF16" s="646"/>
      <c r="AG16" s="646"/>
      <c r="AH16" s="646"/>
      <c r="AI16" s="646"/>
      <c r="AJ16" s="524"/>
      <c r="AK16" s="646"/>
      <c r="AL16" s="524"/>
      <c r="AM16" s="524"/>
      <c r="AN16" s="649"/>
      <c r="AO16" s="477"/>
      <c r="AP16" s="477"/>
      <c r="AQ16" s="524"/>
      <c r="AR16" s="524"/>
      <c r="AS16" s="524"/>
      <c r="AT16"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6" s="651">
        <f>WWWW[[#This Row],[%Equitable and continuous access to sufficient quantity of safe drinking water]]*WWWW[[#This Row],[Total PoP ]]</f>
        <v>0</v>
      </c>
      <c r="AV16"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6" s="651">
        <f>WWWW[[#This Row],[% Access to unimproved water points]]*WWWW[[#This Row],[Total PoP ]]</f>
        <v>0</v>
      </c>
      <c r="AX16"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6"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6" s="651">
        <f>WWWW[[#This Row],[HRP1]]/250</f>
        <v>0</v>
      </c>
      <c r="BA16" s="653">
        <f>1-WWWW[[#This Row],[% Equitable and continuous access to sufficient quantity of domestic water]]</f>
        <v>1</v>
      </c>
      <c r="BB16" s="651">
        <f>WWWW[[#This Row],[%equitable and continuous access to sufficient quantity of safe drinking and domestic water''s GAP]]*WWWW[[#This Row],[Total PoP ]]</f>
        <v>265</v>
      </c>
      <c r="BC16" s="654">
        <f>IF(WWWW[[#This Row],[Total required water points]]-WWWW[[#This Row],['#Water points coverage]]&lt;0,0,WWWW[[#This Row],[Total required water points]]-WWWW[[#This Row],['#Water points coverage]])</f>
        <v>1</v>
      </c>
      <c r="BD16" s="654">
        <f>ROUND(IF(WWWW[[#This Row],[Total PoP ]]&lt;250,1,WWWW[[#This Row],[Total PoP ]]/250),0)</f>
        <v>1</v>
      </c>
      <c r="BE1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0.20377358490566039</v>
      </c>
      <c r="BF16" s="651">
        <f>WWWW[[#This Row],[% people access to functioning Latrine]]*WWWW[[#This Row],[Total PoP ]]</f>
        <v>54</v>
      </c>
      <c r="BG16" s="654">
        <f>WWWW[[#This Row],['#_of_Functioning_latrines_in_school]]*50</f>
        <v>0</v>
      </c>
      <c r="BH16" s="654">
        <f>ROUND((WWWW[[#This Row],[Total PoP ]]/6),0)</f>
        <v>44</v>
      </c>
      <c r="BI16" s="654">
        <f>IF(WWWW[[#This Row],[Total required Latrines]]-(WWWW[[#This Row],['#_of_sanitary_fly-proof_HH_latrines]])&lt;0,0,WWWW[[#This Row],[Total required Latrines]]-(WWWW[[#This Row],['#_of_sanitary_fly-proof_HH_latrines]]))</f>
        <v>35</v>
      </c>
      <c r="BJ16" s="650">
        <f>1-WWWW[[#This Row],[% people access to functioning Latrine]]</f>
        <v>0.79622641509433967</v>
      </c>
      <c r="BK16"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34</v>
      </c>
      <c r="BL16" s="483">
        <f>IF(WWWW[[#This Row],['#_of_functional_handwashing_facilities_at_HH_level]]*6&gt;WWWW[[#This Row],[Total PoP ]],WWWW[[#This Row],[Total PoP ]],WWWW[[#This Row],['#_of_functional_handwashing_facilities_at_HH_level]]*6)</f>
        <v>0</v>
      </c>
      <c r="BM16" s="654">
        <f>IF(WWWW[[#This Row],['# people reached by regular dedicated hygiene promotion]]&gt;WWWW[[#This Row],['# People received regular supply of hygiene items]],WWWW[[#This Row],['# people reached by regular dedicated hygiene promotion]],WWWW[[#This Row],['# People received regular supply of hygiene items]])</f>
        <v>34</v>
      </c>
      <c r="BN16" s="653">
        <f>IF(WWWW[[#This Row],[HRP3]]/WWWW[[#This Row],[Total PoP ]]&gt;100%,100%,WWWW[[#This Row],[HRP3]]/WWWW[[#This Row],[Total PoP ]])</f>
        <v>0.12830188679245283</v>
      </c>
      <c r="BO16" s="650">
        <f>1-WWWW[[#This Row],[Hygiene Coverage%]]</f>
        <v>0.8716981132075472</v>
      </c>
      <c r="BP16" s="652">
        <f>WWWW[[#This Row],['# people reached by regular dedicated hygiene promotion]]/WWWW[[#This Row],[Total PoP ]]</f>
        <v>0.12830188679245283</v>
      </c>
      <c r="BQ1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 s="478">
        <f>WWWW[[#This Row],['#_of_affected_women_and_girls_receiving_a_sufficient_quantity_of_sanitary_pads]]</f>
        <v>0</v>
      </c>
      <c r="BS16" s="524">
        <f>IF(WWWW[[#This Row],['# People with access to soap]]&gt;WWWW[[#This Row],['# People with access to Sanity Pads]],WWWW[[#This Row],['# People with access to soap]],WWWW[[#This Row],['# People with access to Sanity Pads]])</f>
        <v>0</v>
      </c>
      <c r="BT16" s="483" t="str">
        <f>IF(OR(WWWW[[#This Row],['#of students in school]]="",WWWW[[#This Row],['#of students in school]]=0),"No","Yes")</f>
        <v>No</v>
      </c>
      <c r="BU16" s="645" t="str">
        <f>VLOOKUP(WWWW[[#This Row],[Village  Name]],SiteDB6[[Site Name]:[Location Type 1]],9,FALSE)</f>
        <v>Village</v>
      </c>
      <c r="BV16" s="645" t="str">
        <f>VLOOKUP(WWWW[[#This Row],[Village  Name]],SiteDB6[[Site Name]:[Type of Accommodation]],10,FALSE)</f>
        <v>Village</v>
      </c>
      <c r="BW16" s="645">
        <f>VLOOKUP(WWWW[[#This Row],[Village  Name]],SiteDB6[[Site Name]:[Ethnic or GCA/NGCA]],11,FALSE)</f>
        <v>0</v>
      </c>
      <c r="BX16" s="645">
        <f>VLOOKUP(WWWW[[#This Row],[Village  Name]],SiteDB6[[Site Name]:[Lat]],12,FALSE)</f>
        <v>0</v>
      </c>
      <c r="BY16" s="645">
        <f>VLOOKUP(WWWW[[#This Row],[Village  Name]],SiteDB6[[Site Name]:[Long]],13,FALSE)</f>
        <v>0</v>
      </c>
      <c r="BZ16" s="645">
        <f>VLOOKUP(WWWW[[#This Row],[Village  Name]],SiteDB6[[Site Name]:[Pcode]],3,FALSE)</f>
        <v>0</v>
      </c>
      <c r="CA16" s="645" t="str">
        <f t="shared" si="0"/>
        <v>Covered</v>
      </c>
      <c r="CB16" s="655"/>
    </row>
    <row r="17" spans="1:80">
      <c r="A17" s="641" t="s">
        <v>3150</v>
      </c>
      <c r="B17" s="641" t="s">
        <v>2994</v>
      </c>
      <c r="C17" s="642"/>
      <c r="D17" s="642" t="s">
        <v>231</v>
      </c>
      <c r="E17" s="643" t="s">
        <v>698</v>
      </c>
      <c r="F17" s="642" t="s">
        <v>1246</v>
      </c>
      <c r="G17" s="644" t="str">
        <f>VLOOKUP(WWWW[[#This Row],[Village  Name]],SiteDB6[[Site Name]:[Location Type]],8,FALSE)</f>
        <v>Village</v>
      </c>
      <c r="H17" s="642" t="s">
        <v>3009</v>
      </c>
      <c r="I17" s="646"/>
      <c r="J17" s="646">
        <v>117</v>
      </c>
      <c r="K17" s="647">
        <v>43258</v>
      </c>
      <c r="L17" s="648">
        <v>43830</v>
      </c>
      <c r="M17" s="646"/>
      <c r="N17" s="646"/>
      <c r="O17" s="524"/>
      <c r="P17" s="646"/>
      <c r="Q17" s="646"/>
      <c r="R17" s="646"/>
      <c r="S17" s="646"/>
      <c r="T17" s="646"/>
      <c r="U17" s="649"/>
      <c r="V17" s="646"/>
      <c r="W17" s="646"/>
      <c r="X17" s="646"/>
      <c r="Y17" s="646"/>
      <c r="Z17" s="646"/>
      <c r="AA17" s="646"/>
      <c r="AB17" s="646"/>
      <c r="AC17" s="649"/>
      <c r="AD17" s="646">
        <v>14</v>
      </c>
      <c r="AE17" s="646">
        <v>9</v>
      </c>
      <c r="AF17" s="646">
        <v>9</v>
      </c>
      <c r="AG17" s="646">
        <v>8</v>
      </c>
      <c r="AH17" s="646"/>
      <c r="AI17" s="646"/>
      <c r="AJ17" s="524"/>
      <c r="AK17" s="646"/>
      <c r="AL17" s="524"/>
      <c r="AM17" s="524"/>
      <c r="AN17" s="649"/>
      <c r="AO17" s="477"/>
      <c r="AP17" s="477"/>
      <c r="AQ17" s="524"/>
      <c r="AR17" s="524"/>
      <c r="AS17" s="524"/>
      <c r="AT17"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7" s="651">
        <f>WWWW[[#This Row],[%Equitable and continuous access to sufficient quantity of safe drinking water]]*WWWW[[#This Row],[Total PoP ]]</f>
        <v>0</v>
      </c>
      <c r="AV17"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7" s="651">
        <f>WWWW[[#This Row],[% Access to unimproved water points]]*WWWW[[#This Row],[Total PoP ]]</f>
        <v>0</v>
      </c>
      <c r="AX17"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7"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7" s="651">
        <f>WWWW[[#This Row],[HRP1]]/250</f>
        <v>0</v>
      </c>
      <c r="BA17" s="653">
        <f>1-WWWW[[#This Row],[% Equitable and continuous access to sufficient quantity of domestic water]]</f>
        <v>1</v>
      </c>
      <c r="BB17" s="651">
        <f>WWWW[[#This Row],[%equitable and continuous access to sufficient quantity of safe drinking and domestic water''s GAP]]*WWWW[[#This Row],[Total PoP ]]</f>
        <v>117</v>
      </c>
      <c r="BC17" s="654">
        <f>IF(WWWW[[#This Row],[Total required water points]]-WWWW[[#This Row],['#Water points coverage]]&lt;0,0,WWWW[[#This Row],[Total required water points]]-WWWW[[#This Row],['#Water points coverage]])</f>
        <v>1</v>
      </c>
      <c r="BD17" s="654">
        <f>ROUND(IF(WWWW[[#This Row],[Total PoP ]]&lt;250,1,WWWW[[#This Row],[Total PoP ]]/250),0)</f>
        <v>1</v>
      </c>
      <c r="BE1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7" s="651">
        <f>WWWW[[#This Row],[% people access to functioning Latrine]]*WWWW[[#This Row],[Total PoP ]]</f>
        <v>0</v>
      </c>
      <c r="BG17" s="654">
        <f>WWWW[[#This Row],['#_of_Functioning_latrines_in_school]]*50</f>
        <v>0</v>
      </c>
      <c r="BH17" s="654">
        <f>ROUND((WWWW[[#This Row],[Total PoP ]]/6),0)</f>
        <v>20</v>
      </c>
      <c r="BI17" s="654">
        <f>IF(WWWW[[#This Row],[Total required Latrines]]-(WWWW[[#This Row],['#_of_sanitary_fly-proof_HH_latrines]])&lt;0,0,WWWW[[#This Row],[Total required Latrines]]-(WWWW[[#This Row],['#_of_sanitary_fly-proof_HH_latrines]]))</f>
        <v>20</v>
      </c>
      <c r="BJ17" s="650">
        <f>1-WWWW[[#This Row],[% people access to functioning Latrine]]</f>
        <v>1</v>
      </c>
      <c r="BK17"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40</v>
      </c>
      <c r="BL17" s="483">
        <f>IF(WWWW[[#This Row],['#_of_functional_handwashing_facilities_at_HH_level]]*6&gt;WWWW[[#This Row],[Total PoP ]],WWWW[[#This Row],[Total PoP ]],WWWW[[#This Row],['#_of_functional_handwashing_facilities_at_HH_level]]*6)</f>
        <v>0</v>
      </c>
      <c r="BM17" s="654">
        <f>IF(WWWW[[#This Row],['# people reached by regular dedicated hygiene promotion]]&gt;WWWW[[#This Row],['# People received regular supply of hygiene items]],WWWW[[#This Row],['# people reached by regular dedicated hygiene promotion]],WWWW[[#This Row],['# People received regular supply of hygiene items]])</f>
        <v>40</v>
      </c>
      <c r="BN17" s="653">
        <f>IF(WWWW[[#This Row],[HRP3]]/WWWW[[#This Row],[Total PoP ]]&gt;100%,100%,WWWW[[#This Row],[HRP3]]/WWWW[[#This Row],[Total PoP ]])</f>
        <v>0.34188034188034189</v>
      </c>
      <c r="BO17" s="650">
        <f>1-WWWW[[#This Row],[Hygiene Coverage%]]</f>
        <v>0.65811965811965811</v>
      </c>
      <c r="BP17" s="652">
        <f>WWWW[[#This Row],['# people reached by regular dedicated hygiene promotion]]/WWWW[[#This Row],[Total PoP ]]</f>
        <v>0.34188034188034189</v>
      </c>
      <c r="BQ1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 s="478">
        <f>WWWW[[#This Row],['#_of_affected_women_and_girls_receiving_a_sufficient_quantity_of_sanitary_pads]]</f>
        <v>0</v>
      </c>
      <c r="BS17" s="524">
        <f>IF(WWWW[[#This Row],['# People with access to soap]]&gt;WWWW[[#This Row],['# People with access to Sanity Pads]],WWWW[[#This Row],['# People with access to soap]],WWWW[[#This Row],['# People with access to Sanity Pads]])</f>
        <v>0</v>
      </c>
      <c r="BT17" s="483" t="str">
        <f>IF(OR(WWWW[[#This Row],['#of students in school]]="",WWWW[[#This Row],['#of students in school]]=0),"No","Yes")</f>
        <v>No</v>
      </c>
      <c r="BU17" s="645" t="str">
        <f>VLOOKUP(WWWW[[#This Row],[Village  Name]],SiteDB6[[Site Name]:[Location Type 1]],9,FALSE)</f>
        <v>Village</v>
      </c>
      <c r="BV17" s="645" t="str">
        <f>VLOOKUP(WWWW[[#This Row],[Village  Name]],SiteDB6[[Site Name]:[Type of Accommodation]],10,FALSE)</f>
        <v>Village</v>
      </c>
      <c r="BW17" s="645">
        <f>VLOOKUP(WWWW[[#This Row],[Village  Name]],SiteDB6[[Site Name]:[Ethnic or GCA/NGCA]],11,FALSE)</f>
        <v>0</v>
      </c>
      <c r="BX17" s="645">
        <f>VLOOKUP(WWWW[[#This Row],[Village  Name]],SiteDB6[[Site Name]:[Lat]],12,FALSE)</f>
        <v>0</v>
      </c>
      <c r="BY17" s="645">
        <f>VLOOKUP(WWWW[[#This Row],[Village  Name]],SiteDB6[[Site Name]:[Long]],13,FALSE)</f>
        <v>0</v>
      </c>
      <c r="BZ17" s="645">
        <f>VLOOKUP(WWWW[[#This Row],[Village  Name]],SiteDB6[[Site Name]:[Pcode]],3,FALSE)</f>
        <v>0</v>
      </c>
      <c r="CA17" s="645" t="str">
        <f t="shared" si="0"/>
        <v>Covered</v>
      </c>
      <c r="CB17" s="655"/>
    </row>
    <row r="18" spans="1:80">
      <c r="A18" s="641" t="s">
        <v>3150</v>
      </c>
      <c r="B18" s="641" t="s">
        <v>2994</v>
      </c>
      <c r="C18" s="642"/>
      <c r="D18" s="642" t="s">
        <v>231</v>
      </c>
      <c r="E18" s="643" t="s">
        <v>698</v>
      </c>
      <c r="F18" s="642" t="s">
        <v>1246</v>
      </c>
      <c r="G18" s="644" t="str">
        <f>VLOOKUP(WWWW[[#This Row],[Village  Name]],SiteDB6[[Site Name]:[Location Type]],8,FALSE)</f>
        <v>Village</v>
      </c>
      <c r="H18" s="642" t="s">
        <v>3010</v>
      </c>
      <c r="I18" s="646"/>
      <c r="J18" s="646">
        <v>155</v>
      </c>
      <c r="K18" s="647">
        <v>43258</v>
      </c>
      <c r="L18" s="648">
        <v>43830</v>
      </c>
      <c r="M18" s="646"/>
      <c r="N18" s="646"/>
      <c r="O18" s="524"/>
      <c r="P18" s="646"/>
      <c r="Q18" s="646"/>
      <c r="R18" s="646"/>
      <c r="S18" s="646"/>
      <c r="T18" s="646"/>
      <c r="U18" s="649"/>
      <c r="V18" s="646"/>
      <c r="W18" s="646"/>
      <c r="X18" s="646"/>
      <c r="Y18" s="646"/>
      <c r="Z18" s="646"/>
      <c r="AA18" s="646"/>
      <c r="AB18" s="646"/>
      <c r="AC18" s="649"/>
      <c r="AD18" s="646">
        <v>18</v>
      </c>
      <c r="AE18" s="646">
        <v>20</v>
      </c>
      <c r="AF18" s="646">
        <v>12</v>
      </c>
      <c r="AG18" s="646">
        <v>13</v>
      </c>
      <c r="AH18" s="646"/>
      <c r="AI18" s="646"/>
      <c r="AJ18" s="524"/>
      <c r="AK18" s="646"/>
      <c r="AL18" s="524"/>
      <c r="AM18" s="524"/>
      <c r="AN18" s="649"/>
      <c r="AO18" s="477"/>
      <c r="AP18" s="477"/>
      <c r="AQ18" s="524"/>
      <c r="AR18" s="524"/>
      <c r="AS18" s="524"/>
      <c r="AT18"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8" s="651">
        <f>WWWW[[#This Row],[%Equitable and continuous access to sufficient quantity of safe drinking water]]*WWWW[[#This Row],[Total PoP ]]</f>
        <v>0</v>
      </c>
      <c r="AV18"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8" s="651">
        <f>WWWW[[#This Row],[% Access to unimproved water points]]*WWWW[[#This Row],[Total PoP ]]</f>
        <v>0</v>
      </c>
      <c r="AX18"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8"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8" s="651">
        <f>WWWW[[#This Row],[HRP1]]/250</f>
        <v>0</v>
      </c>
      <c r="BA18" s="653">
        <f>1-WWWW[[#This Row],[% Equitable and continuous access to sufficient quantity of domestic water]]</f>
        <v>1</v>
      </c>
      <c r="BB18" s="651">
        <f>WWWW[[#This Row],[%equitable and continuous access to sufficient quantity of safe drinking and domestic water''s GAP]]*WWWW[[#This Row],[Total PoP ]]</f>
        <v>155</v>
      </c>
      <c r="BC18" s="654">
        <f>IF(WWWW[[#This Row],[Total required water points]]-WWWW[[#This Row],['#Water points coverage]]&lt;0,0,WWWW[[#This Row],[Total required water points]]-WWWW[[#This Row],['#Water points coverage]])</f>
        <v>1</v>
      </c>
      <c r="BD18" s="654">
        <f>ROUND(IF(WWWW[[#This Row],[Total PoP ]]&lt;250,1,WWWW[[#This Row],[Total PoP ]]/250),0)</f>
        <v>1</v>
      </c>
      <c r="BE1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8" s="651">
        <f>WWWW[[#This Row],[% people access to functioning Latrine]]*WWWW[[#This Row],[Total PoP ]]</f>
        <v>0</v>
      </c>
      <c r="BG18" s="654">
        <f>WWWW[[#This Row],['#_of_Functioning_latrines_in_school]]*50</f>
        <v>0</v>
      </c>
      <c r="BH18" s="654">
        <f>ROUND((WWWW[[#This Row],[Total PoP ]]/6),0)</f>
        <v>26</v>
      </c>
      <c r="BI18" s="654">
        <f>IF(WWWW[[#This Row],[Total required Latrines]]-(WWWW[[#This Row],['#_of_sanitary_fly-proof_HH_latrines]])&lt;0,0,WWWW[[#This Row],[Total required Latrines]]-(WWWW[[#This Row],['#_of_sanitary_fly-proof_HH_latrines]]))</f>
        <v>26</v>
      </c>
      <c r="BJ18" s="650">
        <f>1-WWWW[[#This Row],[% people access to functioning Latrine]]</f>
        <v>1</v>
      </c>
      <c r="BK18"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63</v>
      </c>
      <c r="BL18" s="483">
        <f>IF(WWWW[[#This Row],['#_of_functional_handwashing_facilities_at_HH_level]]*6&gt;WWWW[[#This Row],[Total PoP ]],WWWW[[#This Row],[Total PoP ]],WWWW[[#This Row],['#_of_functional_handwashing_facilities_at_HH_level]]*6)</f>
        <v>0</v>
      </c>
      <c r="BM18" s="654">
        <f>IF(WWWW[[#This Row],['# people reached by regular dedicated hygiene promotion]]&gt;WWWW[[#This Row],['# People received regular supply of hygiene items]],WWWW[[#This Row],['# people reached by regular dedicated hygiene promotion]],WWWW[[#This Row],['# People received regular supply of hygiene items]])</f>
        <v>63</v>
      </c>
      <c r="BN18" s="653">
        <f>IF(WWWW[[#This Row],[HRP3]]/WWWW[[#This Row],[Total PoP ]]&gt;100%,100%,WWWW[[#This Row],[HRP3]]/WWWW[[#This Row],[Total PoP ]])</f>
        <v>0.40645161290322579</v>
      </c>
      <c r="BO18" s="650">
        <f>1-WWWW[[#This Row],[Hygiene Coverage%]]</f>
        <v>0.59354838709677415</v>
      </c>
      <c r="BP18" s="652">
        <f>WWWW[[#This Row],['# people reached by regular dedicated hygiene promotion]]/WWWW[[#This Row],[Total PoP ]]</f>
        <v>0.40645161290322579</v>
      </c>
      <c r="BQ1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 s="478">
        <f>WWWW[[#This Row],['#_of_affected_women_and_girls_receiving_a_sufficient_quantity_of_sanitary_pads]]</f>
        <v>0</v>
      </c>
      <c r="BS18" s="524">
        <f>IF(WWWW[[#This Row],['# People with access to soap]]&gt;WWWW[[#This Row],['# People with access to Sanity Pads]],WWWW[[#This Row],['# People with access to soap]],WWWW[[#This Row],['# People with access to Sanity Pads]])</f>
        <v>0</v>
      </c>
      <c r="BT18" s="483" t="str">
        <f>IF(OR(WWWW[[#This Row],['#of students in school]]="",WWWW[[#This Row],['#of students in school]]=0),"No","Yes")</f>
        <v>No</v>
      </c>
      <c r="BU18" s="645" t="str">
        <f>VLOOKUP(WWWW[[#This Row],[Village  Name]],SiteDB6[[Site Name]:[Location Type 1]],9,FALSE)</f>
        <v>Village</v>
      </c>
      <c r="BV18" s="645" t="str">
        <f>VLOOKUP(WWWW[[#This Row],[Village  Name]],SiteDB6[[Site Name]:[Type of Accommodation]],10,FALSE)</f>
        <v>Village</v>
      </c>
      <c r="BW18" s="645">
        <f>VLOOKUP(WWWW[[#This Row],[Village  Name]],SiteDB6[[Site Name]:[Ethnic or GCA/NGCA]],11,FALSE)</f>
        <v>0</v>
      </c>
      <c r="BX18" s="645">
        <f>VLOOKUP(WWWW[[#This Row],[Village  Name]],SiteDB6[[Site Name]:[Lat]],12,FALSE)</f>
        <v>0</v>
      </c>
      <c r="BY18" s="645">
        <f>VLOOKUP(WWWW[[#This Row],[Village  Name]],SiteDB6[[Site Name]:[Long]],13,FALSE)</f>
        <v>0</v>
      </c>
      <c r="BZ18" s="645">
        <f>VLOOKUP(WWWW[[#This Row],[Village  Name]],SiteDB6[[Site Name]:[Pcode]],3,FALSE)</f>
        <v>0</v>
      </c>
      <c r="CA18" s="645" t="str">
        <f t="shared" si="0"/>
        <v>Covered</v>
      </c>
      <c r="CB18" s="655"/>
    </row>
    <row r="19" spans="1:80">
      <c r="A19" s="641" t="s">
        <v>3150</v>
      </c>
      <c r="B19" s="641" t="s">
        <v>2994</v>
      </c>
      <c r="C19" s="642"/>
      <c r="D19" s="642" t="s">
        <v>231</v>
      </c>
      <c r="E19" s="643" t="s">
        <v>698</v>
      </c>
      <c r="F19" s="642" t="s">
        <v>3012</v>
      </c>
      <c r="G19" s="644" t="str">
        <f>VLOOKUP(WWWW[[#This Row],[Village  Name]],SiteDB6[[Site Name]:[Location Type]],8,FALSE)</f>
        <v>Village</v>
      </c>
      <c r="H19" s="642" t="s">
        <v>3013</v>
      </c>
      <c r="I19" s="646"/>
      <c r="J19" s="646">
        <v>172</v>
      </c>
      <c r="K19" s="647">
        <v>43258</v>
      </c>
      <c r="L19" s="648">
        <v>43830</v>
      </c>
      <c r="M19" s="646"/>
      <c r="N19" s="646"/>
      <c r="O19" s="524"/>
      <c r="P19" s="646"/>
      <c r="Q19" s="646"/>
      <c r="R19" s="646"/>
      <c r="S19" s="646"/>
      <c r="T19" s="646"/>
      <c r="U19" s="649"/>
      <c r="V19" s="646">
        <v>12</v>
      </c>
      <c r="W19" s="646"/>
      <c r="X19" s="646"/>
      <c r="Y19" s="646"/>
      <c r="Z19" s="646"/>
      <c r="AA19" s="646"/>
      <c r="AB19" s="646"/>
      <c r="AC19" s="649"/>
      <c r="AD19" s="646"/>
      <c r="AE19" s="646"/>
      <c r="AF19" s="646"/>
      <c r="AG19" s="646"/>
      <c r="AH19" s="646"/>
      <c r="AI19" s="646"/>
      <c r="AJ19" s="524"/>
      <c r="AK19" s="646"/>
      <c r="AL19" s="524"/>
      <c r="AM19" s="524"/>
      <c r="AN19" s="649"/>
      <c r="AO19" s="477"/>
      <c r="AP19" s="477"/>
      <c r="AQ19" s="524"/>
      <c r="AR19" s="524"/>
      <c r="AS19" s="524"/>
      <c r="AT19"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9" s="651">
        <f>WWWW[[#This Row],[%Equitable and continuous access to sufficient quantity of safe drinking water]]*WWWW[[#This Row],[Total PoP ]]</f>
        <v>0</v>
      </c>
      <c r="AV19"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 s="651">
        <f>WWWW[[#This Row],[% Access to unimproved water points]]*WWWW[[#This Row],[Total PoP ]]</f>
        <v>0</v>
      </c>
      <c r="AX19"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9"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9" s="651">
        <f>WWWW[[#This Row],[HRP1]]/250</f>
        <v>0</v>
      </c>
      <c r="BA19" s="653">
        <f>1-WWWW[[#This Row],[% Equitable and continuous access to sufficient quantity of domestic water]]</f>
        <v>1</v>
      </c>
      <c r="BB19" s="651">
        <f>WWWW[[#This Row],[%equitable and continuous access to sufficient quantity of safe drinking and domestic water''s GAP]]*WWWW[[#This Row],[Total PoP ]]</f>
        <v>172</v>
      </c>
      <c r="BC19" s="654">
        <f>IF(WWWW[[#This Row],[Total required water points]]-WWWW[[#This Row],['#Water points coverage]]&lt;0,0,WWWW[[#This Row],[Total required water points]]-WWWW[[#This Row],['#Water points coverage]])</f>
        <v>1</v>
      </c>
      <c r="BD19" s="654">
        <f>ROUND(IF(WWWW[[#This Row],[Total PoP ]]&lt;250,1,WWWW[[#This Row],[Total PoP ]]/250),0)</f>
        <v>1</v>
      </c>
      <c r="BE1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0.41860465116279072</v>
      </c>
      <c r="BF19" s="651">
        <f>WWWW[[#This Row],[% people access to functioning Latrine]]*WWWW[[#This Row],[Total PoP ]]</f>
        <v>72</v>
      </c>
      <c r="BG19" s="654">
        <f>WWWW[[#This Row],['#_of_Functioning_latrines_in_school]]*50</f>
        <v>0</v>
      </c>
      <c r="BH19" s="654">
        <f>ROUND((WWWW[[#This Row],[Total PoP ]]/6),0)</f>
        <v>29</v>
      </c>
      <c r="BI19" s="654">
        <f>IF(WWWW[[#This Row],[Total required Latrines]]-(WWWW[[#This Row],['#_of_sanitary_fly-proof_HH_latrines]])&lt;0,0,WWWW[[#This Row],[Total required Latrines]]-(WWWW[[#This Row],['#_of_sanitary_fly-proof_HH_latrines]]))</f>
        <v>17</v>
      </c>
      <c r="BJ19" s="650">
        <f>1-WWWW[[#This Row],[% people access to functioning Latrine]]</f>
        <v>0.58139534883720922</v>
      </c>
      <c r="BK19"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9" s="483">
        <f>IF(WWWW[[#This Row],['#_of_functional_handwashing_facilities_at_HH_level]]*6&gt;WWWW[[#This Row],[Total PoP ]],WWWW[[#This Row],[Total PoP ]],WWWW[[#This Row],['#_of_functional_handwashing_facilities_at_HH_level]]*6)</f>
        <v>0</v>
      </c>
      <c r="BM19" s="654">
        <f>IF(WWWW[[#This Row],['# people reached by regular dedicated hygiene promotion]]&gt;WWWW[[#This Row],['# People received regular supply of hygiene items]],WWWW[[#This Row],['# people reached by regular dedicated hygiene promotion]],WWWW[[#This Row],['# People received regular supply of hygiene items]])</f>
        <v>0</v>
      </c>
      <c r="BN19" s="653">
        <f>IF(WWWW[[#This Row],[HRP3]]/WWWW[[#This Row],[Total PoP ]]&gt;100%,100%,WWWW[[#This Row],[HRP3]]/WWWW[[#This Row],[Total PoP ]])</f>
        <v>0</v>
      </c>
      <c r="BO19" s="650">
        <f>1-WWWW[[#This Row],[Hygiene Coverage%]]</f>
        <v>1</v>
      </c>
      <c r="BP19" s="652">
        <f>WWWW[[#This Row],['# people reached by regular dedicated hygiene promotion]]/WWWW[[#This Row],[Total PoP ]]</f>
        <v>0</v>
      </c>
      <c r="BQ1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 s="478">
        <f>WWWW[[#This Row],['#_of_affected_women_and_girls_receiving_a_sufficient_quantity_of_sanitary_pads]]</f>
        <v>0</v>
      </c>
      <c r="BS19" s="524">
        <f>IF(WWWW[[#This Row],['# People with access to soap]]&gt;WWWW[[#This Row],['# People with access to Sanity Pads]],WWWW[[#This Row],['# People with access to soap]],WWWW[[#This Row],['# People with access to Sanity Pads]])</f>
        <v>0</v>
      </c>
      <c r="BT19" s="483" t="str">
        <f>IF(OR(WWWW[[#This Row],['#of students in school]]="",WWWW[[#This Row],['#of students in school]]=0),"No","Yes")</f>
        <v>No</v>
      </c>
      <c r="BU19" s="645" t="str">
        <f>VLOOKUP(WWWW[[#This Row],[Village  Name]],SiteDB6[[Site Name]:[Location Type 1]],9,FALSE)</f>
        <v>Village</v>
      </c>
      <c r="BV19" s="645" t="str">
        <f>VLOOKUP(WWWW[[#This Row],[Village  Name]],SiteDB6[[Site Name]:[Type of Accommodation]],10,FALSE)</f>
        <v>Village</v>
      </c>
      <c r="BW19" s="645">
        <f>VLOOKUP(WWWW[[#This Row],[Village  Name]],SiteDB6[[Site Name]:[Ethnic or GCA/NGCA]],11,FALSE)</f>
        <v>0</v>
      </c>
      <c r="BX19" s="645">
        <f>VLOOKUP(WWWW[[#This Row],[Village  Name]],SiteDB6[[Site Name]:[Lat]],12,FALSE)</f>
        <v>0</v>
      </c>
      <c r="BY19" s="645">
        <f>VLOOKUP(WWWW[[#This Row],[Village  Name]],SiteDB6[[Site Name]:[Long]],13,FALSE)</f>
        <v>0</v>
      </c>
      <c r="BZ19" s="645">
        <f>VLOOKUP(WWWW[[#This Row],[Village  Name]],SiteDB6[[Site Name]:[Pcode]],3,FALSE)</f>
        <v>0</v>
      </c>
      <c r="CA19" s="645" t="str">
        <f t="shared" si="0"/>
        <v>Covered</v>
      </c>
      <c r="CB19" s="655"/>
    </row>
    <row r="20" spans="1:80">
      <c r="A20" s="641" t="s">
        <v>3150</v>
      </c>
      <c r="B20" s="641" t="s">
        <v>2994</v>
      </c>
      <c r="C20" s="642"/>
      <c r="D20" s="642" t="s">
        <v>231</v>
      </c>
      <c r="E20" s="643" t="s">
        <v>698</v>
      </c>
      <c r="F20" s="642" t="s">
        <v>3012</v>
      </c>
      <c r="G20" s="644" t="str">
        <f>VLOOKUP(WWWW[[#This Row],[Village  Name]],SiteDB6[[Site Name]:[Location Type]],8,FALSE)</f>
        <v>Village</v>
      </c>
      <c r="H20" s="642" t="s">
        <v>3014</v>
      </c>
      <c r="I20" s="646"/>
      <c r="J20" s="646">
        <v>266</v>
      </c>
      <c r="K20" s="647">
        <v>43258</v>
      </c>
      <c r="L20" s="648">
        <v>43830</v>
      </c>
      <c r="M20" s="646"/>
      <c r="N20" s="646"/>
      <c r="O20" s="524"/>
      <c r="P20" s="646"/>
      <c r="Q20" s="646"/>
      <c r="R20" s="646"/>
      <c r="S20" s="646"/>
      <c r="T20" s="646"/>
      <c r="U20" s="649"/>
      <c r="V20" s="646">
        <v>3</v>
      </c>
      <c r="W20" s="646"/>
      <c r="X20" s="646"/>
      <c r="Y20" s="646"/>
      <c r="Z20" s="646"/>
      <c r="AA20" s="646"/>
      <c r="AB20" s="646"/>
      <c r="AC20" s="649"/>
      <c r="AD20" s="646"/>
      <c r="AE20" s="646"/>
      <c r="AF20" s="646"/>
      <c r="AG20" s="646"/>
      <c r="AH20" s="646"/>
      <c r="AI20" s="646"/>
      <c r="AJ20" s="524"/>
      <c r="AK20" s="646"/>
      <c r="AL20" s="524"/>
      <c r="AM20" s="524"/>
      <c r="AN20" s="649"/>
      <c r="AO20" s="477"/>
      <c r="AP20" s="477"/>
      <c r="AQ20" s="524"/>
      <c r="AR20" s="524"/>
      <c r="AS20" s="524"/>
      <c r="AT20"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 s="651">
        <f>WWWW[[#This Row],[%Equitable and continuous access to sufficient quantity of safe drinking water]]*WWWW[[#This Row],[Total PoP ]]</f>
        <v>0</v>
      </c>
      <c r="AV20"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 s="651">
        <f>WWWW[[#This Row],[% Access to unimproved water points]]*WWWW[[#This Row],[Total PoP ]]</f>
        <v>0</v>
      </c>
      <c r="AX20"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 s="651">
        <f>WWWW[[#This Row],[HRP1]]/250</f>
        <v>0</v>
      </c>
      <c r="BA20" s="653">
        <f>1-WWWW[[#This Row],[% Equitable and continuous access to sufficient quantity of domestic water]]</f>
        <v>1</v>
      </c>
      <c r="BB20" s="651">
        <f>WWWW[[#This Row],[%equitable and continuous access to sufficient quantity of safe drinking and domestic water''s GAP]]*WWWW[[#This Row],[Total PoP ]]</f>
        <v>266</v>
      </c>
      <c r="BC20" s="654">
        <f>IF(WWWW[[#This Row],[Total required water points]]-WWWW[[#This Row],['#Water points coverage]]&lt;0,0,WWWW[[#This Row],[Total required water points]]-WWWW[[#This Row],['#Water points coverage]])</f>
        <v>1</v>
      </c>
      <c r="BD20" s="654">
        <f>ROUND(IF(WWWW[[#This Row],[Total PoP ]]&lt;250,1,WWWW[[#This Row],[Total PoP ]]/250),0)</f>
        <v>1</v>
      </c>
      <c r="BE2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6.7669172932330823E-2</v>
      </c>
      <c r="BF20" s="651">
        <f>WWWW[[#This Row],[% people access to functioning Latrine]]*WWWW[[#This Row],[Total PoP ]]</f>
        <v>18</v>
      </c>
      <c r="BG20" s="654">
        <f>WWWW[[#This Row],['#_of_Functioning_latrines_in_school]]*50</f>
        <v>0</v>
      </c>
      <c r="BH20" s="654">
        <f>ROUND((WWWW[[#This Row],[Total PoP ]]/6),0)</f>
        <v>44</v>
      </c>
      <c r="BI20" s="654">
        <f>IF(WWWW[[#This Row],[Total required Latrines]]-(WWWW[[#This Row],['#_of_sanitary_fly-proof_HH_latrines]])&lt;0,0,WWWW[[#This Row],[Total required Latrines]]-(WWWW[[#This Row],['#_of_sanitary_fly-proof_HH_latrines]]))</f>
        <v>41</v>
      </c>
      <c r="BJ20" s="650">
        <f>1-WWWW[[#This Row],[% people access to functioning Latrine]]</f>
        <v>0.93233082706766912</v>
      </c>
      <c r="BK20"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 s="483">
        <f>IF(WWWW[[#This Row],['#_of_functional_handwashing_facilities_at_HH_level]]*6&gt;WWWW[[#This Row],[Total PoP ]],WWWW[[#This Row],[Total PoP ]],WWWW[[#This Row],['#_of_functional_handwashing_facilities_at_HH_level]]*6)</f>
        <v>0</v>
      </c>
      <c r="BM20" s="654">
        <f>IF(WWWW[[#This Row],['# people reached by regular dedicated hygiene promotion]]&gt;WWWW[[#This Row],['# People received regular supply of hygiene items]],WWWW[[#This Row],['# people reached by regular dedicated hygiene promotion]],WWWW[[#This Row],['# People received regular supply of hygiene items]])</f>
        <v>0</v>
      </c>
      <c r="BN20" s="653">
        <f>IF(WWWW[[#This Row],[HRP3]]/WWWW[[#This Row],[Total PoP ]]&gt;100%,100%,WWWW[[#This Row],[HRP3]]/WWWW[[#This Row],[Total PoP ]])</f>
        <v>0</v>
      </c>
      <c r="BO20" s="650">
        <f>1-WWWW[[#This Row],[Hygiene Coverage%]]</f>
        <v>1</v>
      </c>
      <c r="BP20" s="652">
        <f>WWWW[[#This Row],['# people reached by regular dedicated hygiene promotion]]/WWWW[[#This Row],[Total PoP ]]</f>
        <v>0</v>
      </c>
      <c r="BQ2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 s="478">
        <f>WWWW[[#This Row],['#_of_affected_women_and_girls_receiving_a_sufficient_quantity_of_sanitary_pads]]</f>
        <v>0</v>
      </c>
      <c r="BS20" s="524">
        <f>IF(WWWW[[#This Row],['# People with access to soap]]&gt;WWWW[[#This Row],['# People with access to Sanity Pads]],WWWW[[#This Row],['# People with access to soap]],WWWW[[#This Row],['# People with access to Sanity Pads]])</f>
        <v>0</v>
      </c>
      <c r="BT20" s="483" t="str">
        <f>IF(OR(WWWW[[#This Row],['#of students in school]]="",WWWW[[#This Row],['#of students in school]]=0),"No","Yes")</f>
        <v>No</v>
      </c>
      <c r="BU20" s="645" t="str">
        <f>VLOOKUP(WWWW[[#This Row],[Village  Name]],SiteDB6[[Site Name]:[Location Type 1]],9,FALSE)</f>
        <v>Village</v>
      </c>
      <c r="BV20" s="645" t="str">
        <f>VLOOKUP(WWWW[[#This Row],[Village  Name]],SiteDB6[[Site Name]:[Type of Accommodation]],10,FALSE)</f>
        <v>Village</v>
      </c>
      <c r="BW20" s="645">
        <f>VLOOKUP(WWWW[[#This Row],[Village  Name]],SiteDB6[[Site Name]:[Ethnic or GCA/NGCA]],11,FALSE)</f>
        <v>0</v>
      </c>
      <c r="BX20" s="645">
        <f>VLOOKUP(WWWW[[#This Row],[Village  Name]],SiteDB6[[Site Name]:[Lat]],12,FALSE)</f>
        <v>0</v>
      </c>
      <c r="BY20" s="645">
        <f>VLOOKUP(WWWW[[#This Row],[Village  Name]],SiteDB6[[Site Name]:[Long]],13,FALSE)</f>
        <v>0</v>
      </c>
      <c r="BZ20" s="645">
        <f>VLOOKUP(WWWW[[#This Row],[Village  Name]],SiteDB6[[Site Name]:[Pcode]],3,FALSE)</f>
        <v>0</v>
      </c>
      <c r="CA20" s="645" t="str">
        <f t="shared" si="0"/>
        <v>Covered</v>
      </c>
      <c r="CB20" s="655"/>
    </row>
    <row r="21" spans="1:80">
      <c r="A21" s="641" t="s">
        <v>3150</v>
      </c>
      <c r="B21" s="641" t="s">
        <v>2994</v>
      </c>
      <c r="C21" s="642"/>
      <c r="D21" s="642" t="s">
        <v>231</v>
      </c>
      <c r="E21" s="643" t="s">
        <v>698</v>
      </c>
      <c r="F21" s="642" t="s">
        <v>3012</v>
      </c>
      <c r="G21" s="644" t="str">
        <f>VLOOKUP(WWWW[[#This Row],[Village  Name]],SiteDB6[[Site Name]:[Location Type]],8,FALSE)</f>
        <v>Village</v>
      </c>
      <c r="H21" s="642" t="s">
        <v>3015</v>
      </c>
      <c r="I21" s="646"/>
      <c r="J21" s="646">
        <v>136</v>
      </c>
      <c r="K21" s="647">
        <v>43258</v>
      </c>
      <c r="L21" s="648">
        <v>43830</v>
      </c>
      <c r="M21" s="646"/>
      <c r="N21" s="646"/>
      <c r="O21" s="524"/>
      <c r="P21" s="646"/>
      <c r="Q21" s="646"/>
      <c r="R21" s="646"/>
      <c r="S21" s="646"/>
      <c r="T21" s="646"/>
      <c r="U21" s="649"/>
      <c r="V21" s="646">
        <v>6</v>
      </c>
      <c r="W21" s="646"/>
      <c r="X21" s="646"/>
      <c r="Y21" s="646"/>
      <c r="Z21" s="646"/>
      <c r="AA21" s="646"/>
      <c r="AB21" s="646"/>
      <c r="AC21" s="649"/>
      <c r="AD21" s="646"/>
      <c r="AE21" s="646"/>
      <c r="AF21" s="646"/>
      <c r="AG21" s="646"/>
      <c r="AH21" s="646"/>
      <c r="AI21" s="646"/>
      <c r="AJ21" s="524"/>
      <c r="AK21" s="646"/>
      <c r="AL21" s="524"/>
      <c r="AM21" s="524"/>
      <c r="AN21" s="649"/>
      <c r="AO21" s="477"/>
      <c r="AP21" s="477"/>
      <c r="AQ21" s="524"/>
      <c r="AR21" s="524"/>
      <c r="AS21" s="524"/>
      <c r="AT21"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 s="651">
        <f>WWWW[[#This Row],[%Equitable and continuous access to sufficient quantity of safe drinking water]]*WWWW[[#This Row],[Total PoP ]]</f>
        <v>0</v>
      </c>
      <c r="AV21"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 s="651">
        <f>WWWW[[#This Row],[% Access to unimproved water points]]*WWWW[[#This Row],[Total PoP ]]</f>
        <v>0</v>
      </c>
      <c r="AX21"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 s="651">
        <f>WWWW[[#This Row],[HRP1]]/250</f>
        <v>0</v>
      </c>
      <c r="BA21" s="653">
        <f>1-WWWW[[#This Row],[% Equitable and continuous access to sufficient quantity of domestic water]]</f>
        <v>1</v>
      </c>
      <c r="BB21" s="651">
        <f>WWWW[[#This Row],[%equitable and continuous access to sufficient quantity of safe drinking and domestic water''s GAP]]*WWWW[[#This Row],[Total PoP ]]</f>
        <v>136</v>
      </c>
      <c r="BC21" s="654">
        <f>IF(WWWW[[#This Row],[Total required water points]]-WWWW[[#This Row],['#Water points coverage]]&lt;0,0,WWWW[[#This Row],[Total required water points]]-WWWW[[#This Row],['#Water points coverage]])</f>
        <v>1</v>
      </c>
      <c r="BD21" s="654">
        <f>ROUND(IF(WWWW[[#This Row],[Total PoP ]]&lt;250,1,WWWW[[#This Row],[Total PoP ]]/250),0)</f>
        <v>1</v>
      </c>
      <c r="BE2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0.26470588235294118</v>
      </c>
      <c r="BF21" s="651">
        <f>WWWW[[#This Row],[% people access to functioning Latrine]]*WWWW[[#This Row],[Total PoP ]]</f>
        <v>36</v>
      </c>
      <c r="BG21" s="654">
        <f>WWWW[[#This Row],['#_of_Functioning_latrines_in_school]]*50</f>
        <v>0</v>
      </c>
      <c r="BH21" s="654">
        <f>ROUND((WWWW[[#This Row],[Total PoP ]]/6),0)</f>
        <v>23</v>
      </c>
      <c r="BI21" s="654">
        <f>IF(WWWW[[#This Row],[Total required Latrines]]-(WWWW[[#This Row],['#_of_sanitary_fly-proof_HH_latrines]])&lt;0,0,WWWW[[#This Row],[Total required Latrines]]-(WWWW[[#This Row],['#_of_sanitary_fly-proof_HH_latrines]]))</f>
        <v>17</v>
      </c>
      <c r="BJ21" s="650">
        <f>1-WWWW[[#This Row],[% people access to functioning Latrine]]</f>
        <v>0.73529411764705888</v>
      </c>
      <c r="BK21"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 s="483">
        <f>IF(WWWW[[#This Row],['#_of_functional_handwashing_facilities_at_HH_level]]*6&gt;WWWW[[#This Row],[Total PoP ]],WWWW[[#This Row],[Total PoP ]],WWWW[[#This Row],['#_of_functional_handwashing_facilities_at_HH_level]]*6)</f>
        <v>0</v>
      </c>
      <c r="BM21" s="654">
        <f>IF(WWWW[[#This Row],['# people reached by regular dedicated hygiene promotion]]&gt;WWWW[[#This Row],['# People received regular supply of hygiene items]],WWWW[[#This Row],['# people reached by regular dedicated hygiene promotion]],WWWW[[#This Row],['# People received regular supply of hygiene items]])</f>
        <v>0</v>
      </c>
      <c r="BN21" s="653">
        <f>IF(WWWW[[#This Row],[HRP3]]/WWWW[[#This Row],[Total PoP ]]&gt;100%,100%,WWWW[[#This Row],[HRP3]]/WWWW[[#This Row],[Total PoP ]])</f>
        <v>0</v>
      </c>
      <c r="BO21" s="650">
        <f>1-WWWW[[#This Row],[Hygiene Coverage%]]</f>
        <v>1</v>
      </c>
      <c r="BP21" s="652">
        <f>WWWW[[#This Row],['# people reached by regular dedicated hygiene promotion]]/WWWW[[#This Row],[Total PoP ]]</f>
        <v>0</v>
      </c>
      <c r="BQ2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 s="478">
        <f>WWWW[[#This Row],['#_of_affected_women_and_girls_receiving_a_sufficient_quantity_of_sanitary_pads]]</f>
        <v>0</v>
      </c>
      <c r="BS21" s="524">
        <f>IF(WWWW[[#This Row],['# People with access to soap]]&gt;WWWW[[#This Row],['# People with access to Sanity Pads]],WWWW[[#This Row],['# People with access to soap]],WWWW[[#This Row],['# People with access to Sanity Pads]])</f>
        <v>0</v>
      </c>
      <c r="BT21" s="483" t="str">
        <f>IF(OR(WWWW[[#This Row],['#of students in school]]="",WWWW[[#This Row],['#of students in school]]=0),"No","Yes")</f>
        <v>No</v>
      </c>
      <c r="BU21" s="645" t="str">
        <f>VLOOKUP(WWWW[[#This Row],[Village  Name]],SiteDB6[[Site Name]:[Location Type 1]],9,FALSE)</f>
        <v>Village</v>
      </c>
      <c r="BV21" s="645" t="str">
        <f>VLOOKUP(WWWW[[#This Row],[Village  Name]],SiteDB6[[Site Name]:[Type of Accommodation]],10,FALSE)</f>
        <v>Village</v>
      </c>
      <c r="BW21" s="645">
        <f>VLOOKUP(WWWW[[#This Row],[Village  Name]],SiteDB6[[Site Name]:[Ethnic or GCA/NGCA]],11,FALSE)</f>
        <v>0</v>
      </c>
      <c r="BX21" s="645">
        <f>VLOOKUP(WWWW[[#This Row],[Village  Name]],SiteDB6[[Site Name]:[Lat]],12,FALSE)</f>
        <v>0</v>
      </c>
      <c r="BY21" s="645">
        <f>VLOOKUP(WWWW[[#This Row],[Village  Name]],SiteDB6[[Site Name]:[Long]],13,FALSE)</f>
        <v>0</v>
      </c>
      <c r="BZ21" s="645">
        <f>VLOOKUP(WWWW[[#This Row],[Village  Name]],SiteDB6[[Site Name]:[Pcode]],3,FALSE)</f>
        <v>0</v>
      </c>
      <c r="CA21" s="645" t="str">
        <f t="shared" si="0"/>
        <v>Covered</v>
      </c>
      <c r="CB21" s="655"/>
    </row>
    <row r="22" spans="1:80">
      <c r="A22" s="641" t="s">
        <v>3150</v>
      </c>
      <c r="B22" s="641" t="s">
        <v>2994</v>
      </c>
      <c r="C22" s="642"/>
      <c r="D22" s="642" t="s">
        <v>231</v>
      </c>
      <c r="E22" s="643" t="s">
        <v>698</v>
      </c>
      <c r="F22" s="642" t="s">
        <v>3012</v>
      </c>
      <c r="G22" s="644" t="str">
        <f>VLOOKUP(WWWW[[#This Row],[Village  Name]],SiteDB6[[Site Name]:[Location Type]],8,FALSE)</f>
        <v>Village</v>
      </c>
      <c r="H22" s="642" t="s">
        <v>3019</v>
      </c>
      <c r="I22" s="646"/>
      <c r="J22" s="646">
        <v>131</v>
      </c>
      <c r="K22" s="647">
        <v>43258</v>
      </c>
      <c r="L22" s="648">
        <v>43830</v>
      </c>
      <c r="M22" s="646"/>
      <c r="N22" s="646"/>
      <c r="O22" s="524"/>
      <c r="P22" s="646"/>
      <c r="Q22" s="646"/>
      <c r="R22" s="646"/>
      <c r="S22" s="646"/>
      <c r="T22" s="646"/>
      <c r="U22" s="649"/>
      <c r="V22" s="646">
        <v>48</v>
      </c>
      <c r="W22" s="646"/>
      <c r="X22" s="646"/>
      <c r="Y22" s="646"/>
      <c r="Z22" s="646"/>
      <c r="AA22" s="646"/>
      <c r="AB22" s="646"/>
      <c r="AC22" s="649"/>
      <c r="AD22" s="646"/>
      <c r="AE22" s="646"/>
      <c r="AF22" s="646"/>
      <c r="AG22" s="646"/>
      <c r="AH22" s="646"/>
      <c r="AI22" s="646"/>
      <c r="AJ22" s="524"/>
      <c r="AK22" s="646"/>
      <c r="AL22" s="524"/>
      <c r="AM22" s="524"/>
      <c r="AN22" s="649"/>
      <c r="AO22" s="477"/>
      <c r="AP22" s="477"/>
      <c r="AQ22" s="524"/>
      <c r="AR22" s="524"/>
      <c r="AS22" s="524"/>
      <c r="AT22"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 s="651">
        <f>WWWW[[#This Row],[%Equitable and continuous access to sufficient quantity of safe drinking water]]*WWWW[[#This Row],[Total PoP ]]</f>
        <v>0</v>
      </c>
      <c r="AV22"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 s="651">
        <f>WWWW[[#This Row],[% Access to unimproved water points]]*WWWW[[#This Row],[Total PoP ]]</f>
        <v>0</v>
      </c>
      <c r="AX22"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 s="651">
        <f>WWWW[[#This Row],[HRP1]]/250</f>
        <v>0</v>
      </c>
      <c r="BA22" s="653">
        <f>1-WWWW[[#This Row],[% Equitable and continuous access to sufficient quantity of domestic water]]</f>
        <v>1</v>
      </c>
      <c r="BB22" s="651">
        <f>WWWW[[#This Row],[%equitable and continuous access to sufficient quantity of safe drinking and domestic water''s GAP]]*WWWW[[#This Row],[Total PoP ]]</f>
        <v>131</v>
      </c>
      <c r="BC22" s="654">
        <f>IF(WWWW[[#This Row],[Total required water points]]-WWWW[[#This Row],['#Water points coverage]]&lt;0,0,WWWW[[#This Row],[Total required water points]]-WWWW[[#This Row],['#Water points coverage]])</f>
        <v>1</v>
      </c>
      <c r="BD22" s="654">
        <f>ROUND(IF(WWWW[[#This Row],[Total PoP ]]&lt;250,1,WWWW[[#This Row],[Total PoP ]]/250),0)</f>
        <v>1</v>
      </c>
      <c r="BE2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2" s="651">
        <f>WWWW[[#This Row],[% people access to functioning Latrine]]*WWWW[[#This Row],[Total PoP ]]</f>
        <v>131</v>
      </c>
      <c r="BG22" s="654">
        <f>WWWW[[#This Row],['#_of_Functioning_latrines_in_school]]*50</f>
        <v>0</v>
      </c>
      <c r="BH22" s="654">
        <f>ROUND((WWWW[[#This Row],[Total PoP ]]/6),0)</f>
        <v>22</v>
      </c>
      <c r="BI22" s="654">
        <f>IF(WWWW[[#This Row],[Total required Latrines]]-(WWWW[[#This Row],['#_of_sanitary_fly-proof_HH_latrines]])&lt;0,0,WWWW[[#This Row],[Total required Latrines]]-(WWWW[[#This Row],['#_of_sanitary_fly-proof_HH_latrines]]))</f>
        <v>0</v>
      </c>
      <c r="BJ22" s="650">
        <f>1-WWWW[[#This Row],[% people access to functioning Latrine]]</f>
        <v>0</v>
      </c>
      <c r="BK22"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 s="483">
        <f>IF(WWWW[[#This Row],['#_of_functional_handwashing_facilities_at_HH_level]]*6&gt;WWWW[[#This Row],[Total PoP ]],WWWW[[#This Row],[Total PoP ]],WWWW[[#This Row],['#_of_functional_handwashing_facilities_at_HH_level]]*6)</f>
        <v>0</v>
      </c>
      <c r="BM22" s="654">
        <f>IF(WWWW[[#This Row],['# people reached by regular dedicated hygiene promotion]]&gt;WWWW[[#This Row],['# People received regular supply of hygiene items]],WWWW[[#This Row],['# people reached by regular dedicated hygiene promotion]],WWWW[[#This Row],['# People received regular supply of hygiene items]])</f>
        <v>0</v>
      </c>
      <c r="BN22" s="653">
        <f>IF(WWWW[[#This Row],[HRP3]]/WWWW[[#This Row],[Total PoP ]]&gt;100%,100%,WWWW[[#This Row],[HRP3]]/WWWW[[#This Row],[Total PoP ]])</f>
        <v>0</v>
      </c>
      <c r="BO22" s="650">
        <f>1-WWWW[[#This Row],[Hygiene Coverage%]]</f>
        <v>1</v>
      </c>
      <c r="BP22" s="652">
        <f>WWWW[[#This Row],['# people reached by regular dedicated hygiene promotion]]/WWWW[[#This Row],[Total PoP ]]</f>
        <v>0</v>
      </c>
      <c r="BQ2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 s="478">
        <f>WWWW[[#This Row],['#_of_affected_women_and_girls_receiving_a_sufficient_quantity_of_sanitary_pads]]</f>
        <v>0</v>
      </c>
      <c r="BS22" s="524">
        <f>IF(WWWW[[#This Row],['# People with access to soap]]&gt;WWWW[[#This Row],['# People with access to Sanity Pads]],WWWW[[#This Row],['# People with access to soap]],WWWW[[#This Row],['# People with access to Sanity Pads]])</f>
        <v>0</v>
      </c>
      <c r="BT22" s="483" t="str">
        <f>IF(OR(WWWW[[#This Row],['#of students in school]]="",WWWW[[#This Row],['#of students in school]]=0),"No","Yes")</f>
        <v>No</v>
      </c>
      <c r="BU22" s="645" t="str">
        <f>VLOOKUP(WWWW[[#This Row],[Village  Name]],SiteDB6[[Site Name]:[Location Type 1]],9,FALSE)</f>
        <v>Village</v>
      </c>
      <c r="BV22" s="645" t="str">
        <f>VLOOKUP(WWWW[[#This Row],[Village  Name]],SiteDB6[[Site Name]:[Type of Accommodation]],10,FALSE)</f>
        <v>Village</v>
      </c>
      <c r="BW22" s="645">
        <f>VLOOKUP(WWWW[[#This Row],[Village  Name]],SiteDB6[[Site Name]:[Ethnic or GCA/NGCA]],11,FALSE)</f>
        <v>0</v>
      </c>
      <c r="BX22" s="645">
        <f>VLOOKUP(WWWW[[#This Row],[Village  Name]],SiteDB6[[Site Name]:[Lat]],12,FALSE)</f>
        <v>0</v>
      </c>
      <c r="BY22" s="645">
        <f>VLOOKUP(WWWW[[#This Row],[Village  Name]],SiteDB6[[Site Name]:[Long]],13,FALSE)</f>
        <v>0</v>
      </c>
      <c r="BZ22" s="645">
        <f>VLOOKUP(WWWW[[#This Row],[Village  Name]],SiteDB6[[Site Name]:[Pcode]],3,FALSE)</f>
        <v>0</v>
      </c>
      <c r="CA22" s="645" t="str">
        <f t="shared" si="0"/>
        <v>Covered</v>
      </c>
      <c r="CB22" s="655"/>
    </row>
    <row r="23" spans="1:80">
      <c r="A23" s="641" t="s">
        <v>3150</v>
      </c>
      <c r="B23" s="641" t="s">
        <v>2994</v>
      </c>
      <c r="C23" s="642"/>
      <c r="D23" s="642" t="s">
        <v>231</v>
      </c>
      <c r="E23" s="643" t="s">
        <v>698</v>
      </c>
      <c r="F23" s="642" t="s">
        <v>3012</v>
      </c>
      <c r="G23" s="644" t="str">
        <f>VLOOKUP(WWWW[[#This Row],[Village  Name]],SiteDB6[[Site Name]:[Location Type]],8,FALSE)</f>
        <v>Village</v>
      </c>
      <c r="H23" s="642" t="s">
        <v>3020</v>
      </c>
      <c r="I23" s="646"/>
      <c r="J23" s="646">
        <v>142</v>
      </c>
      <c r="K23" s="647">
        <v>43258</v>
      </c>
      <c r="L23" s="648">
        <v>43830</v>
      </c>
      <c r="M23" s="646"/>
      <c r="N23" s="646"/>
      <c r="O23" s="524"/>
      <c r="P23" s="646"/>
      <c r="Q23" s="646"/>
      <c r="R23" s="646"/>
      <c r="S23" s="646"/>
      <c r="T23" s="646"/>
      <c r="U23" s="649"/>
      <c r="V23" s="646">
        <v>61</v>
      </c>
      <c r="W23" s="646"/>
      <c r="X23" s="646"/>
      <c r="Y23" s="646"/>
      <c r="Z23" s="646"/>
      <c r="AA23" s="646"/>
      <c r="AB23" s="646"/>
      <c r="AC23" s="649"/>
      <c r="AD23" s="646"/>
      <c r="AE23" s="646"/>
      <c r="AF23" s="646"/>
      <c r="AG23" s="646"/>
      <c r="AH23" s="646"/>
      <c r="AI23" s="646"/>
      <c r="AJ23" s="524"/>
      <c r="AK23" s="646"/>
      <c r="AL23" s="524"/>
      <c r="AM23" s="524"/>
      <c r="AN23" s="649"/>
      <c r="AO23" s="477"/>
      <c r="AP23" s="477"/>
      <c r="AQ23" s="524"/>
      <c r="AR23" s="524"/>
      <c r="AS23" s="524"/>
      <c r="AT23"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3" s="651">
        <f>WWWW[[#This Row],[%Equitable and continuous access to sufficient quantity of safe drinking water]]*WWWW[[#This Row],[Total PoP ]]</f>
        <v>0</v>
      </c>
      <c r="AV23"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 s="651">
        <f>WWWW[[#This Row],[% Access to unimproved water points]]*WWWW[[#This Row],[Total PoP ]]</f>
        <v>0</v>
      </c>
      <c r="AX23"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3"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3" s="651">
        <f>WWWW[[#This Row],[HRP1]]/250</f>
        <v>0</v>
      </c>
      <c r="BA23" s="653">
        <f>1-WWWW[[#This Row],[% Equitable and continuous access to sufficient quantity of domestic water]]</f>
        <v>1</v>
      </c>
      <c r="BB23" s="651">
        <f>WWWW[[#This Row],[%equitable and continuous access to sufficient quantity of safe drinking and domestic water''s GAP]]*WWWW[[#This Row],[Total PoP ]]</f>
        <v>142</v>
      </c>
      <c r="BC23" s="654">
        <f>IF(WWWW[[#This Row],[Total required water points]]-WWWW[[#This Row],['#Water points coverage]]&lt;0,0,WWWW[[#This Row],[Total required water points]]-WWWW[[#This Row],['#Water points coverage]])</f>
        <v>1</v>
      </c>
      <c r="BD23" s="654">
        <f>ROUND(IF(WWWW[[#This Row],[Total PoP ]]&lt;250,1,WWWW[[#This Row],[Total PoP ]]/250),0)</f>
        <v>1</v>
      </c>
      <c r="BE2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3" s="651">
        <f>WWWW[[#This Row],[% people access to functioning Latrine]]*WWWW[[#This Row],[Total PoP ]]</f>
        <v>142</v>
      </c>
      <c r="BG23" s="654">
        <f>WWWW[[#This Row],['#_of_Functioning_latrines_in_school]]*50</f>
        <v>0</v>
      </c>
      <c r="BH23" s="654">
        <f>ROUND((WWWW[[#This Row],[Total PoP ]]/6),0)</f>
        <v>24</v>
      </c>
      <c r="BI23" s="654">
        <f>IF(WWWW[[#This Row],[Total required Latrines]]-(WWWW[[#This Row],['#_of_sanitary_fly-proof_HH_latrines]])&lt;0,0,WWWW[[#This Row],[Total required Latrines]]-(WWWW[[#This Row],['#_of_sanitary_fly-proof_HH_latrines]]))</f>
        <v>0</v>
      </c>
      <c r="BJ23" s="650">
        <f>1-WWWW[[#This Row],[% people access to functioning Latrine]]</f>
        <v>0</v>
      </c>
      <c r="BK23"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 s="483">
        <f>IF(WWWW[[#This Row],['#_of_functional_handwashing_facilities_at_HH_level]]*6&gt;WWWW[[#This Row],[Total PoP ]],WWWW[[#This Row],[Total PoP ]],WWWW[[#This Row],['#_of_functional_handwashing_facilities_at_HH_level]]*6)</f>
        <v>0</v>
      </c>
      <c r="BM23" s="654">
        <f>IF(WWWW[[#This Row],['# people reached by regular dedicated hygiene promotion]]&gt;WWWW[[#This Row],['# People received regular supply of hygiene items]],WWWW[[#This Row],['# people reached by regular dedicated hygiene promotion]],WWWW[[#This Row],['# People received regular supply of hygiene items]])</f>
        <v>0</v>
      </c>
      <c r="BN23" s="653">
        <f>IF(WWWW[[#This Row],[HRP3]]/WWWW[[#This Row],[Total PoP ]]&gt;100%,100%,WWWW[[#This Row],[HRP3]]/WWWW[[#This Row],[Total PoP ]])</f>
        <v>0</v>
      </c>
      <c r="BO23" s="650">
        <f>1-WWWW[[#This Row],[Hygiene Coverage%]]</f>
        <v>1</v>
      </c>
      <c r="BP23" s="652">
        <f>WWWW[[#This Row],['# people reached by regular dedicated hygiene promotion]]/WWWW[[#This Row],[Total PoP ]]</f>
        <v>0</v>
      </c>
      <c r="BQ2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3" s="478">
        <f>WWWW[[#This Row],['#_of_affected_women_and_girls_receiving_a_sufficient_quantity_of_sanitary_pads]]</f>
        <v>0</v>
      </c>
      <c r="BS23" s="524">
        <f>IF(WWWW[[#This Row],['# People with access to soap]]&gt;WWWW[[#This Row],['# People with access to Sanity Pads]],WWWW[[#This Row],['# People with access to soap]],WWWW[[#This Row],['# People with access to Sanity Pads]])</f>
        <v>0</v>
      </c>
      <c r="BT23" s="483" t="str">
        <f>IF(OR(WWWW[[#This Row],['#of students in school]]="",WWWW[[#This Row],['#of students in school]]=0),"No","Yes")</f>
        <v>No</v>
      </c>
      <c r="BU23" s="645" t="str">
        <f>VLOOKUP(WWWW[[#This Row],[Village  Name]],SiteDB6[[Site Name]:[Location Type 1]],9,FALSE)</f>
        <v>Village</v>
      </c>
      <c r="BV23" s="645" t="str">
        <f>VLOOKUP(WWWW[[#This Row],[Village  Name]],SiteDB6[[Site Name]:[Type of Accommodation]],10,FALSE)</f>
        <v>Village</v>
      </c>
      <c r="BW23" s="645">
        <f>VLOOKUP(WWWW[[#This Row],[Village  Name]],SiteDB6[[Site Name]:[Ethnic or GCA/NGCA]],11,FALSE)</f>
        <v>0</v>
      </c>
      <c r="BX23" s="645">
        <f>VLOOKUP(WWWW[[#This Row],[Village  Name]],SiteDB6[[Site Name]:[Lat]],12,FALSE)</f>
        <v>0</v>
      </c>
      <c r="BY23" s="645">
        <f>VLOOKUP(WWWW[[#This Row],[Village  Name]],SiteDB6[[Site Name]:[Long]],13,FALSE)</f>
        <v>0</v>
      </c>
      <c r="BZ23" s="645">
        <f>VLOOKUP(WWWW[[#This Row],[Village  Name]],SiteDB6[[Site Name]:[Pcode]],3,FALSE)</f>
        <v>0</v>
      </c>
      <c r="CA23" s="645" t="str">
        <f t="shared" si="0"/>
        <v>Covered</v>
      </c>
      <c r="CB23" s="655"/>
    </row>
    <row r="24" spans="1:80">
      <c r="A24" s="641" t="s">
        <v>3150</v>
      </c>
      <c r="B24" s="641" t="s">
        <v>2994</v>
      </c>
      <c r="C24" s="642"/>
      <c r="D24" s="642" t="s">
        <v>231</v>
      </c>
      <c r="E24" s="643" t="s">
        <v>698</v>
      </c>
      <c r="F24" s="642" t="s">
        <v>3012</v>
      </c>
      <c r="G24" s="644" t="str">
        <f>VLOOKUP(WWWW[[#This Row],[Village  Name]],SiteDB6[[Site Name]:[Location Type]],8,FALSE)</f>
        <v>Village</v>
      </c>
      <c r="H24" s="642" t="s">
        <v>3021</v>
      </c>
      <c r="I24" s="646"/>
      <c r="J24" s="646">
        <v>162</v>
      </c>
      <c r="K24" s="647">
        <v>43258</v>
      </c>
      <c r="L24" s="648">
        <v>43830</v>
      </c>
      <c r="M24" s="646"/>
      <c r="N24" s="646"/>
      <c r="O24" s="524"/>
      <c r="P24" s="646"/>
      <c r="Q24" s="646"/>
      <c r="R24" s="646"/>
      <c r="S24" s="646"/>
      <c r="T24" s="646"/>
      <c r="U24" s="649"/>
      <c r="V24" s="646">
        <v>36</v>
      </c>
      <c r="W24" s="646"/>
      <c r="X24" s="646"/>
      <c r="Y24" s="646"/>
      <c r="Z24" s="646"/>
      <c r="AA24" s="646"/>
      <c r="AB24" s="646"/>
      <c r="AC24" s="649"/>
      <c r="AD24" s="646"/>
      <c r="AE24" s="646"/>
      <c r="AF24" s="646"/>
      <c r="AG24" s="646"/>
      <c r="AH24" s="646"/>
      <c r="AI24" s="646"/>
      <c r="AJ24" s="524"/>
      <c r="AK24" s="646"/>
      <c r="AL24" s="524"/>
      <c r="AM24" s="524"/>
      <c r="AN24" s="649"/>
      <c r="AO24" s="477"/>
      <c r="AP24" s="477"/>
      <c r="AQ24" s="524"/>
      <c r="AR24" s="524"/>
      <c r="AS24" s="524"/>
      <c r="AT24"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4" s="651">
        <f>WWWW[[#This Row],[%Equitable and continuous access to sufficient quantity of safe drinking water]]*WWWW[[#This Row],[Total PoP ]]</f>
        <v>0</v>
      </c>
      <c r="AV24"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4" s="651">
        <f>WWWW[[#This Row],[% Access to unimproved water points]]*WWWW[[#This Row],[Total PoP ]]</f>
        <v>0</v>
      </c>
      <c r="AX24"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4"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4" s="651">
        <f>WWWW[[#This Row],[HRP1]]/250</f>
        <v>0</v>
      </c>
      <c r="BA24" s="653">
        <f>1-WWWW[[#This Row],[% Equitable and continuous access to sufficient quantity of domestic water]]</f>
        <v>1</v>
      </c>
      <c r="BB24" s="651">
        <f>WWWW[[#This Row],[%equitable and continuous access to sufficient quantity of safe drinking and domestic water''s GAP]]*WWWW[[#This Row],[Total PoP ]]</f>
        <v>162</v>
      </c>
      <c r="BC24" s="654">
        <f>IF(WWWW[[#This Row],[Total required water points]]-WWWW[[#This Row],['#Water points coverage]]&lt;0,0,WWWW[[#This Row],[Total required water points]]-WWWW[[#This Row],['#Water points coverage]])</f>
        <v>1</v>
      </c>
      <c r="BD24" s="654">
        <f>ROUND(IF(WWWW[[#This Row],[Total PoP ]]&lt;250,1,WWWW[[#This Row],[Total PoP ]]/250),0)</f>
        <v>1</v>
      </c>
      <c r="BE2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4" s="651">
        <f>WWWW[[#This Row],[% people access to functioning Latrine]]*WWWW[[#This Row],[Total PoP ]]</f>
        <v>162</v>
      </c>
      <c r="BG24" s="654">
        <f>WWWW[[#This Row],['#_of_Functioning_latrines_in_school]]*50</f>
        <v>0</v>
      </c>
      <c r="BH24" s="654">
        <f>ROUND((WWWW[[#This Row],[Total PoP ]]/6),0)</f>
        <v>27</v>
      </c>
      <c r="BI24" s="654">
        <f>IF(WWWW[[#This Row],[Total required Latrines]]-(WWWW[[#This Row],['#_of_sanitary_fly-proof_HH_latrines]])&lt;0,0,WWWW[[#This Row],[Total required Latrines]]-(WWWW[[#This Row],['#_of_sanitary_fly-proof_HH_latrines]]))</f>
        <v>0</v>
      </c>
      <c r="BJ24" s="650">
        <f>1-WWWW[[#This Row],[% people access to functioning Latrine]]</f>
        <v>0</v>
      </c>
      <c r="BK24"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4" s="483">
        <f>IF(WWWW[[#This Row],['#_of_functional_handwashing_facilities_at_HH_level]]*6&gt;WWWW[[#This Row],[Total PoP ]],WWWW[[#This Row],[Total PoP ]],WWWW[[#This Row],['#_of_functional_handwashing_facilities_at_HH_level]]*6)</f>
        <v>0</v>
      </c>
      <c r="BM24" s="654">
        <f>IF(WWWW[[#This Row],['# people reached by regular dedicated hygiene promotion]]&gt;WWWW[[#This Row],['# People received regular supply of hygiene items]],WWWW[[#This Row],['# people reached by regular dedicated hygiene promotion]],WWWW[[#This Row],['# People received regular supply of hygiene items]])</f>
        <v>0</v>
      </c>
      <c r="BN24" s="653">
        <f>IF(WWWW[[#This Row],[HRP3]]/WWWW[[#This Row],[Total PoP ]]&gt;100%,100%,WWWW[[#This Row],[HRP3]]/WWWW[[#This Row],[Total PoP ]])</f>
        <v>0</v>
      </c>
      <c r="BO24" s="650">
        <f>1-WWWW[[#This Row],[Hygiene Coverage%]]</f>
        <v>1</v>
      </c>
      <c r="BP24" s="652">
        <f>WWWW[[#This Row],['# people reached by regular dedicated hygiene promotion]]/WWWW[[#This Row],[Total PoP ]]</f>
        <v>0</v>
      </c>
      <c r="BQ2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 s="478">
        <f>WWWW[[#This Row],['#_of_affected_women_and_girls_receiving_a_sufficient_quantity_of_sanitary_pads]]</f>
        <v>0</v>
      </c>
      <c r="BS24" s="524">
        <f>IF(WWWW[[#This Row],['# People with access to soap]]&gt;WWWW[[#This Row],['# People with access to Sanity Pads]],WWWW[[#This Row],['# People with access to soap]],WWWW[[#This Row],['# People with access to Sanity Pads]])</f>
        <v>0</v>
      </c>
      <c r="BT24" s="483" t="str">
        <f>IF(OR(WWWW[[#This Row],['#of students in school]]="",WWWW[[#This Row],['#of students in school]]=0),"No","Yes")</f>
        <v>No</v>
      </c>
      <c r="BU24" s="645" t="str">
        <f>VLOOKUP(WWWW[[#This Row],[Village  Name]],SiteDB6[[Site Name]:[Location Type 1]],9,FALSE)</f>
        <v>Village</v>
      </c>
      <c r="BV24" s="645" t="str">
        <f>VLOOKUP(WWWW[[#This Row],[Village  Name]],SiteDB6[[Site Name]:[Type of Accommodation]],10,FALSE)</f>
        <v>Village</v>
      </c>
      <c r="BW24" s="645">
        <f>VLOOKUP(WWWW[[#This Row],[Village  Name]],SiteDB6[[Site Name]:[Ethnic or GCA/NGCA]],11,FALSE)</f>
        <v>0</v>
      </c>
      <c r="BX24" s="645">
        <f>VLOOKUP(WWWW[[#This Row],[Village  Name]],SiteDB6[[Site Name]:[Lat]],12,FALSE)</f>
        <v>0</v>
      </c>
      <c r="BY24" s="645">
        <f>VLOOKUP(WWWW[[#This Row],[Village  Name]],SiteDB6[[Site Name]:[Long]],13,FALSE)</f>
        <v>0</v>
      </c>
      <c r="BZ24" s="645">
        <f>VLOOKUP(WWWW[[#This Row],[Village  Name]],SiteDB6[[Site Name]:[Pcode]],3,FALSE)</f>
        <v>0</v>
      </c>
      <c r="CA24" s="645" t="str">
        <f t="shared" si="0"/>
        <v>Covered</v>
      </c>
      <c r="CB24" s="655"/>
    </row>
    <row r="25" spans="1:80">
      <c r="A25" s="641" t="s">
        <v>3150</v>
      </c>
      <c r="B25" s="641" t="s">
        <v>2994</v>
      </c>
      <c r="C25" s="642"/>
      <c r="D25" s="642" t="s">
        <v>231</v>
      </c>
      <c r="E25" s="643" t="s">
        <v>698</v>
      </c>
      <c r="F25" s="642" t="s">
        <v>3012</v>
      </c>
      <c r="G25" s="644" t="str">
        <f>VLOOKUP(WWWW[[#This Row],[Village  Name]],SiteDB6[[Site Name]:[Location Type]],8,FALSE)</f>
        <v>Village</v>
      </c>
      <c r="H25" s="642" t="s">
        <v>3022</v>
      </c>
      <c r="I25" s="646"/>
      <c r="J25" s="646">
        <v>190</v>
      </c>
      <c r="K25" s="647">
        <v>43258</v>
      </c>
      <c r="L25" s="648">
        <v>43830</v>
      </c>
      <c r="M25" s="646"/>
      <c r="N25" s="646"/>
      <c r="O25" s="524"/>
      <c r="P25" s="646"/>
      <c r="Q25" s="646"/>
      <c r="R25" s="646"/>
      <c r="S25" s="646"/>
      <c r="T25" s="646"/>
      <c r="U25" s="649"/>
      <c r="V25" s="646">
        <v>5</v>
      </c>
      <c r="W25" s="646"/>
      <c r="X25" s="646"/>
      <c r="Y25" s="646"/>
      <c r="Z25" s="646"/>
      <c r="AA25" s="646"/>
      <c r="AB25" s="646"/>
      <c r="AC25" s="649"/>
      <c r="AD25" s="646"/>
      <c r="AE25" s="646"/>
      <c r="AF25" s="646"/>
      <c r="AG25" s="646"/>
      <c r="AH25" s="646"/>
      <c r="AI25" s="646"/>
      <c r="AJ25" s="524"/>
      <c r="AK25" s="646"/>
      <c r="AL25" s="524"/>
      <c r="AM25" s="524"/>
      <c r="AN25" s="649"/>
      <c r="AO25" s="477"/>
      <c r="AP25" s="477"/>
      <c r="AQ25" s="524"/>
      <c r="AR25" s="524"/>
      <c r="AS25" s="524"/>
      <c r="AT25"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5" s="651">
        <f>WWWW[[#This Row],[%Equitable and continuous access to sufficient quantity of safe drinking water]]*WWWW[[#This Row],[Total PoP ]]</f>
        <v>0</v>
      </c>
      <c r="AV25"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5" s="651">
        <f>WWWW[[#This Row],[% Access to unimproved water points]]*WWWW[[#This Row],[Total PoP ]]</f>
        <v>0</v>
      </c>
      <c r="AX25"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5"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5" s="651">
        <f>WWWW[[#This Row],[HRP1]]/250</f>
        <v>0</v>
      </c>
      <c r="BA25" s="653">
        <f>1-WWWW[[#This Row],[% Equitable and continuous access to sufficient quantity of domestic water]]</f>
        <v>1</v>
      </c>
      <c r="BB25" s="651">
        <f>WWWW[[#This Row],[%equitable and continuous access to sufficient quantity of safe drinking and domestic water''s GAP]]*WWWW[[#This Row],[Total PoP ]]</f>
        <v>190</v>
      </c>
      <c r="BC25" s="654">
        <f>IF(WWWW[[#This Row],[Total required water points]]-WWWW[[#This Row],['#Water points coverage]]&lt;0,0,WWWW[[#This Row],[Total required water points]]-WWWW[[#This Row],['#Water points coverage]])</f>
        <v>1</v>
      </c>
      <c r="BD25" s="654">
        <f>ROUND(IF(WWWW[[#This Row],[Total PoP ]]&lt;250,1,WWWW[[#This Row],[Total PoP ]]/250),0)</f>
        <v>1</v>
      </c>
      <c r="BE2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0.15789473684210525</v>
      </c>
      <c r="BF25" s="651">
        <f>WWWW[[#This Row],[% people access to functioning Latrine]]*WWWW[[#This Row],[Total PoP ]]</f>
        <v>30</v>
      </c>
      <c r="BG25" s="654">
        <f>WWWW[[#This Row],['#_of_Functioning_latrines_in_school]]*50</f>
        <v>0</v>
      </c>
      <c r="BH25" s="654">
        <f>ROUND((WWWW[[#This Row],[Total PoP ]]/6),0)</f>
        <v>32</v>
      </c>
      <c r="BI25" s="654">
        <f>IF(WWWW[[#This Row],[Total required Latrines]]-(WWWW[[#This Row],['#_of_sanitary_fly-proof_HH_latrines]])&lt;0,0,WWWW[[#This Row],[Total required Latrines]]-(WWWW[[#This Row],['#_of_sanitary_fly-proof_HH_latrines]]))</f>
        <v>27</v>
      </c>
      <c r="BJ25" s="650">
        <f>1-WWWW[[#This Row],[% people access to functioning Latrine]]</f>
        <v>0.84210526315789469</v>
      </c>
      <c r="BK25"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 s="483">
        <f>IF(WWWW[[#This Row],['#_of_functional_handwashing_facilities_at_HH_level]]*6&gt;WWWW[[#This Row],[Total PoP ]],WWWW[[#This Row],[Total PoP ]],WWWW[[#This Row],['#_of_functional_handwashing_facilities_at_HH_level]]*6)</f>
        <v>0</v>
      </c>
      <c r="BM25" s="654">
        <f>IF(WWWW[[#This Row],['# people reached by regular dedicated hygiene promotion]]&gt;WWWW[[#This Row],['# People received regular supply of hygiene items]],WWWW[[#This Row],['# people reached by regular dedicated hygiene promotion]],WWWW[[#This Row],['# People received regular supply of hygiene items]])</f>
        <v>0</v>
      </c>
      <c r="BN25" s="653">
        <f>IF(WWWW[[#This Row],[HRP3]]/WWWW[[#This Row],[Total PoP ]]&gt;100%,100%,WWWW[[#This Row],[HRP3]]/WWWW[[#This Row],[Total PoP ]])</f>
        <v>0</v>
      </c>
      <c r="BO25" s="650">
        <f>1-WWWW[[#This Row],[Hygiene Coverage%]]</f>
        <v>1</v>
      </c>
      <c r="BP25" s="652">
        <f>WWWW[[#This Row],['# people reached by regular dedicated hygiene promotion]]/WWWW[[#This Row],[Total PoP ]]</f>
        <v>0</v>
      </c>
      <c r="BQ2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 s="478">
        <f>WWWW[[#This Row],['#_of_affected_women_and_girls_receiving_a_sufficient_quantity_of_sanitary_pads]]</f>
        <v>0</v>
      </c>
      <c r="BS25" s="524">
        <f>IF(WWWW[[#This Row],['# People with access to soap]]&gt;WWWW[[#This Row],['# People with access to Sanity Pads]],WWWW[[#This Row],['# People with access to soap]],WWWW[[#This Row],['# People with access to Sanity Pads]])</f>
        <v>0</v>
      </c>
      <c r="BT25" s="483" t="str">
        <f>IF(OR(WWWW[[#This Row],['#of students in school]]="",WWWW[[#This Row],['#of students in school]]=0),"No","Yes")</f>
        <v>No</v>
      </c>
      <c r="BU25" s="645" t="str">
        <f>VLOOKUP(WWWW[[#This Row],[Village  Name]],SiteDB6[[Site Name]:[Location Type 1]],9,FALSE)</f>
        <v>Village</v>
      </c>
      <c r="BV25" s="645" t="str">
        <f>VLOOKUP(WWWW[[#This Row],[Village  Name]],SiteDB6[[Site Name]:[Type of Accommodation]],10,FALSE)</f>
        <v>Village</v>
      </c>
      <c r="BW25" s="645">
        <f>VLOOKUP(WWWW[[#This Row],[Village  Name]],SiteDB6[[Site Name]:[Ethnic or GCA/NGCA]],11,FALSE)</f>
        <v>0</v>
      </c>
      <c r="BX25" s="645">
        <f>VLOOKUP(WWWW[[#This Row],[Village  Name]],SiteDB6[[Site Name]:[Lat]],12,FALSE)</f>
        <v>0</v>
      </c>
      <c r="BY25" s="645">
        <f>VLOOKUP(WWWW[[#This Row],[Village  Name]],SiteDB6[[Site Name]:[Long]],13,FALSE)</f>
        <v>0</v>
      </c>
      <c r="BZ25" s="645">
        <f>VLOOKUP(WWWW[[#This Row],[Village  Name]],SiteDB6[[Site Name]:[Pcode]],3,FALSE)</f>
        <v>0</v>
      </c>
      <c r="CA25" s="645" t="str">
        <f t="shared" si="0"/>
        <v>Covered</v>
      </c>
      <c r="CB25" s="655"/>
    </row>
    <row r="26" spans="1:80">
      <c r="A26" s="641" t="s">
        <v>3150</v>
      </c>
      <c r="B26" s="641" t="s">
        <v>2994</v>
      </c>
      <c r="C26" s="642"/>
      <c r="D26" s="642" t="s">
        <v>231</v>
      </c>
      <c r="E26" s="643" t="s">
        <v>698</v>
      </c>
      <c r="F26" s="642" t="s">
        <v>3012</v>
      </c>
      <c r="G26" s="644" t="str">
        <f>VLOOKUP(WWWW[[#This Row],[Village  Name]],SiteDB6[[Site Name]:[Location Type]],8,FALSE)</f>
        <v>Village</v>
      </c>
      <c r="H26" s="642" t="s">
        <v>3023</v>
      </c>
      <c r="I26" s="646"/>
      <c r="J26" s="646">
        <v>275</v>
      </c>
      <c r="K26" s="647">
        <v>43258</v>
      </c>
      <c r="L26" s="648">
        <v>43830</v>
      </c>
      <c r="M26" s="646"/>
      <c r="N26" s="646"/>
      <c r="O26" s="524"/>
      <c r="P26" s="646"/>
      <c r="Q26" s="646"/>
      <c r="R26" s="646"/>
      <c r="S26" s="646"/>
      <c r="T26" s="646"/>
      <c r="U26" s="649"/>
      <c r="V26" s="646">
        <v>6</v>
      </c>
      <c r="W26" s="646"/>
      <c r="X26" s="646"/>
      <c r="Y26" s="646"/>
      <c r="Z26" s="646"/>
      <c r="AA26" s="646"/>
      <c r="AB26" s="646"/>
      <c r="AC26" s="649"/>
      <c r="AD26" s="646"/>
      <c r="AE26" s="646"/>
      <c r="AF26" s="646"/>
      <c r="AG26" s="646"/>
      <c r="AH26" s="646"/>
      <c r="AI26" s="646"/>
      <c r="AJ26" s="524"/>
      <c r="AK26" s="646"/>
      <c r="AL26" s="524"/>
      <c r="AM26" s="524"/>
      <c r="AN26" s="649"/>
      <c r="AO26" s="477"/>
      <c r="AP26" s="477"/>
      <c r="AQ26" s="524"/>
      <c r="AR26" s="524"/>
      <c r="AS26" s="524"/>
      <c r="AT26"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6" s="651">
        <f>WWWW[[#This Row],[%Equitable and continuous access to sufficient quantity of safe drinking water]]*WWWW[[#This Row],[Total PoP ]]</f>
        <v>0</v>
      </c>
      <c r="AV26"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6" s="651">
        <f>WWWW[[#This Row],[% Access to unimproved water points]]*WWWW[[#This Row],[Total PoP ]]</f>
        <v>0</v>
      </c>
      <c r="AX26"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6"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6" s="651">
        <f>WWWW[[#This Row],[HRP1]]/250</f>
        <v>0</v>
      </c>
      <c r="BA26" s="653">
        <f>1-WWWW[[#This Row],[% Equitable and continuous access to sufficient quantity of domestic water]]</f>
        <v>1</v>
      </c>
      <c r="BB26" s="651">
        <f>WWWW[[#This Row],[%equitable and continuous access to sufficient quantity of safe drinking and domestic water''s GAP]]*WWWW[[#This Row],[Total PoP ]]</f>
        <v>275</v>
      </c>
      <c r="BC26" s="654">
        <f>IF(WWWW[[#This Row],[Total required water points]]-WWWW[[#This Row],['#Water points coverage]]&lt;0,0,WWWW[[#This Row],[Total required water points]]-WWWW[[#This Row],['#Water points coverage]])</f>
        <v>1</v>
      </c>
      <c r="BD26" s="654">
        <f>ROUND(IF(WWWW[[#This Row],[Total PoP ]]&lt;250,1,WWWW[[#This Row],[Total PoP ]]/250),0)</f>
        <v>1</v>
      </c>
      <c r="BE2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0.13090909090909092</v>
      </c>
      <c r="BF26" s="651">
        <f>WWWW[[#This Row],[% people access to functioning Latrine]]*WWWW[[#This Row],[Total PoP ]]</f>
        <v>36</v>
      </c>
      <c r="BG26" s="654">
        <f>WWWW[[#This Row],['#_of_Functioning_latrines_in_school]]*50</f>
        <v>0</v>
      </c>
      <c r="BH26" s="654">
        <f>ROUND((WWWW[[#This Row],[Total PoP ]]/6),0)</f>
        <v>46</v>
      </c>
      <c r="BI26" s="654">
        <f>IF(WWWW[[#This Row],[Total required Latrines]]-(WWWW[[#This Row],['#_of_sanitary_fly-proof_HH_latrines]])&lt;0,0,WWWW[[#This Row],[Total required Latrines]]-(WWWW[[#This Row],['#_of_sanitary_fly-proof_HH_latrines]]))</f>
        <v>40</v>
      </c>
      <c r="BJ26" s="650">
        <f>1-WWWW[[#This Row],[% people access to functioning Latrine]]</f>
        <v>0.86909090909090914</v>
      </c>
      <c r="BK26"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6" s="483">
        <f>IF(WWWW[[#This Row],['#_of_functional_handwashing_facilities_at_HH_level]]*6&gt;WWWW[[#This Row],[Total PoP ]],WWWW[[#This Row],[Total PoP ]],WWWW[[#This Row],['#_of_functional_handwashing_facilities_at_HH_level]]*6)</f>
        <v>0</v>
      </c>
      <c r="BM26" s="654">
        <f>IF(WWWW[[#This Row],['# people reached by regular dedicated hygiene promotion]]&gt;WWWW[[#This Row],['# People received regular supply of hygiene items]],WWWW[[#This Row],['# people reached by regular dedicated hygiene promotion]],WWWW[[#This Row],['# People received regular supply of hygiene items]])</f>
        <v>0</v>
      </c>
      <c r="BN26" s="653">
        <f>IF(WWWW[[#This Row],[HRP3]]/WWWW[[#This Row],[Total PoP ]]&gt;100%,100%,WWWW[[#This Row],[HRP3]]/WWWW[[#This Row],[Total PoP ]])</f>
        <v>0</v>
      </c>
      <c r="BO26" s="650">
        <f>1-WWWW[[#This Row],[Hygiene Coverage%]]</f>
        <v>1</v>
      </c>
      <c r="BP26" s="652">
        <f>WWWW[[#This Row],['# people reached by regular dedicated hygiene promotion]]/WWWW[[#This Row],[Total PoP ]]</f>
        <v>0</v>
      </c>
      <c r="BQ2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 s="478">
        <f>WWWW[[#This Row],['#_of_affected_women_and_girls_receiving_a_sufficient_quantity_of_sanitary_pads]]</f>
        <v>0</v>
      </c>
      <c r="BS26" s="524">
        <f>IF(WWWW[[#This Row],['# People with access to soap]]&gt;WWWW[[#This Row],['# People with access to Sanity Pads]],WWWW[[#This Row],['# People with access to soap]],WWWW[[#This Row],['# People with access to Sanity Pads]])</f>
        <v>0</v>
      </c>
      <c r="BT26" s="483" t="str">
        <f>IF(OR(WWWW[[#This Row],['#of students in school]]="",WWWW[[#This Row],['#of students in school]]=0),"No","Yes")</f>
        <v>No</v>
      </c>
      <c r="BU26" s="645" t="str">
        <f>VLOOKUP(WWWW[[#This Row],[Village  Name]],SiteDB6[[Site Name]:[Location Type 1]],9,FALSE)</f>
        <v>Village</v>
      </c>
      <c r="BV26" s="645" t="str">
        <f>VLOOKUP(WWWW[[#This Row],[Village  Name]],SiteDB6[[Site Name]:[Type of Accommodation]],10,FALSE)</f>
        <v>Village</v>
      </c>
      <c r="BW26" s="645">
        <f>VLOOKUP(WWWW[[#This Row],[Village  Name]],SiteDB6[[Site Name]:[Ethnic or GCA/NGCA]],11,FALSE)</f>
        <v>0</v>
      </c>
      <c r="BX26" s="645">
        <f>VLOOKUP(WWWW[[#This Row],[Village  Name]],SiteDB6[[Site Name]:[Lat]],12,FALSE)</f>
        <v>0</v>
      </c>
      <c r="BY26" s="645">
        <f>VLOOKUP(WWWW[[#This Row],[Village  Name]],SiteDB6[[Site Name]:[Long]],13,FALSE)</f>
        <v>0</v>
      </c>
      <c r="BZ26" s="645">
        <f>VLOOKUP(WWWW[[#This Row],[Village  Name]],SiteDB6[[Site Name]:[Pcode]],3,FALSE)</f>
        <v>0</v>
      </c>
      <c r="CA26" s="645" t="str">
        <f t="shared" si="0"/>
        <v>Covered</v>
      </c>
      <c r="CB26" s="655"/>
    </row>
    <row r="27" spans="1:80">
      <c r="A27" s="641" t="s">
        <v>3150</v>
      </c>
      <c r="B27" s="641" t="s">
        <v>2994</v>
      </c>
      <c r="C27" s="642"/>
      <c r="D27" s="642" t="s">
        <v>231</v>
      </c>
      <c r="E27" s="643" t="s">
        <v>698</v>
      </c>
      <c r="F27" s="642" t="s">
        <v>3012</v>
      </c>
      <c r="G27" s="644" t="str">
        <f>VLOOKUP(WWWW[[#This Row],[Village  Name]],SiteDB6[[Site Name]:[Location Type]],8,FALSE)</f>
        <v>Village</v>
      </c>
      <c r="H27" s="642" t="s">
        <v>3024</v>
      </c>
      <c r="I27" s="646"/>
      <c r="J27" s="646">
        <v>185</v>
      </c>
      <c r="K27" s="647">
        <v>43258</v>
      </c>
      <c r="L27" s="648">
        <v>43830</v>
      </c>
      <c r="M27" s="646"/>
      <c r="N27" s="646"/>
      <c r="O27" s="524"/>
      <c r="P27" s="646"/>
      <c r="Q27" s="646"/>
      <c r="R27" s="646"/>
      <c r="S27" s="646"/>
      <c r="T27" s="646"/>
      <c r="U27" s="649"/>
      <c r="V27" s="646">
        <v>3</v>
      </c>
      <c r="W27" s="646"/>
      <c r="X27" s="646"/>
      <c r="Y27" s="646"/>
      <c r="Z27" s="646"/>
      <c r="AA27" s="646"/>
      <c r="AB27" s="646"/>
      <c r="AC27" s="649"/>
      <c r="AD27" s="646"/>
      <c r="AE27" s="646"/>
      <c r="AF27" s="646"/>
      <c r="AG27" s="646"/>
      <c r="AH27" s="646"/>
      <c r="AI27" s="646"/>
      <c r="AJ27" s="524"/>
      <c r="AK27" s="646"/>
      <c r="AL27" s="524"/>
      <c r="AM27" s="524"/>
      <c r="AN27" s="649"/>
      <c r="AO27" s="477"/>
      <c r="AP27" s="477"/>
      <c r="AQ27" s="524"/>
      <c r="AR27" s="524"/>
      <c r="AS27" s="524"/>
      <c r="AT27"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7" s="651">
        <f>WWWW[[#This Row],[%Equitable and continuous access to sufficient quantity of safe drinking water]]*WWWW[[#This Row],[Total PoP ]]</f>
        <v>0</v>
      </c>
      <c r="AV27"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7" s="651">
        <f>WWWW[[#This Row],[% Access to unimproved water points]]*WWWW[[#This Row],[Total PoP ]]</f>
        <v>0</v>
      </c>
      <c r="AX27"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7"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7" s="651">
        <f>WWWW[[#This Row],[HRP1]]/250</f>
        <v>0</v>
      </c>
      <c r="BA27" s="653">
        <f>1-WWWW[[#This Row],[% Equitable and continuous access to sufficient quantity of domestic water]]</f>
        <v>1</v>
      </c>
      <c r="BB27" s="651">
        <f>WWWW[[#This Row],[%equitable and continuous access to sufficient quantity of safe drinking and domestic water''s GAP]]*WWWW[[#This Row],[Total PoP ]]</f>
        <v>185</v>
      </c>
      <c r="BC27" s="654">
        <f>IF(WWWW[[#This Row],[Total required water points]]-WWWW[[#This Row],['#Water points coverage]]&lt;0,0,WWWW[[#This Row],[Total required water points]]-WWWW[[#This Row],['#Water points coverage]])</f>
        <v>1</v>
      </c>
      <c r="BD27" s="654">
        <f>ROUND(IF(WWWW[[#This Row],[Total PoP ]]&lt;250,1,WWWW[[#This Row],[Total PoP ]]/250),0)</f>
        <v>1</v>
      </c>
      <c r="BE2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9.7297297297297303E-2</v>
      </c>
      <c r="BF27" s="651">
        <f>WWWW[[#This Row],[% people access to functioning Latrine]]*WWWW[[#This Row],[Total PoP ]]</f>
        <v>18</v>
      </c>
      <c r="BG27" s="654">
        <f>WWWW[[#This Row],['#_of_Functioning_latrines_in_school]]*50</f>
        <v>0</v>
      </c>
      <c r="BH27" s="654">
        <f>ROUND((WWWW[[#This Row],[Total PoP ]]/6),0)</f>
        <v>31</v>
      </c>
      <c r="BI27" s="654">
        <f>IF(WWWW[[#This Row],[Total required Latrines]]-(WWWW[[#This Row],['#_of_sanitary_fly-proof_HH_latrines]])&lt;0,0,WWWW[[#This Row],[Total required Latrines]]-(WWWW[[#This Row],['#_of_sanitary_fly-proof_HH_latrines]]))</f>
        <v>28</v>
      </c>
      <c r="BJ27" s="650">
        <f>1-WWWW[[#This Row],[% people access to functioning Latrine]]</f>
        <v>0.9027027027027027</v>
      </c>
      <c r="BK27"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 s="483">
        <f>IF(WWWW[[#This Row],['#_of_functional_handwashing_facilities_at_HH_level]]*6&gt;WWWW[[#This Row],[Total PoP ]],WWWW[[#This Row],[Total PoP ]],WWWW[[#This Row],['#_of_functional_handwashing_facilities_at_HH_level]]*6)</f>
        <v>0</v>
      </c>
      <c r="BM27" s="654">
        <f>IF(WWWW[[#This Row],['# people reached by regular dedicated hygiene promotion]]&gt;WWWW[[#This Row],['# People received regular supply of hygiene items]],WWWW[[#This Row],['# people reached by regular dedicated hygiene promotion]],WWWW[[#This Row],['# People received regular supply of hygiene items]])</f>
        <v>0</v>
      </c>
      <c r="BN27" s="653">
        <f>IF(WWWW[[#This Row],[HRP3]]/WWWW[[#This Row],[Total PoP ]]&gt;100%,100%,WWWW[[#This Row],[HRP3]]/WWWW[[#This Row],[Total PoP ]])</f>
        <v>0</v>
      </c>
      <c r="BO27" s="650">
        <f>1-WWWW[[#This Row],[Hygiene Coverage%]]</f>
        <v>1</v>
      </c>
      <c r="BP27" s="652">
        <f>WWWW[[#This Row],['# people reached by regular dedicated hygiene promotion]]/WWWW[[#This Row],[Total PoP ]]</f>
        <v>0</v>
      </c>
      <c r="BQ2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 s="478">
        <f>WWWW[[#This Row],['#_of_affected_women_and_girls_receiving_a_sufficient_quantity_of_sanitary_pads]]</f>
        <v>0</v>
      </c>
      <c r="BS27" s="524">
        <f>IF(WWWW[[#This Row],['# People with access to soap]]&gt;WWWW[[#This Row],['# People with access to Sanity Pads]],WWWW[[#This Row],['# People with access to soap]],WWWW[[#This Row],['# People with access to Sanity Pads]])</f>
        <v>0</v>
      </c>
      <c r="BT27" s="483" t="str">
        <f>IF(OR(WWWW[[#This Row],['#of students in school]]="",WWWW[[#This Row],['#of students in school]]=0),"No","Yes")</f>
        <v>No</v>
      </c>
      <c r="BU27" s="645" t="str">
        <f>VLOOKUP(WWWW[[#This Row],[Village  Name]],SiteDB6[[Site Name]:[Location Type 1]],9,FALSE)</f>
        <v>Village</v>
      </c>
      <c r="BV27" s="645" t="str">
        <f>VLOOKUP(WWWW[[#This Row],[Village  Name]],SiteDB6[[Site Name]:[Type of Accommodation]],10,FALSE)</f>
        <v>Village</v>
      </c>
      <c r="BW27" s="645">
        <f>VLOOKUP(WWWW[[#This Row],[Village  Name]],SiteDB6[[Site Name]:[Ethnic or GCA/NGCA]],11,FALSE)</f>
        <v>0</v>
      </c>
      <c r="BX27" s="645">
        <f>VLOOKUP(WWWW[[#This Row],[Village  Name]],SiteDB6[[Site Name]:[Lat]],12,FALSE)</f>
        <v>0</v>
      </c>
      <c r="BY27" s="645">
        <f>VLOOKUP(WWWW[[#This Row],[Village  Name]],SiteDB6[[Site Name]:[Long]],13,FALSE)</f>
        <v>0</v>
      </c>
      <c r="BZ27" s="645">
        <f>VLOOKUP(WWWW[[#This Row],[Village  Name]],SiteDB6[[Site Name]:[Pcode]],3,FALSE)</f>
        <v>0</v>
      </c>
      <c r="CA27" s="645" t="str">
        <f t="shared" si="0"/>
        <v>Covered</v>
      </c>
      <c r="CB27" s="655"/>
    </row>
    <row r="28" spans="1:80">
      <c r="A28" s="641" t="s">
        <v>3150</v>
      </c>
      <c r="B28" s="641" t="s">
        <v>2994</v>
      </c>
      <c r="C28" s="642"/>
      <c r="D28" s="642" t="s">
        <v>231</v>
      </c>
      <c r="E28" s="643" t="s">
        <v>698</v>
      </c>
      <c r="F28" s="642" t="s">
        <v>3012</v>
      </c>
      <c r="G28" s="644" t="str">
        <f>VLOOKUP(WWWW[[#This Row],[Village  Name]],SiteDB6[[Site Name]:[Location Type]],8,FALSE)</f>
        <v>Village</v>
      </c>
      <c r="H28" s="642" t="s">
        <v>3025</v>
      </c>
      <c r="I28" s="646"/>
      <c r="J28" s="646">
        <v>189</v>
      </c>
      <c r="K28" s="647">
        <v>43258</v>
      </c>
      <c r="L28" s="648">
        <v>43830</v>
      </c>
      <c r="M28" s="646"/>
      <c r="N28" s="646"/>
      <c r="O28" s="524"/>
      <c r="P28" s="646"/>
      <c r="Q28" s="646"/>
      <c r="R28" s="646"/>
      <c r="S28" s="646"/>
      <c r="T28" s="646"/>
      <c r="U28" s="649"/>
      <c r="V28" s="646">
        <v>5</v>
      </c>
      <c r="W28" s="646"/>
      <c r="X28" s="646"/>
      <c r="Y28" s="646"/>
      <c r="Z28" s="646"/>
      <c r="AA28" s="646"/>
      <c r="AB28" s="646"/>
      <c r="AC28" s="649"/>
      <c r="AD28" s="646"/>
      <c r="AE28" s="646"/>
      <c r="AF28" s="646"/>
      <c r="AG28" s="646"/>
      <c r="AH28" s="646"/>
      <c r="AI28" s="646"/>
      <c r="AJ28" s="524"/>
      <c r="AK28" s="646"/>
      <c r="AL28" s="524"/>
      <c r="AM28" s="524"/>
      <c r="AN28" s="649"/>
      <c r="AO28" s="477"/>
      <c r="AP28" s="477"/>
      <c r="AQ28" s="524"/>
      <c r="AR28" s="524"/>
      <c r="AS28" s="524"/>
      <c r="AT28"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8" s="651">
        <f>WWWW[[#This Row],[%Equitable and continuous access to sufficient quantity of safe drinking water]]*WWWW[[#This Row],[Total PoP ]]</f>
        <v>0</v>
      </c>
      <c r="AV28"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8" s="651">
        <f>WWWW[[#This Row],[% Access to unimproved water points]]*WWWW[[#This Row],[Total PoP ]]</f>
        <v>0</v>
      </c>
      <c r="AX28"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8"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8" s="651">
        <f>WWWW[[#This Row],[HRP1]]/250</f>
        <v>0</v>
      </c>
      <c r="BA28" s="653">
        <f>1-WWWW[[#This Row],[% Equitable and continuous access to sufficient quantity of domestic water]]</f>
        <v>1</v>
      </c>
      <c r="BB28" s="651">
        <f>WWWW[[#This Row],[%equitable and continuous access to sufficient quantity of safe drinking and domestic water''s GAP]]*WWWW[[#This Row],[Total PoP ]]</f>
        <v>189</v>
      </c>
      <c r="BC28" s="654">
        <f>IF(WWWW[[#This Row],[Total required water points]]-WWWW[[#This Row],['#Water points coverage]]&lt;0,0,WWWW[[#This Row],[Total required water points]]-WWWW[[#This Row],['#Water points coverage]])</f>
        <v>1</v>
      </c>
      <c r="BD28" s="654">
        <f>ROUND(IF(WWWW[[#This Row],[Total PoP ]]&lt;250,1,WWWW[[#This Row],[Total PoP ]]/250),0)</f>
        <v>1</v>
      </c>
      <c r="BE2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0.15873015873015872</v>
      </c>
      <c r="BF28" s="651">
        <f>WWWW[[#This Row],[% people access to functioning Latrine]]*WWWW[[#This Row],[Total PoP ]]</f>
        <v>30</v>
      </c>
      <c r="BG28" s="654">
        <f>WWWW[[#This Row],['#_of_Functioning_latrines_in_school]]*50</f>
        <v>0</v>
      </c>
      <c r="BH28" s="654">
        <f>ROUND((WWWW[[#This Row],[Total PoP ]]/6),0)</f>
        <v>32</v>
      </c>
      <c r="BI28" s="654">
        <f>IF(WWWW[[#This Row],[Total required Latrines]]-(WWWW[[#This Row],['#_of_sanitary_fly-proof_HH_latrines]])&lt;0,0,WWWW[[#This Row],[Total required Latrines]]-(WWWW[[#This Row],['#_of_sanitary_fly-proof_HH_latrines]]))</f>
        <v>27</v>
      </c>
      <c r="BJ28" s="650">
        <f>1-WWWW[[#This Row],[% people access to functioning Latrine]]</f>
        <v>0.84126984126984128</v>
      </c>
      <c r="BK28"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 s="483">
        <f>IF(WWWW[[#This Row],['#_of_functional_handwashing_facilities_at_HH_level]]*6&gt;WWWW[[#This Row],[Total PoP ]],WWWW[[#This Row],[Total PoP ]],WWWW[[#This Row],['#_of_functional_handwashing_facilities_at_HH_level]]*6)</f>
        <v>0</v>
      </c>
      <c r="BM28" s="654">
        <f>IF(WWWW[[#This Row],['# people reached by regular dedicated hygiene promotion]]&gt;WWWW[[#This Row],['# People received regular supply of hygiene items]],WWWW[[#This Row],['# people reached by regular dedicated hygiene promotion]],WWWW[[#This Row],['# People received regular supply of hygiene items]])</f>
        <v>0</v>
      </c>
      <c r="BN28" s="653">
        <f>IF(WWWW[[#This Row],[HRP3]]/WWWW[[#This Row],[Total PoP ]]&gt;100%,100%,WWWW[[#This Row],[HRP3]]/WWWW[[#This Row],[Total PoP ]])</f>
        <v>0</v>
      </c>
      <c r="BO28" s="650">
        <f>1-WWWW[[#This Row],[Hygiene Coverage%]]</f>
        <v>1</v>
      </c>
      <c r="BP28" s="652">
        <f>WWWW[[#This Row],['# people reached by regular dedicated hygiene promotion]]/WWWW[[#This Row],[Total PoP ]]</f>
        <v>0</v>
      </c>
      <c r="BQ2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 s="478">
        <f>WWWW[[#This Row],['#_of_affected_women_and_girls_receiving_a_sufficient_quantity_of_sanitary_pads]]</f>
        <v>0</v>
      </c>
      <c r="BS28" s="524">
        <f>IF(WWWW[[#This Row],['# People with access to soap]]&gt;WWWW[[#This Row],['# People with access to Sanity Pads]],WWWW[[#This Row],['# People with access to soap]],WWWW[[#This Row],['# People with access to Sanity Pads]])</f>
        <v>0</v>
      </c>
      <c r="BT28" s="483" t="str">
        <f>IF(OR(WWWW[[#This Row],['#of students in school]]="",WWWW[[#This Row],['#of students in school]]=0),"No","Yes")</f>
        <v>No</v>
      </c>
      <c r="BU28" s="645" t="str">
        <f>VLOOKUP(WWWW[[#This Row],[Village  Name]],SiteDB6[[Site Name]:[Location Type 1]],9,FALSE)</f>
        <v>Village</v>
      </c>
      <c r="BV28" s="645" t="str">
        <f>VLOOKUP(WWWW[[#This Row],[Village  Name]],SiteDB6[[Site Name]:[Type of Accommodation]],10,FALSE)</f>
        <v>Village</v>
      </c>
      <c r="BW28" s="645">
        <f>VLOOKUP(WWWW[[#This Row],[Village  Name]],SiteDB6[[Site Name]:[Ethnic or GCA/NGCA]],11,FALSE)</f>
        <v>0</v>
      </c>
      <c r="BX28" s="645">
        <f>VLOOKUP(WWWW[[#This Row],[Village  Name]],SiteDB6[[Site Name]:[Lat]],12,FALSE)</f>
        <v>0</v>
      </c>
      <c r="BY28" s="645">
        <f>VLOOKUP(WWWW[[#This Row],[Village  Name]],SiteDB6[[Site Name]:[Long]],13,FALSE)</f>
        <v>0</v>
      </c>
      <c r="BZ28" s="645">
        <f>VLOOKUP(WWWW[[#This Row],[Village  Name]],SiteDB6[[Site Name]:[Pcode]],3,FALSE)</f>
        <v>0</v>
      </c>
      <c r="CA28" s="645" t="str">
        <f t="shared" si="0"/>
        <v>Covered</v>
      </c>
      <c r="CB28" s="655"/>
    </row>
    <row r="29" spans="1:80">
      <c r="A29" s="641" t="s">
        <v>3150</v>
      </c>
      <c r="B29" s="641" t="s">
        <v>2994</v>
      </c>
      <c r="C29" s="642"/>
      <c r="D29" s="642" t="s">
        <v>231</v>
      </c>
      <c r="E29" s="643" t="s">
        <v>698</v>
      </c>
      <c r="F29" s="642" t="s">
        <v>3012</v>
      </c>
      <c r="G29" s="644" t="str">
        <f>VLOOKUP(WWWW[[#This Row],[Village  Name]],SiteDB6[[Site Name]:[Location Type]],8,FALSE)</f>
        <v>Village</v>
      </c>
      <c r="H29" s="642" t="s">
        <v>3026</v>
      </c>
      <c r="I29" s="646"/>
      <c r="J29" s="646">
        <v>253</v>
      </c>
      <c r="K29" s="647">
        <v>43258</v>
      </c>
      <c r="L29" s="648">
        <v>43830</v>
      </c>
      <c r="M29" s="646"/>
      <c r="N29" s="646"/>
      <c r="O29" s="524"/>
      <c r="P29" s="646"/>
      <c r="Q29" s="646"/>
      <c r="R29" s="646"/>
      <c r="S29" s="646"/>
      <c r="T29" s="646"/>
      <c r="U29" s="649"/>
      <c r="V29" s="646">
        <v>7</v>
      </c>
      <c r="W29" s="646"/>
      <c r="X29" s="646"/>
      <c r="Y29" s="646"/>
      <c r="Z29" s="646"/>
      <c r="AA29" s="646"/>
      <c r="AB29" s="646"/>
      <c r="AC29" s="649"/>
      <c r="AD29" s="646"/>
      <c r="AE29" s="646"/>
      <c r="AF29" s="646"/>
      <c r="AG29" s="646"/>
      <c r="AH29" s="646"/>
      <c r="AI29" s="646"/>
      <c r="AJ29" s="524"/>
      <c r="AK29" s="646"/>
      <c r="AL29" s="524"/>
      <c r="AM29" s="524"/>
      <c r="AN29" s="649"/>
      <c r="AO29" s="477"/>
      <c r="AP29" s="477"/>
      <c r="AQ29" s="524"/>
      <c r="AR29" s="524"/>
      <c r="AS29" s="524"/>
      <c r="AT29"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9" s="651">
        <f>WWWW[[#This Row],[%Equitable and continuous access to sufficient quantity of safe drinking water]]*WWWW[[#This Row],[Total PoP ]]</f>
        <v>0</v>
      </c>
      <c r="AV29"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9" s="651">
        <f>WWWW[[#This Row],[% Access to unimproved water points]]*WWWW[[#This Row],[Total PoP ]]</f>
        <v>0</v>
      </c>
      <c r="AX29"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9"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9" s="651">
        <f>WWWW[[#This Row],[HRP1]]/250</f>
        <v>0</v>
      </c>
      <c r="BA29" s="653">
        <f>1-WWWW[[#This Row],[% Equitable and continuous access to sufficient quantity of domestic water]]</f>
        <v>1</v>
      </c>
      <c r="BB29" s="651">
        <f>WWWW[[#This Row],[%equitable and continuous access to sufficient quantity of safe drinking and domestic water''s GAP]]*WWWW[[#This Row],[Total PoP ]]</f>
        <v>253</v>
      </c>
      <c r="BC29" s="654">
        <f>IF(WWWW[[#This Row],[Total required water points]]-WWWW[[#This Row],['#Water points coverage]]&lt;0,0,WWWW[[#This Row],[Total required water points]]-WWWW[[#This Row],['#Water points coverage]])</f>
        <v>1</v>
      </c>
      <c r="BD29" s="654">
        <f>ROUND(IF(WWWW[[#This Row],[Total PoP ]]&lt;250,1,WWWW[[#This Row],[Total PoP ]]/250),0)</f>
        <v>1</v>
      </c>
      <c r="BE2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0.16600790513833993</v>
      </c>
      <c r="BF29" s="651">
        <f>WWWW[[#This Row],[% people access to functioning Latrine]]*WWWW[[#This Row],[Total PoP ]]</f>
        <v>42</v>
      </c>
      <c r="BG29" s="654">
        <f>WWWW[[#This Row],['#_of_Functioning_latrines_in_school]]*50</f>
        <v>0</v>
      </c>
      <c r="BH29" s="654">
        <f>ROUND((WWWW[[#This Row],[Total PoP ]]/6),0)</f>
        <v>42</v>
      </c>
      <c r="BI29" s="654">
        <f>IF(WWWW[[#This Row],[Total required Latrines]]-(WWWW[[#This Row],['#_of_sanitary_fly-proof_HH_latrines]])&lt;0,0,WWWW[[#This Row],[Total required Latrines]]-(WWWW[[#This Row],['#_of_sanitary_fly-proof_HH_latrines]]))</f>
        <v>35</v>
      </c>
      <c r="BJ29" s="650">
        <f>1-WWWW[[#This Row],[% people access to functioning Latrine]]</f>
        <v>0.83399209486166004</v>
      </c>
      <c r="BK29"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 s="483">
        <f>IF(WWWW[[#This Row],['#_of_functional_handwashing_facilities_at_HH_level]]*6&gt;WWWW[[#This Row],[Total PoP ]],WWWW[[#This Row],[Total PoP ]],WWWW[[#This Row],['#_of_functional_handwashing_facilities_at_HH_level]]*6)</f>
        <v>0</v>
      </c>
      <c r="BM29" s="654">
        <f>IF(WWWW[[#This Row],['# people reached by regular dedicated hygiene promotion]]&gt;WWWW[[#This Row],['# People received regular supply of hygiene items]],WWWW[[#This Row],['# people reached by regular dedicated hygiene promotion]],WWWW[[#This Row],['# People received regular supply of hygiene items]])</f>
        <v>0</v>
      </c>
      <c r="BN29" s="653">
        <f>IF(WWWW[[#This Row],[HRP3]]/WWWW[[#This Row],[Total PoP ]]&gt;100%,100%,WWWW[[#This Row],[HRP3]]/WWWW[[#This Row],[Total PoP ]])</f>
        <v>0</v>
      </c>
      <c r="BO29" s="650">
        <f>1-WWWW[[#This Row],[Hygiene Coverage%]]</f>
        <v>1</v>
      </c>
      <c r="BP29" s="652">
        <f>WWWW[[#This Row],['# people reached by regular dedicated hygiene promotion]]/WWWW[[#This Row],[Total PoP ]]</f>
        <v>0</v>
      </c>
      <c r="BQ2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 s="478">
        <f>WWWW[[#This Row],['#_of_affected_women_and_girls_receiving_a_sufficient_quantity_of_sanitary_pads]]</f>
        <v>0</v>
      </c>
      <c r="BS29" s="524">
        <f>IF(WWWW[[#This Row],['# People with access to soap]]&gt;WWWW[[#This Row],['# People with access to Sanity Pads]],WWWW[[#This Row],['# People with access to soap]],WWWW[[#This Row],['# People with access to Sanity Pads]])</f>
        <v>0</v>
      </c>
      <c r="BT29" s="483" t="str">
        <f>IF(OR(WWWW[[#This Row],['#of students in school]]="",WWWW[[#This Row],['#of students in school]]=0),"No","Yes")</f>
        <v>No</v>
      </c>
      <c r="BU29" s="645" t="str">
        <f>VLOOKUP(WWWW[[#This Row],[Village  Name]],SiteDB6[[Site Name]:[Location Type 1]],9,FALSE)</f>
        <v>Village</v>
      </c>
      <c r="BV29" s="645" t="str">
        <f>VLOOKUP(WWWW[[#This Row],[Village  Name]],SiteDB6[[Site Name]:[Type of Accommodation]],10,FALSE)</f>
        <v>Village</v>
      </c>
      <c r="BW29" s="645">
        <f>VLOOKUP(WWWW[[#This Row],[Village  Name]],SiteDB6[[Site Name]:[Ethnic or GCA/NGCA]],11,FALSE)</f>
        <v>0</v>
      </c>
      <c r="BX29" s="645">
        <f>VLOOKUP(WWWW[[#This Row],[Village  Name]],SiteDB6[[Site Name]:[Lat]],12,FALSE)</f>
        <v>0</v>
      </c>
      <c r="BY29" s="645">
        <f>VLOOKUP(WWWW[[#This Row],[Village  Name]],SiteDB6[[Site Name]:[Long]],13,FALSE)</f>
        <v>0</v>
      </c>
      <c r="BZ29" s="645">
        <f>VLOOKUP(WWWW[[#This Row],[Village  Name]],SiteDB6[[Site Name]:[Pcode]],3,FALSE)</f>
        <v>0</v>
      </c>
      <c r="CA29" s="645" t="str">
        <f t="shared" si="0"/>
        <v>Covered</v>
      </c>
      <c r="CB29" s="655"/>
    </row>
    <row r="30" spans="1:80">
      <c r="A30" s="641" t="s">
        <v>3150</v>
      </c>
      <c r="B30" s="641" t="s">
        <v>2994</v>
      </c>
      <c r="C30" s="642"/>
      <c r="D30" s="642" t="s">
        <v>231</v>
      </c>
      <c r="E30" s="643" t="s">
        <v>698</v>
      </c>
      <c r="F30" s="642" t="s">
        <v>3012</v>
      </c>
      <c r="G30" s="644" t="str">
        <f>VLOOKUP(WWWW[[#This Row],[Village  Name]],SiteDB6[[Site Name]:[Location Type]],8,FALSE)</f>
        <v>Village</v>
      </c>
      <c r="H30" s="642" t="s">
        <v>3027</v>
      </c>
      <c r="I30" s="646"/>
      <c r="J30" s="646">
        <v>150</v>
      </c>
      <c r="K30" s="647">
        <v>43258</v>
      </c>
      <c r="L30" s="648">
        <v>43830</v>
      </c>
      <c r="M30" s="646"/>
      <c r="N30" s="646"/>
      <c r="O30" s="524"/>
      <c r="P30" s="646"/>
      <c r="Q30" s="646"/>
      <c r="R30" s="646"/>
      <c r="S30" s="646"/>
      <c r="T30" s="646"/>
      <c r="U30" s="649"/>
      <c r="V30" s="646">
        <v>4</v>
      </c>
      <c r="W30" s="646"/>
      <c r="X30" s="646"/>
      <c r="Y30" s="646"/>
      <c r="Z30" s="646"/>
      <c r="AA30" s="646"/>
      <c r="AB30" s="646"/>
      <c r="AC30" s="649"/>
      <c r="AD30" s="646"/>
      <c r="AE30" s="646"/>
      <c r="AF30" s="646"/>
      <c r="AG30" s="646"/>
      <c r="AH30" s="646"/>
      <c r="AI30" s="646"/>
      <c r="AJ30" s="524"/>
      <c r="AK30" s="646"/>
      <c r="AL30" s="524"/>
      <c r="AM30" s="524"/>
      <c r="AN30" s="649"/>
      <c r="AO30" s="477"/>
      <c r="AP30" s="477"/>
      <c r="AQ30" s="524"/>
      <c r="AR30" s="524"/>
      <c r="AS30" s="524"/>
      <c r="AT30"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0" s="651">
        <f>WWWW[[#This Row],[%Equitable and continuous access to sufficient quantity of safe drinking water]]*WWWW[[#This Row],[Total PoP ]]</f>
        <v>0</v>
      </c>
      <c r="AV30"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0" s="651">
        <f>WWWW[[#This Row],[% Access to unimproved water points]]*WWWW[[#This Row],[Total PoP ]]</f>
        <v>0</v>
      </c>
      <c r="AX30"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0"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0" s="651">
        <f>WWWW[[#This Row],[HRP1]]/250</f>
        <v>0</v>
      </c>
      <c r="BA30" s="653">
        <f>1-WWWW[[#This Row],[% Equitable and continuous access to sufficient quantity of domestic water]]</f>
        <v>1</v>
      </c>
      <c r="BB30" s="651">
        <f>WWWW[[#This Row],[%equitable and continuous access to sufficient quantity of safe drinking and domestic water''s GAP]]*WWWW[[#This Row],[Total PoP ]]</f>
        <v>150</v>
      </c>
      <c r="BC30" s="654">
        <f>IF(WWWW[[#This Row],[Total required water points]]-WWWW[[#This Row],['#Water points coverage]]&lt;0,0,WWWW[[#This Row],[Total required water points]]-WWWW[[#This Row],['#Water points coverage]])</f>
        <v>1</v>
      </c>
      <c r="BD30" s="654">
        <f>ROUND(IF(WWWW[[#This Row],[Total PoP ]]&lt;250,1,WWWW[[#This Row],[Total PoP ]]/250),0)</f>
        <v>1</v>
      </c>
      <c r="BE3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0.16</v>
      </c>
      <c r="BF30" s="651">
        <f>WWWW[[#This Row],[% people access to functioning Latrine]]*WWWW[[#This Row],[Total PoP ]]</f>
        <v>24</v>
      </c>
      <c r="BG30" s="654">
        <f>WWWW[[#This Row],['#_of_Functioning_latrines_in_school]]*50</f>
        <v>0</v>
      </c>
      <c r="BH30" s="654">
        <f>ROUND((WWWW[[#This Row],[Total PoP ]]/6),0)</f>
        <v>25</v>
      </c>
      <c r="BI30" s="654">
        <f>IF(WWWW[[#This Row],[Total required Latrines]]-(WWWW[[#This Row],['#_of_sanitary_fly-proof_HH_latrines]])&lt;0,0,WWWW[[#This Row],[Total required Latrines]]-(WWWW[[#This Row],['#_of_sanitary_fly-proof_HH_latrines]]))</f>
        <v>21</v>
      </c>
      <c r="BJ30" s="650">
        <f>1-WWWW[[#This Row],[% people access to functioning Latrine]]</f>
        <v>0.84</v>
      </c>
      <c r="BK30"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0" s="483">
        <f>IF(WWWW[[#This Row],['#_of_functional_handwashing_facilities_at_HH_level]]*6&gt;WWWW[[#This Row],[Total PoP ]],WWWW[[#This Row],[Total PoP ]],WWWW[[#This Row],['#_of_functional_handwashing_facilities_at_HH_level]]*6)</f>
        <v>0</v>
      </c>
      <c r="BM30" s="654">
        <f>IF(WWWW[[#This Row],['# people reached by regular dedicated hygiene promotion]]&gt;WWWW[[#This Row],['# People received regular supply of hygiene items]],WWWW[[#This Row],['# people reached by regular dedicated hygiene promotion]],WWWW[[#This Row],['# People received regular supply of hygiene items]])</f>
        <v>0</v>
      </c>
      <c r="BN30" s="653">
        <f>IF(WWWW[[#This Row],[HRP3]]/WWWW[[#This Row],[Total PoP ]]&gt;100%,100%,WWWW[[#This Row],[HRP3]]/WWWW[[#This Row],[Total PoP ]])</f>
        <v>0</v>
      </c>
      <c r="BO30" s="650">
        <f>1-WWWW[[#This Row],[Hygiene Coverage%]]</f>
        <v>1</v>
      </c>
      <c r="BP30" s="652">
        <f>WWWW[[#This Row],['# people reached by regular dedicated hygiene promotion]]/WWWW[[#This Row],[Total PoP ]]</f>
        <v>0</v>
      </c>
      <c r="BQ3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0" s="478">
        <f>WWWW[[#This Row],['#_of_affected_women_and_girls_receiving_a_sufficient_quantity_of_sanitary_pads]]</f>
        <v>0</v>
      </c>
      <c r="BS30" s="524">
        <f>IF(WWWW[[#This Row],['# People with access to soap]]&gt;WWWW[[#This Row],['# People with access to Sanity Pads]],WWWW[[#This Row],['# People with access to soap]],WWWW[[#This Row],['# People with access to Sanity Pads]])</f>
        <v>0</v>
      </c>
      <c r="BT30" s="483" t="str">
        <f>IF(OR(WWWW[[#This Row],['#of students in school]]="",WWWW[[#This Row],['#of students in school]]=0),"No","Yes")</f>
        <v>No</v>
      </c>
      <c r="BU30" s="645" t="str">
        <f>VLOOKUP(WWWW[[#This Row],[Village  Name]],SiteDB6[[Site Name]:[Location Type 1]],9,FALSE)</f>
        <v>Village</v>
      </c>
      <c r="BV30" s="645" t="str">
        <f>VLOOKUP(WWWW[[#This Row],[Village  Name]],SiteDB6[[Site Name]:[Type of Accommodation]],10,FALSE)</f>
        <v>Village</v>
      </c>
      <c r="BW30" s="645">
        <f>VLOOKUP(WWWW[[#This Row],[Village  Name]],SiteDB6[[Site Name]:[Ethnic or GCA/NGCA]],11,FALSE)</f>
        <v>0</v>
      </c>
      <c r="BX30" s="645">
        <f>VLOOKUP(WWWW[[#This Row],[Village  Name]],SiteDB6[[Site Name]:[Lat]],12,FALSE)</f>
        <v>0</v>
      </c>
      <c r="BY30" s="645">
        <f>VLOOKUP(WWWW[[#This Row],[Village  Name]],SiteDB6[[Site Name]:[Long]],13,FALSE)</f>
        <v>0</v>
      </c>
      <c r="BZ30" s="645">
        <f>VLOOKUP(WWWW[[#This Row],[Village  Name]],SiteDB6[[Site Name]:[Pcode]],3,FALSE)</f>
        <v>0</v>
      </c>
      <c r="CA30" s="645" t="str">
        <f t="shared" si="0"/>
        <v>Covered</v>
      </c>
      <c r="CB30" s="655"/>
    </row>
    <row r="31" spans="1:80">
      <c r="A31" s="641" t="s">
        <v>3150</v>
      </c>
      <c r="B31" s="641" t="s">
        <v>2994</v>
      </c>
      <c r="C31" s="642"/>
      <c r="D31" s="642" t="s">
        <v>231</v>
      </c>
      <c r="E31" s="643" t="s">
        <v>698</v>
      </c>
      <c r="F31" s="642" t="s">
        <v>3012</v>
      </c>
      <c r="G31" s="644" t="str">
        <f>VLOOKUP(WWWW[[#This Row],[Village  Name]],SiteDB6[[Site Name]:[Location Type]],8,FALSE)</f>
        <v>Village</v>
      </c>
      <c r="H31" s="642" t="s">
        <v>3028</v>
      </c>
      <c r="I31" s="646"/>
      <c r="J31" s="646">
        <v>393</v>
      </c>
      <c r="K31" s="647">
        <v>43258</v>
      </c>
      <c r="L31" s="648">
        <v>43830</v>
      </c>
      <c r="M31" s="646"/>
      <c r="N31" s="646"/>
      <c r="O31" s="524"/>
      <c r="P31" s="646"/>
      <c r="Q31" s="646"/>
      <c r="R31" s="646"/>
      <c r="S31" s="646"/>
      <c r="T31" s="646"/>
      <c r="U31" s="649"/>
      <c r="V31" s="646"/>
      <c r="W31" s="646"/>
      <c r="X31" s="646"/>
      <c r="Y31" s="646"/>
      <c r="Z31" s="646"/>
      <c r="AA31" s="646"/>
      <c r="AB31" s="646"/>
      <c r="AC31" s="649"/>
      <c r="AD31" s="646"/>
      <c r="AE31" s="646"/>
      <c r="AF31" s="646"/>
      <c r="AG31" s="646"/>
      <c r="AH31" s="646"/>
      <c r="AI31" s="646"/>
      <c r="AJ31" s="524"/>
      <c r="AK31" s="646"/>
      <c r="AL31" s="524"/>
      <c r="AM31" s="524"/>
      <c r="AN31" s="649"/>
      <c r="AO31" s="477"/>
      <c r="AP31" s="477"/>
      <c r="AQ31" s="524"/>
      <c r="AR31" s="524"/>
      <c r="AS31" s="524"/>
      <c r="AT31"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1" s="651">
        <f>WWWW[[#This Row],[%Equitable and continuous access to sufficient quantity of safe drinking water]]*WWWW[[#This Row],[Total PoP ]]</f>
        <v>0</v>
      </c>
      <c r="AV31"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 s="651">
        <f>WWWW[[#This Row],[% Access to unimproved water points]]*WWWW[[#This Row],[Total PoP ]]</f>
        <v>0</v>
      </c>
      <c r="AX31"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1"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1" s="651">
        <f>WWWW[[#This Row],[HRP1]]/250</f>
        <v>0</v>
      </c>
      <c r="BA31" s="653">
        <f>1-WWWW[[#This Row],[% Equitable and continuous access to sufficient quantity of domestic water]]</f>
        <v>1</v>
      </c>
      <c r="BB31" s="651">
        <f>WWWW[[#This Row],[%equitable and continuous access to sufficient quantity of safe drinking and domestic water''s GAP]]*WWWW[[#This Row],[Total PoP ]]</f>
        <v>393</v>
      </c>
      <c r="BC31" s="654">
        <f>IF(WWWW[[#This Row],[Total required water points]]-WWWW[[#This Row],['#Water points coverage]]&lt;0,0,WWWW[[#This Row],[Total required water points]]-WWWW[[#This Row],['#Water points coverage]])</f>
        <v>2</v>
      </c>
      <c r="BD31" s="654">
        <f>ROUND(IF(WWWW[[#This Row],[Total PoP ]]&lt;250,1,WWWW[[#This Row],[Total PoP ]]/250),0)</f>
        <v>2</v>
      </c>
      <c r="BE3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1" s="651">
        <f>WWWW[[#This Row],[% people access to functioning Latrine]]*WWWW[[#This Row],[Total PoP ]]</f>
        <v>0</v>
      </c>
      <c r="BG31" s="654">
        <f>WWWW[[#This Row],['#_of_Functioning_latrines_in_school]]*50</f>
        <v>0</v>
      </c>
      <c r="BH31" s="654">
        <f>ROUND((WWWW[[#This Row],[Total PoP ]]/6),0)</f>
        <v>66</v>
      </c>
      <c r="BI31" s="654">
        <f>IF(WWWW[[#This Row],[Total required Latrines]]-(WWWW[[#This Row],['#_of_sanitary_fly-proof_HH_latrines]])&lt;0,0,WWWW[[#This Row],[Total required Latrines]]-(WWWW[[#This Row],['#_of_sanitary_fly-proof_HH_latrines]]))</f>
        <v>66</v>
      </c>
      <c r="BJ31" s="650">
        <f>1-WWWW[[#This Row],[% people access to functioning Latrine]]</f>
        <v>1</v>
      </c>
      <c r="BK31"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1" s="483">
        <f>IF(WWWW[[#This Row],['#_of_functional_handwashing_facilities_at_HH_level]]*6&gt;WWWW[[#This Row],[Total PoP ]],WWWW[[#This Row],[Total PoP ]],WWWW[[#This Row],['#_of_functional_handwashing_facilities_at_HH_level]]*6)</f>
        <v>0</v>
      </c>
      <c r="BM31" s="654">
        <f>IF(WWWW[[#This Row],['# people reached by regular dedicated hygiene promotion]]&gt;WWWW[[#This Row],['# People received regular supply of hygiene items]],WWWW[[#This Row],['# people reached by regular dedicated hygiene promotion]],WWWW[[#This Row],['# People received regular supply of hygiene items]])</f>
        <v>0</v>
      </c>
      <c r="BN31" s="653">
        <f>IF(WWWW[[#This Row],[HRP3]]/WWWW[[#This Row],[Total PoP ]]&gt;100%,100%,WWWW[[#This Row],[HRP3]]/WWWW[[#This Row],[Total PoP ]])</f>
        <v>0</v>
      </c>
      <c r="BO31" s="650">
        <f>1-WWWW[[#This Row],[Hygiene Coverage%]]</f>
        <v>1</v>
      </c>
      <c r="BP31" s="652">
        <f>WWWW[[#This Row],['# people reached by regular dedicated hygiene promotion]]/WWWW[[#This Row],[Total PoP ]]</f>
        <v>0</v>
      </c>
      <c r="BQ3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1" s="478">
        <f>WWWW[[#This Row],['#_of_affected_women_and_girls_receiving_a_sufficient_quantity_of_sanitary_pads]]</f>
        <v>0</v>
      </c>
      <c r="BS31" s="524">
        <f>IF(WWWW[[#This Row],['# People with access to soap]]&gt;WWWW[[#This Row],['# People with access to Sanity Pads]],WWWW[[#This Row],['# People with access to soap]],WWWW[[#This Row],['# People with access to Sanity Pads]])</f>
        <v>0</v>
      </c>
      <c r="BT31" s="483" t="str">
        <f>IF(OR(WWWW[[#This Row],['#of students in school]]="",WWWW[[#This Row],['#of students in school]]=0),"No","Yes")</f>
        <v>No</v>
      </c>
      <c r="BU31" s="645" t="str">
        <f>VLOOKUP(WWWW[[#This Row],[Village  Name]],SiteDB6[[Site Name]:[Location Type 1]],9,FALSE)</f>
        <v>Village</v>
      </c>
      <c r="BV31" s="645" t="str">
        <f>VLOOKUP(WWWW[[#This Row],[Village  Name]],SiteDB6[[Site Name]:[Type of Accommodation]],10,FALSE)</f>
        <v>Village</v>
      </c>
      <c r="BW31" s="645">
        <f>VLOOKUP(WWWW[[#This Row],[Village  Name]],SiteDB6[[Site Name]:[Ethnic or GCA/NGCA]],11,FALSE)</f>
        <v>0</v>
      </c>
      <c r="BX31" s="645">
        <f>VLOOKUP(WWWW[[#This Row],[Village  Name]],SiteDB6[[Site Name]:[Lat]],12,FALSE)</f>
        <v>0</v>
      </c>
      <c r="BY31" s="645">
        <f>VLOOKUP(WWWW[[#This Row],[Village  Name]],SiteDB6[[Site Name]:[Long]],13,FALSE)</f>
        <v>0</v>
      </c>
      <c r="BZ31" s="645">
        <f>VLOOKUP(WWWW[[#This Row],[Village  Name]],SiteDB6[[Site Name]:[Pcode]],3,FALSE)</f>
        <v>0</v>
      </c>
      <c r="CA31" s="645" t="str">
        <f t="shared" si="0"/>
        <v>Covered</v>
      </c>
      <c r="CB31" s="655"/>
    </row>
    <row r="32" spans="1:80">
      <c r="A32" s="641" t="s">
        <v>3150</v>
      </c>
      <c r="B32" s="641" t="s">
        <v>2994</v>
      </c>
      <c r="C32" s="642"/>
      <c r="D32" s="642" t="s">
        <v>231</v>
      </c>
      <c r="E32" s="643" t="s">
        <v>698</v>
      </c>
      <c r="F32" s="642" t="s">
        <v>3012</v>
      </c>
      <c r="G32" s="644" t="str">
        <f>VLOOKUP(WWWW[[#This Row],[Village  Name]],SiteDB6[[Site Name]:[Location Type]],8,FALSE)</f>
        <v>Village</v>
      </c>
      <c r="H32" s="642" t="s">
        <v>3029</v>
      </c>
      <c r="I32" s="646"/>
      <c r="J32" s="646">
        <v>290</v>
      </c>
      <c r="K32" s="647">
        <v>43258</v>
      </c>
      <c r="L32" s="648">
        <v>43830</v>
      </c>
      <c r="M32" s="646"/>
      <c r="N32" s="646"/>
      <c r="O32" s="524"/>
      <c r="P32" s="646"/>
      <c r="Q32" s="646"/>
      <c r="R32" s="646"/>
      <c r="S32" s="646"/>
      <c r="T32" s="646"/>
      <c r="U32" s="649"/>
      <c r="V32" s="646"/>
      <c r="W32" s="646"/>
      <c r="X32" s="646"/>
      <c r="Y32" s="646"/>
      <c r="Z32" s="646"/>
      <c r="AA32" s="646"/>
      <c r="AB32" s="646"/>
      <c r="AC32" s="649"/>
      <c r="AD32" s="646"/>
      <c r="AE32" s="646"/>
      <c r="AF32" s="646"/>
      <c r="AG32" s="646"/>
      <c r="AH32" s="646"/>
      <c r="AI32" s="646"/>
      <c r="AJ32" s="524"/>
      <c r="AK32" s="646"/>
      <c r="AL32" s="524"/>
      <c r="AM32" s="524"/>
      <c r="AN32" s="649"/>
      <c r="AO32" s="477"/>
      <c r="AP32" s="477"/>
      <c r="AQ32" s="524"/>
      <c r="AR32" s="524"/>
      <c r="AS32" s="524"/>
      <c r="AT32"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2" s="651">
        <f>WWWW[[#This Row],[%Equitable and continuous access to sufficient quantity of safe drinking water]]*WWWW[[#This Row],[Total PoP ]]</f>
        <v>0</v>
      </c>
      <c r="AV32"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2" s="651">
        <f>WWWW[[#This Row],[% Access to unimproved water points]]*WWWW[[#This Row],[Total PoP ]]</f>
        <v>0</v>
      </c>
      <c r="AX32"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2"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2" s="651">
        <f>WWWW[[#This Row],[HRP1]]/250</f>
        <v>0</v>
      </c>
      <c r="BA32" s="653">
        <f>1-WWWW[[#This Row],[% Equitable and continuous access to sufficient quantity of domestic water]]</f>
        <v>1</v>
      </c>
      <c r="BB32" s="651">
        <f>WWWW[[#This Row],[%equitable and continuous access to sufficient quantity of safe drinking and domestic water''s GAP]]*WWWW[[#This Row],[Total PoP ]]</f>
        <v>290</v>
      </c>
      <c r="BC32" s="654">
        <f>IF(WWWW[[#This Row],[Total required water points]]-WWWW[[#This Row],['#Water points coverage]]&lt;0,0,WWWW[[#This Row],[Total required water points]]-WWWW[[#This Row],['#Water points coverage]])</f>
        <v>1</v>
      </c>
      <c r="BD32" s="654">
        <f>ROUND(IF(WWWW[[#This Row],[Total PoP ]]&lt;250,1,WWWW[[#This Row],[Total PoP ]]/250),0)</f>
        <v>1</v>
      </c>
      <c r="BE3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2" s="651">
        <f>WWWW[[#This Row],[% people access to functioning Latrine]]*WWWW[[#This Row],[Total PoP ]]</f>
        <v>0</v>
      </c>
      <c r="BG32" s="654">
        <f>WWWW[[#This Row],['#_of_Functioning_latrines_in_school]]*50</f>
        <v>0</v>
      </c>
      <c r="BH32" s="654">
        <f>ROUND((WWWW[[#This Row],[Total PoP ]]/6),0)</f>
        <v>48</v>
      </c>
      <c r="BI32" s="654">
        <f>IF(WWWW[[#This Row],[Total required Latrines]]-(WWWW[[#This Row],['#_of_sanitary_fly-proof_HH_latrines]])&lt;0,0,WWWW[[#This Row],[Total required Latrines]]-(WWWW[[#This Row],['#_of_sanitary_fly-proof_HH_latrines]]))</f>
        <v>48</v>
      </c>
      <c r="BJ32" s="650">
        <f>1-WWWW[[#This Row],[% people access to functioning Latrine]]</f>
        <v>1</v>
      </c>
      <c r="BK32"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2" s="483">
        <f>IF(WWWW[[#This Row],['#_of_functional_handwashing_facilities_at_HH_level]]*6&gt;WWWW[[#This Row],[Total PoP ]],WWWW[[#This Row],[Total PoP ]],WWWW[[#This Row],['#_of_functional_handwashing_facilities_at_HH_level]]*6)</f>
        <v>0</v>
      </c>
      <c r="BM32" s="654">
        <f>IF(WWWW[[#This Row],['# people reached by regular dedicated hygiene promotion]]&gt;WWWW[[#This Row],['# People received regular supply of hygiene items]],WWWW[[#This Row],['# people reached by regular dedicated hygiene promotion]],WWWW[[#This Row],['# People received regular supply of hygiene items]])</f>
        <v>0</v>
      </c>
      <c r="BN32" s="653">
        <f>IF(WWWW[[#This Row],[HRP3]]/WWWW[[#This Row],[Total PoP ]]&gt;100%,100%,WWWW[[#This Row],[HRP3]]/WWWW[[#This Row],[Total PoP ]])</f>
        <v>0</v>
      </c>
      <c r="BO32" s="650">
        <f>1-WWWW[[#This Row],[Hygiene Coverage%]]</f>
        <v>1</v>
      </c>
      <c r="BP32" s="652">
        <f>WWWW[[#This Row],['# people reached by regular dedicated hygiene promotion]]/WWWW[[#This Row],[Total PoP ]]</f>
        <v>0</v>
      </c>
      <c r="BQ3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2" s="478">
        <f>WWWW[[#This Row],['#_of_affected_women_and_girls_receiving_a_sufficient_quantity_of_sanitary_pads]]</f>
        <v>0</v>
      </c>
      <c r="BS32" s="524">
        <f>IF(WWWW[[#This Row],['# People with access to soap]]&gt;WWWW[[#This Row],['# People with access to Sanity Pads]],WWWW[[#This Row],['# People with access to soap]],WWWW[[#This Row],['# People with access to Sanity Pads]])</f>
        <v>0</v>
      </c>
      <c r="BT32" s="483" t="str">
        <f>IF(OR(WWWW[[#This Row],['#of students in school]]="",WWWW[[#This Row],['#of students in school]]=0),"No","Yes")</f>
        <v>No</v>
      </c>
      <c r="BU32" s="645" t="str">
        <f>VLOOKUP(WWWW[[#This Row],[Village  Name]],SiteDB6[[Site Name]:[Location Type 1]],9,FALSE)</f>
        <v>Village</v>
      </c>
      <c r="BV32" s="645" t="str">
        <f>VLOOKUP(WWWW[[#This Row],[Village  Name]],SiteDB6[[Site Name]:[Type of Accommodation]],10,FALSE)</f>
        <v>Village</v>
      </c>
      <c r="BW32" s="645">
        <f>VLOOKUP(WWWW[[#This Row],[Village  Name]],SiteDB6[[Site Name]:[Ethnic or GCA/NGCA]],11,FALSE)</f>
        <v>0</v>
      </c>
      <c r="BX32" s="645">
        <f>VLOOKUP(WWWW[[#This Row],[Village  Name]],SiteDB6[[Site Name]:[Lat]],12,FALSE)</f>
        <v>0</v>
      </c>
      <c r="BY32" s="645">
        <f>VLOOKUP(WWWW[[#This Row],[Village  Name]],SiteDB6[[Site Name]:[Long]],13,FALSE)</f>
        <v>0</v>
      </c>
      <c r="BZ32" s="645">
        <f>VLOOKUP(WWWW[[#This Row],[Village  Name]],SiteDB6[[Site Name]:[Pcode]],3,FALSE)</f>
        <v>0</v>
      </c>
      <c r="CA32" s="645" t="str">
        <f t="shared" si="0"/>
        <v>Covered</v>
      </c>
      <c r="CB32" s="655"/>
    </row>
    <row r="33" spans="1:80">
      <c r="A33" s="641" t="s">
        <v>3150</v>
      </c>
      <c r="B33" s="641" t="s">
        <v>2994</v>
      </c>
      <c r="C33" s="642"/>
      <c r="D33" s="642" t="s">
        <v>231</v>
      </c>
      <c r="E33" s="643" t="s">
        <v>698</v>
      </c>
      <c r="F33" s="642" t="s">
        <v>3012</v>
      </c>
      <c r="G33" s="644" t="str">
        <f>VLOOKUP(WWWW[[#This Row],[Village  Name]],SiteDB6[[Site Name]:[Location Type]],8,FALSE)</f>
        <v>Village</v>
      </c>
      <c r="H33" s="642" t="s">
        <v>3030</v>
      </c>
      <c r="I33" s="646"/>
      <c r="J33" s="646">
        <v>712</v>
      </c>
      <c r="K33" s="647">
        <v>43258</v>
      </c>
      <c r="L33" s="648">
        <v>43830</v>
      </c>
      <c r="M33" s="646"/>
      <c r="N33" s="646"/>
      <c r="O33" s="524"/>
      <c r="P33" s="646"/>
      <c r="Q33" s="646"/>
      <c r="R33" s="646"/>
      <c r="S33" s="646"/>
      <c r="T33" s="646"/>
      <c r="U33" s="649"/>
      <c r="V33" s="646">
        <v>9</v>
      </c>
      <c r="W33" s="646"/>
      <c r="X33" s="646"/>
      <c r="Y33" s="646"/>
      <c r="Z33" s="646"/>
      <c r="AA33" s="646"/>
      <c r="AB33" s="646"/>
      <c r="AC33" s="649"/>
      <c r="AD33" s="646"/>
      <c r="AE33" s="646"/>
      <c r="AF33" s="646"/>
      <c r="AG33" s="646"/>
      <c r="AH33" s="646"/>
      <c r="AI33" s="646"/>
      <c r="AJ33" s="524"/>
      <c r="AK33" s="646"/>
      <c r="AL33" s="524"/>
      <c r="AM33" s="524"/>
      <c r="AN33" s="649"/>
      <c r="AO33" s="477"/>
      <c r="AP33" s="477"/>
      <c r="AQ33" s="524"/>
      <c r="AR33" s="524"/>
      <c r="AS33" s="524"/>
      <c r="AT33"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3" s="651">
        <f>WWWW[[#This Row],[%Equitable and continuous access to sufficient quantity of safe drinking water]]*WWWW[[#This Row],[Total PoP ]]</f>
        <v>0</v>
      </c>
      <c r="AV33"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3" s="651">
        <f>WWWW[[#This Row],[% Access to unimproved water points]]*WWWW[[#This Row],[Total PoP ]]</f>
        <v>0</v>
      </c>
      <c r="AX33"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3"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3" s="651">
        <f>WWWW[[#This Row],[HRP1]]/250</f>
        <v>0</v>
      </c>
      <c r="BA33" s="653">
        <f>1-WWWW[[#This Row],[% Equitable and continuous access to sufficient quantity of domestic water]]</f>
        <v>1</v>
      </c>
      <c r="BB33" s="651">
        <f>WWWW[[#This Row],[%equitable and continuous access to sufficient quantity of safe drinking and domestic water''s GAP]]*WWWW[[#This Row],[Total PoP ]]</f>
        <v>712</v>
      </c>
      <c r="BC33" s="654">
        <f>IF(WWWW[[#This Row],[Total required water points]]-WWWW[[#This Row],['#Water points coverage]]&lt;0,0,WWWW[[#This Row],[Total required water points]]-WWWW[[#This Row],['#Water points coverage]])</f>
        <v>3</v>
      </c>
      <c r="BD33" s="654">
        <f>ROUND(IF(WWWW[[#This Row],[Total PoP ]]&lt;250,1,WWWW[[#This Row],[Total PoP ]]/250),0)</f>
        <v>3</v>
      </c>
      <c r="BE3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7.5842696629213488E-2</v>
      </c>
      <c r="BF33" s="651">
        <f>WWWW[[#This Row],[% people access to functioning Latrine]]*WWWW[[#This Row],[Total PoP ]]</f>
        <v>54</v>
      </c>
      <c r="BG33" s="654">
        <f>WWWW[[#This Row],['#_of_Functioning_latrines_in_school]]*50</f>
        <v>0</v>
      </c>
      <c r="BH33" s="654">
        <f>ROUND((WWWW[[#This Row],[Total PoP ]]/6),0)</f>
        <v>119</v>
      </c>
      <c r="BI33" s="654">
        <f>IF(WWWW[[#This Row],[Total required Latrines]]-(WWWW[[#This Row],['#_of_sanitary_fly-proof_HH_latrines]])&lt;0,0,WWWW[[#This Row],[Total required Latrines]]-(WWWW[[#This Row],['#_of_sanitary_fly-proof_HH_latrines]]))</f>
        <v>110</v>
      </c>
      <c r="BJ33" s="650">
        <f>1-WWWW[[#This Row],[% people access to functioning Latrine]]</f>
        <v>0.9241573033707865</v>
      </c>
      <c r="BK33"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 s="483">
        <f>IF(WWWW[[#This Row],['#_of_functional_handwashing_facilities_at_HH_level]]*6&gt;WWWW[[#This Row],[Total PoP ]],WWWW[[#This Row],[Total PoP ]],WWWW[[#This Row],['#_of_functional_handwashing_facilities_at_HH_level]]*6)</f>
        <v>0</v>
      </c>
      <c r="BM33" s="654">
        <f>IF(WWWW[[#This Row],['# people reached by regular dedicated hygiene promotion]]&gt;WWWW[[#This Row],['# People received regular supply of hygiene items]],WWWW[[#This Row],['# people reached by regular dedicated hygiene promotion]],WWWW[[#This Row],['# People received regular supply of hygiene items]])</f>
        <v>0</v>
      </c>
      <c r="BN33" s="653">
        <f>IF(WWWW[[#This Row],[HRP3]]/WWWW[[#This Row],[Total PoP ]]&gt;100%,100%,WWWW[[#This Row],[HRP3]]/WWWW[[#This Row],[Total PoP ]])</f>
        <v>0</v>
      </c>
      <c r="BO33" s="650">
        <f>1-WWWW[[#This Row],[Hygiene Coverage%]]</f>
        <v>1</v>
      </c>
      <c r="BP33" s="652">
        <f>WWWW[[#This Row],['# people reached by regular dedicated hygiene promotion]]/WWWW[[#This Row],[Total PoP ]]</f>
        <v>0</v>
      </c>
      <c r="BQ3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 s="478">
        <f>WWWW[[#This Row],['#_of_affected_women_and_girls_receiving_a_sufficient_quantity_of_sanitary_pads]]</f>
        <v>0</v>
      </c>
      <c r="BS33" s="524">
        <f>IF(WWWW[[#This Row],['# People with access to soap]]&gt;WWWW[[#This Row],['# People with access to Sanity Pads]],WWWW[[#This Row],['# People with access to soap]],WWWW[[#This Row],['# People with access to Sanity Pads]])</f>
        <v>0</v>
      </c>
      <c r="BT33" s="483" t="str">
        <f>IF(OR(WWWW[[#This Row],['#of students in school]]="",WWWW[[#This Row],['#of students in school]]=0),"No","Yes")</f>
        <v>No</v>
      </c>
      <c r="BU33" s="645" t="str">
        <f>VLOOKUP(WWWW[[#This Row],[Village  Name]],SiteDB6[[Site Name]:[Location Type 1]],9,FALSE)</f>
        <v>Village</v>
      </c>
      <c r="BV33" s="645" t="str">
        <f>VLOOKUP(WWWW[[#This Row],[Village  Name]],SiteDB6[[Site Name]:[Type of Accommodation]],10,FALSE)</f>
        <v>Village</v>
      </c>
      <c r="BW33" s="645">
        <f>VLOOKUP(WWWW[[#This Row],[Village  Name]],SiteDB6[[Site Name]:[Ethnic or GCA/NGCA]],11,FALSE)</f>
        <v>0</v>
      </c>
      <c r="BX33" s="645">
        <f>VLOOKUP(WWWW[[#This Row],[Village  Name]],SiteDB6[[Site Name]:[Lat]],12,FALSE)</f>
        <v>0</v>
      </c>
      <c r="BY33" s="645">
        <f>VLOOKUP(WWWW[[#This Row],[Village  Name]],SiteDB6[[Site Name]:[Long]],13,FALSE)</f>
        <v>0</v>
      </c>
      <c r="BZ33" s="645">
        <f>VLOOKUP(WWWW[[#This Row],[Village  Name]],SiteDB6[[Site Name]:[Pcode]],3,FALSE)</f>
        <v>0</v>
      </c>
      <c r="CA33" s="645" t="str">
        <f t="shared" ref="CA33:CA61" si="1">IF(C33="none","Notcovered","Covered")</f>
        <v>Covered</v>
      </c>
      <c r="CB33" s="655"/>
    </row>
    <row r="34" spans="1:80">
      <c r="A34" s="641" t="s">
        <v>3150</v>
      </c>
      <c r="B34" s="641" t="s">
        <v>2994</v>
      </c>
      <c r="C34" s="642"/>
      <c r="D34" s="642" t="s">
        <v>231</v>
      </c>
      <c r="E34" s="643" t="s">
        <v>698</v>
      </c>
      <c r="F34" s="642" t="s">
        <v>3012</v>
      </c>
      <c r="G34" s="644" t="str">
        <f>VLOOKUP(WWWW[[#This Row],[Village  Name]],SiteDB6[[Site Name]:[Location Type]],8,FALSE)</f>
        <v>Village</v>
      </c>
      <c r="H34" s="642" t="s">
        <v>3031</v>
      </c>
      <c r="I34" s="646"/>
      <c r="J34" s="646">
        <v>565</v>
      </c>
      <c r="K34" s="647">
        <v>43258</v>
      </c>
      <c r="L34" s="648">
        <v>43830</v>
      </c>
      <c r="M34" s="646"/>
      <c r="N34" s="646"/>
      <c r="O34" s="524"/>
      <c r="P34" s="646"/>
      <c r="Q34" s="646"/>
      <c r="R34" s="646"/>
      <c r="S34" s="646"/>
      <c r="T34" s="646"/>
      <c r="U34" s="649"/>
      <c r="V34" s="646">
        <v>4</v>
      </c>
      <c r="W34" s="646"/>
      <c r="X34" s="646"/>
      <c r="Y34" s="646"/>
      <c r="Z34" s="646"/>
      <c r="AA34" s="646"/>
      <c r="AB34" s="646"/>
      <c r="AC34" s="649"/>
      <c r="AD34" s="646"/>
      <c r="AE34" s="646"/>
      <c r="AF34" s="646"/>
      <c r="AG34" s="646"/>
      <c r="AH34" s="646"/>
      <c r="AI34" s="646"/>
      <c r="AJ34" s="524"/>
      <c r="AK34" s="646"/>
      <c r="AL34" s="524"/>
      <c r="AM34" s="524"/>
      <c r="AN34" s="649"/>
      <c r="AO34" s="477"/>
      <c r="AP34" s="477"/>
      <c r="AQ34" s="524"/>
      <c r="AR34" s="524"/>
      <c r="AS34" s="524"/>
      <c r="AT34"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4" s="651">
        <f>WWWW[[#This Row],[%Equitable and continuous access to sufficient quantity of safe drinking water]]*WWWW[[#This Row],[Total PoP ]]</f>
        <v>0</v>
      </c>
      <c r="AV34"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4" s="651">
        <f>WWWW[[#This Row],[% Access to unimproved water points]]*WWWW[[#This Row],[Total PoP ]]</f>
        <v>0</v>
      </c>
      <c r="AX34"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4"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4" s="651">
        <f>WWWW[[#This Row],[HRP1]]/250</f>
        <v>0</v>
      </c>
      <c r="BA34" s="653">
        <f>1-WWWW[[#This Row],[% Equitable and continuous access to sufficient quantity of domestic water]]</f>
        <v>1</v>
      </c>
      <c r="BB34" s="651">
        <f>WWWW[[#This Row],[%equitable and continuous access to sufficient quantity of safe drinking and domestic water''s GAP]]*WWWW[[#This Row],[Total PoP ]]</f>
        <v>565</v>
      </c>
      <c r="BC34" s="654">
        <f>IF(WWWW[[#This Row],[Total required water points]]-WWWW[[#This Row],['#Water points coverage]]&lt;0,0,WWWW[[#This Row],[Total required water points]]-WWWW[[#This Row],['#Water points coverage]])</f>
        <v>2</v>
      </c>
      <c r="BD34" s="654">
        <f>ROUND(IF(WWWW[[#This Row],[Total PoP ]]&lt;250,1,WWWW[[#This Row],[Total PoP ]]/250),0)</f>
        <v>2</v>
      </c>
      <c r="BE3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4.247787610619469E-2</v>
      </c>
      <c r="BF34" s="651">
        <f>WWWW[[#This Row],[% people access to functioning Latrine]]*WWWW[[#This Row],[Total PoP ]]</f>
        <v>24</v>
      </c>
      <c r="BG34" s="654">
        <f>WWWW[[#This Row],['#_of_Functioning_latrines_in_school]]*50</f>
        <v>0</v>
      </c>
      <c r="BH34" s="654">
        <f>ROUND((WWWW[[#This Row],[Total PoP ]]/6),0)</f>
        <v>94</v>
      </c>
      <c r="BI34" s="654">
        <f>IF(WWWW[[#This Row],[Total required Latrines]]-(WWWW[[#This Row],['#_of_sanitary_fly-proof_HH_latrines]])&lt;0,0,WWWW[[#This Row],[Total required Latrines]]-(WWWW[[#This Row],['#_of_sanitary_fly-proof_HH_latrines]]))</f>
        <v>90</v>
      </c>
      <c r="BJ34" s="650">
        <f>1-WWWW[[#This Row],[% people access to functioning Latrine]]</f>
        <v>0.95752212389380531</v>
      </c>
      <c r="BK34"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 s="483">
        <f>IF(WWWW[[#This Row],['#_of_functional_handwashing_facilities_at_HH_level]]*6&gt;WWWW[[#This Row],[Total PoP ]],WWWW[[#This Row],[Total PoP ]],WWWW[[#This Row],['#_of_functional_handwashing_facilities_at_HH_level]]*6)</f>
        <v>0</v>
      </c>
      <c r="BM34" s="654">
        <f>IF(WWWW[[#This Row],['# people reached by regular dedicated hygiene promotion]]&gt;WWWW[[#This Row],['# People received regular supply of hygiene items]],WWWW[[#This Row],['# people reached by regular dedicated hygiene promotion]],WWWW[[#This Row],['# People received regular supply of hygiene items]])</f>
        <v>0</v>
      </c>
      <c r="BN34" s="653">
        <f>IF(WWWW[[#This Row],[HRP3]]/WWWW[[#This Row],[Total PoP ]]&gt;100%,100%,WWWW[[#This Row],[HRP3]]/WWWW[[#This Row],[Total PoP ]])</f>
        <v>0</v>
      </c>
      <c r="BO34" s="650">
        <f>1-WWWW[[#This Row],[Hygiene Coverage%]]</f>
        <v>1</v>
      </c>
      <c r="BP34" s="652">
        <f>WWWW[[#This Row],['# people reached by regular dedicated hygiene promotion]]/WWWW[[#This Row],[Total PoP ]]</f>
        <v>0</v>
      </c>
      <c r="BQ3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 s="478">
        <f>WWWW[[#This Row],['#_of_affected_women_and_girls_receiving_a_sufficient_quantity_of_sanitary_pads]]</f>
        <v>0</v>
      </c>
      <c r="BS34" s="524">
        <f>IF(WWWW[[#This Row],['# People with access to soap]]&gt;WWWW[[#This Row],['# People with access to Sanity Pads]],WWWW[[#This Row],['# People with access to soap]],WWWW[[#This Row],['# People with access to Sanity Pads]])</f>
        <v>0</v>
      </c>
      <c r="BT34" s="483" t="str">
        <f>IF(OR(WWWW[[#This Row],['#of students in school]]="",WWWW[[#This Row],['#of students in school]]=0),"No","Yes")</f>
        <v>No</v>
      </c>
      <c r="BU34" s="645" t="str">
        <f>VLOOKUP(WWWW[[#This Row],[Village  Name]],SiteDB6[[Site Name]:[Location Type 1]],9,FALSE)</f>
        <v>Village</v>
      </c>
      <c r="BV34" s="645" t="str">
        <f>VLOOKUP(WWWW[[#This Row],[Village  Name]],SiteDB6[[Site Name]:[Type of Accommodation]],10,FALSE)</f>
        <v>Village</v>
      </c>
      <c r="BW34" s="645">
        <f>VLOOKUP(WWWW[[#This Row],[Village  Name]],SiteDB6[[Site Name]:[Ethnic or GCA/NGCA]],11,FALSE)</f>
        <v>0</v>
      </c>
      <c r="BX34" s="645">
        <f>VLOOKUP(WWWW[[#This Row],[Village  Name]],SiteDB6[[Site Name]:[Lat]],12,FALSE)</f>
        <v>0</v>
      </c>
      <c r="BY34" s="645">
        <f>VLOOKUP(WWWW[[#This Row],[Village  Name]],SiteDB6[[Site Name]:[Long]],13,FALSE)</f>
        <v>0</v>
      </c>
      <c r="BZ34" s="645">
        <f>VLOOKUP(WWWW[[#This Row],[Village  Name]],SiteDB6[[Site Name]:[Pcode]],3,FALSE)</f>
        <v>0</v>
      </c>
      <c r="CA34" s="645" t="str">
        <f t="shared" si="1"/>
        <v>Covered</v>
      </c>
      <c r="CB34" s="655"/>
    </row>
    <row r="35" spans="1:80">
      <c r="A35" s="641" t="s">
        <v>3150</v>
      </c>
      <c r="B35" s="641" t="s">
        <v>2994</v>
      </c>
      <c r="C35" s="642"/>
      <c r="D35" s="642" t="s">
        <v>231</v>
      </c>
      <c r="E35" s="643" t="s">
        <v>698</v>
      </c>
      <c r="F35" s="642" t="s">
        <v>3012</v>
      </c>
      <c r="G35" s="644" t="str">
        <f>VLOOKUP(WWWW[[#This Row],[Village  Name]],SiteDB6[[Site Name]:[Location Type]],8,FALSE)</f>
        <v>Village</v>
      </c>
      <c r="H35" s="642" t="s">
        <v>3032</v>
      </c>
      <c r="I35" s="646"/>
      <c r="J35" s="646">
        <v>1125</v>
      </c>
      <c r="K35" s="647">
        <v>43258</v>
      </c>
      <c r="L35" s="648">
        <v>43830</v>
      </c>
      <c r="M35" s="646"/>
      <c r="N35" s="646"/>
      <c r="O35" s="524"/>
      <c r="P35" s="646"/>
      <c r="Q35" s="646"/>
      <c r="R35" s="646"/>
      <c r="S35" s="646"/>
      <c r="T35" s="646"/>
      <c r="U35" s="649"/>
      <c r="V35" s="646"/>
      <c r="W35" s="646"/>
      <c r="X35" s="646"/>
      <c r="Y35" s="646"/>
      <c r="Z35" s="646"/>
      <c r="AA35" s="646"/>
      <c r="AB35" s="646"/>
      <c r="AC35" s="649"/>
      <c r="AD35" s="646"/>
      <c r="AE35" s="646"/>
      <c r="AF35" s="646"/>
      <c r="AG35" s="646"/>
      <c r="AH35" s="646"/>
      <c r="AI35" s="646"/>
      <c r="AJ35" s="524"/>
      <c r="AK35" s="646"/>
      <c r="AL35" s="524"/>
      <c r="AM35" s="524"/>
      <c r="AN35" s="649"/>
      <c r="AO35" s="477"/>
      <c r="AP35" s="477"/>
      <c r="AQ35" s="524"/>
      <c r="AR35" s="524"/>
      <c r="AS35" s="524"/>
      <c r="AT35"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 s="651">
        <f>WWWW[[#This Row],[%Equitable and continuous access to sufficient quantity of safe drinking water]]*WWWW[[#This Row],[Total PoP ]]</f>
        <v>0</v>
      </c>
      <c r="AV35"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5" s="651">
        <f>WWWW[[#This Row],[% Access to unimproved water points]]*WWWW[[#This Row],[Total PoP ]]</f>
        <v>0</v>
      </c>
      <c r="AX35"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5"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5" s="651">
        <f>WWWW[[#This Row],[HRP1]]/250</f>
        <v>0</v>
      </c>
      <c r="BA35" s="653">
        <f>1-WWWW[[#This Row],[% Equitable and continuous access to sufficient quantity of domestic water]]</f>
        <v>1</v>
      </c>
      <c r="BB35" s="651">
        <f>WWWW[[#This Row],[%equitable and continuous access to sufficient quantity of safe drinking and domestic water''s GAP]]*WWWW[[#This Row],[Total PoP ]]</f>
        <v>1125</v>
      </c>
      <c r="BC35" s="654">
        <f>IF(WWWW[[#This Row],[Total required water points]]-WWWW[[#This Row],['#Water points coverage]]&lt;0,0,WWWW[[#This Row],[Total required water points]]-WWWW[[#This Row],['#Water points coverage]])</f>
        <v>5</v>
      </c>
      <c r="BD35" s="654">
        <f>ROUND(IF(WWWW[[#This Row],[Total PoP ]]&lt;250,1,WWWW[[#This Row],[Total PoP ]]/250),0)</f>
        <v>5</v>
      </c>
      <c r="BE3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5" s="651">
        <f>WWWW[[#This Row],[% people access to functioning Latrine]]*WWWW[[#This Row],[Total PoP ]]</f>
        <v>0</v>
      </c>
      <c r="BG35" s="654">
        <f>WWWW[[#This Row],['#_of_Functioning_latrines_in_school]]*50</f>
        <v>0</v>
      </c>
      <c r="BH35" s="654">
        <f>ROUND((WWWW[[#This Row],[Total PoP ]]/6),0)</f>
        <v>188</v>
      </c>
      <c r="BI35" s="654">
        <f>IF(WWWW[[#This Row],[Total required Latrines]]-(WWWW[[#This Row],['#_of_sanitary_fly-proof_HH_latrines]])&lt;0,0,WWWW[[#This Row],[Total required Latrines]]-(WWWW[[#This Row],['#_of_sanitary_fly-proof_HH_latrines]]))</f>
        <v>188</v>
      </c>
      <c r="BJ35" s="650">
        <f>1-WWWW[[#This Row],[% people access to functioning Latrine]]</f>
        <v>1</v>
      </c>
      <c r="BK35"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5" s="483">
        <f>IF(WWWW[[#This Row],['#_of_functional_handwashing_facilities_at_HH_level]]*6&gt;WWWW[[#This Row],[Total PoP ]],WWWW[[#This Row],[Total PoP ]],WWWW[[#This Row],['#_of_functional_handwashing_facilities_at_HH_level]]*6)</f>
        <v>0</v>
      </c>
      <c r="BM35" s="654">
        <f>IF(WWWW[[#This Row],['# people reached by regular dedicated hygiene promotion]]&gt;WWWW[[#This Row],['# People received regular supply of hygiene items]],WWWW[[#This Row],['# people reached by regular dedicated hygiene promotion]],WWWW[[#This Row],['# People received regular supply of hygiene items]])</f>
        <v>0</v>
      </c>
      <c r="BN35" s="653">
        <f>IF(WWWW[[#This Row],[HRP3]]/WWWW[[#This Row],[Total PoP ]]&gt;100%,100%,WWWW[[#This Row],[HRP3]]/WWWW[[#This Row],[Total PoP ]])</f>
        <v>0</v>
      </c>
      <c r="BO35" s="650">
        <f>1-WWWW[[#This Row],[Hygiene Coverage%]]</f>
        <v>1</v>
      </c>
      <c r="BP35" s="652">
        <f>WWWW[[#This Row],['# people reached by regular dedicated hygiene promotion]]/WWWW[[#This Row],[Total PoP ]]</f>
        <v>0</v>
      </c>
      <c r="BQ3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5" s="478">
        <f>WWWW[[#This Row],['#_of_affected_women_and_girls_receiving_a_sufficient_quantity_of_sanitary_pads]]</f>
        <v>0</v>
      </c>
      <c r="BS35" s="524">
        <f>IF(WWWW[[#This Row],['# People with access to soap]]&gt;WWWW[[#This Row],['# People with access to Sanity Pads]],WWWW[[#This Row],['# People with access to soap]],WWWW[[#This Row],['# People with access to Sanity Pads]])</f>
        <v>0</v>
      </c>
      <c r="BT35" s="483" t="str">
        <f>IF(OR(WWWW[[#This Row],['#of students in school]]="",WWWW[[#This Row],['#of students in school]]=0),"No","Yes")</f>
        <v>No</v>
      </c>
      <c r="BU35" s="645" t="str">
        <f>VLOOKUP(WWWW[[#This Row],[Village  Name]],SiteDB6[[Site Name]:[Location Type 1]],9,FALSE)</f>
        <v>Village</v>
      </c>
      <c r="BV35" s="645" t="str">
        <f>VLOOKUP(WWWW[[#This Row],[Village  Name]],SiteDB6[[Site Name]:[Type of Accommodation]],10,FALSE)</f>
        <v>Village</v>
      </c>
      <c r="BW35" s="645">
        <f>VLOOKUP(WWWW[[#This Row],[Village  Name]],SiteDB6[[Site Name]:[Ethnic or GCA/NGCA]],11,FALSE)</f>
        <v>0</v>
      </c>
      <c r="BX35" s="645">
        <f>VLOOKUP(WWWW[[#This Row],[Village  Name]],SiteDB6[[Site Name]:[Lat]],12,FALSE)</f>
        <v>0</v>
      </c>
      <c r="BY35" s="645">
        <f>VLOOKUP(WWWW[[#This Row],[Village  Name]],SiteDB6[[Site Name]:[Long]],13,FALSE)</f>
        <v>0</v>
      </c>
      <c r="BZ35" s="645">
        <f>VLOOKUP(WWWW[[#This Row],[Village  Name]],SiteDB6[[Site Name]:[Pcode]],3,FALSE)</f>
        <v>0</v>
      </c>
      <c r="CA35" s="645" t="str">
        <f t="shared" si="1"/>
        <v>Covered</v>
      </c>
      <c r="CB35" s="655"/>
    </row>
    <row r="36" spans="1:80">
      <c r="A36" s="641" t="s">
        <v>3150</v>
      </c>
      <c r="B36" s="641" t="s">
        <v>2994</v>
      </c>
      <c r="C36" s="642"/>
      <c r="D36" s="642" t="s">
        <v>231</v>
      </c>
      <c r="E36" s="643" t="s">
        <v>698</v>
      </c>
      <c r="F36" s="642" t="s">
        <v>3033</v>
      </c>
      <c r="G36" s="644" t="str">
        <f>VLOOKUP(WWWW[[#This Row],[Village  Name]],SiteDB6[[Site Name]:[Location Type]],8,FALSE)</f>
        <v>Village</v>
      </c>
      <c r="H36" s="642" t="s">
        <v>3044</v>
      </c>
      <c r="I36" s="646"/>
      <c r="J36" s="646">
        <v>97</v>
      </c>
      <c r="K36" s="647">
        <v>43258</v>
      </c>
      <c r="L36" s="648">
        <v>43830</v>
      </c>
      <c r="M36" s="646"/>
      <c r="N36" s="646"/>
      <c r="O36" s="524"/>
      <c r="P36" s="646"/>
      <c r="Q36" s="646"/>
      <c r="R36" s="646"/>
      <c r="S36" s="646"/>
      <c r="T36" s="646"/>
      <c r="U36" s="649"/>
      <c r="V36" s="646">
        <v>7</v>
      </c>
      <c r="W36" s="646"/>
      <c r="X36" s="646"/>
      <c r="Y36" s="646"/>
      <c r="Z36" s="646"/>
      <c r="AA36" s="646"/>
      <c r="AB36" s="646"/>
      <c r="AC36" s="649"/>
      <c r="AD36" s="646"/>
      <c r="AE36" s="646"/>
      <c r="AF36" s="646"/>
      <c r="AG36" s="646"/>
      <c r="AH36" s="646"/>
      <c r="AI36" s="646"/>
      <c r="AJ36" s="524"/>
      <c r="AK36" s="646"/>
      <c r="AL36" s="524"/>
      <c r="AM36" s="524"/>
      <c r="AN36" s="649"/>
      <c r="AO36" s="477"/>
      <c r="AP36" s="477"/>
      <c r="AQ36" s="524"/>
      <c r="AR36" s="524"/>
      <c r="AS36" s="524"/>
      <c r="AT36"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6" s="651">
        <f>WWWW[[#This Row],[%Equitable and continuous access to sufficient quantity of safe drinking water]]*WWWW[[#This Row],[Total PoP ]]</f>
        <v>0</v>
      </c>
      <c r="AV36"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 s="651">
        <f>WWWW[[#This Row],[% Access to unimproved water points]]*WWWW[[#This Row],[Total PoP ]]</f>
        <v>0</v>
      </c>
      <c r="AX36"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6"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6" s="651">
        <f>WWWW[[#This Row],[HRP1]]/250</f>
        <v>0</v>
      </c>
      <c r="BA36" s="653">
        <f>1-WWWW[[#This Row],[% Equitable and continuous access to sufficient quantity of domestic water]]</f>
        <v>1</v>
      </c>
      <c r="BB36" s="651">
        <f>WWWW[[#This Row],[%equitable and continuous access to sufficient quantity of safe drinking and domestic water''s GAP]]*WWWW[[#This Row],[Total PoP ]]</f>
        <v>97</v>
      </c>
      <c r="BC36" s="654">
        <f>IF(WWWW[[#This Row],[Total required water points]]-WWWW[[#This Row],['#Water points coverage]]&lt;0,0,WWWW[[#This Row],[Total required water points]]-WWWW[[#This Row],['#Water points coverage]])</f>
        <v>1</v>
      </c>
      <c r="BD36" s="654">
        <f>ROUND(IF(WWWW[[#This Row],[Total PoP ]]&lt;250,1,WWWW[[#This Row],[Total PoP ]]/250),0)</f>
        <v>1</v>
      </c>
      <c r="BE3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0.4329896907216495</v>
      </c>
      <c r="BF36" s="651">
        <f>WWWW[[#This Row],[% people access to functioning Latrine]]*WWWW[[#This Row],[Total PoP ]]</f>
        <v>42</v>
      </c>
      <c r="BG36" s="654">
        <f>WWWW[[#This Row],['#_of_Functioning_latrines_in_school]]*50</f>
        <v>0</v>
      </c>
      <c r="BH36" s="654">
        <f>ROUND((WWWW[[#This Row],[Total PoP ]]/6),0)</f>
        <v>16</v>
      </c>
      <c r="BI36" s="654">
        <f>IF(WWWW[[#This Row],[Total required Latrines]]-(WWWW[[#This Row],['#_of_sanitary_fly-proof_HH_latrines]])&lt;0,0,WWWW[[#This Row],[Total required Latrines]]-(WWWW[[#This Row],['#_of_sanitary_fly-proof_HH_latrines]]))</f>
        <v>9</v>
      </c>
      <c r="BJ36" s="650">
        <f>1-WWWW[[#This Row],[% people access to functioning Latrine]]</f>
        <v>0.5670103092783505</v>
      </c>
      <c r="BK36"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6" s="483">
        <f>IF(WWWW[[#This Row],['#_of_functional_handwashing_facilities_at_HH_level]]*6&gt;WWWW[[#This Row],[Total PoP ]],WWWW[[#This Row],[Total PoP ]],WWWW[[#This Row],['#_of_functional_handwashing_facilities_at_HH_level]]*6)</f>
        <v>0</v>
      </c>
      <c r="BM36" s="654">
        <f>IF(WWWW[[#This Row],['# people reached by regular dedicated hygiene promotion]]&gt;WWWW[[#This Row],['# People received regular supply of hygiene items]],WWWW[[#This Row],['# people reached by regular dedicated hygiene promotion]],WWWW[[#This Row],['# People received regular supply of hygiene items]])</f>
        <v>0</v>
      </c>
      <c r="BN36" s="653">
        <f>IF(WWWW[[#This Row],[HRP3]]/WWWW[[#This Row],[Total PoP ]]&gt;100%,100%,WWWW[[#This Row],[HRP3]]/WWWW[[#This Row],[Total PoP ]])</f>
        <v>0</v>
      </c>
      <c r="BO36" s="650">
        <f>1-WWWW[[#This Row],[Hygiene Coverage%]]</f>
        <v>1</v>
      </c>
      <c r="BP36" s="652">
        <f>WWWW[[#This Row],['# people reached by regular dedicated hygiene promotion]]/WWWW[[#This Row],[Total PoP ]]</f>
        <v>0</v>
      </c>
      <c r="BQ3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6" s="478">
        <f>WWWW[[#This Row],['#_of_affected_women_and_girls_receiving_a_sufficient_quantity_of_sanitary_pads]]</f>
        <v>0</v>
      </c>
      <c r="BS36" s="524">
        <f>IF(WWWW[[#This Row],['# People with access to soap]]&gt;WWWW[[#This Row],['# People with access to Sanity Pads]],WWWW[[#This Row],['# People with access to soap]],WWWW[[#This Row],['# People with access to Sanity Pads]])</f>
        <v>0</v>
      </c>
      <c r="BT36" s="483" t="str">
        <f>IF(OR(WWWW[[#This Row],['#of students in school]]="",WWWW[[#This Row],['#of students in school]]=0),"No","Yes")</f>
        <v>No</v>
      </c>
      <c r="BU36" s="645" t="str">
        <f>VLOOKUP(WWWW[[#This Row],[Village  Name]],SiteDB6[[Site Name]:[Location Type 1]],9,FALSE)</f>
        <v>Village</v>
      </c>
      <c r="BV36" s="645" t="str">
        <f>VLOOKUP(WWWW[[#This Row],[Village  Name]],SiteDB6[[Site Name]:[Type of Accommodation]],10,FALSE)</f>
        <v>Village</v>
      </c>
      <c r="BW36" s="645">
        <f>VLOOKUP(WWWW[[#This Row],[Village  Name]],SiteDB6[[Site Name]:[Ethnic or GCA/NGCA]],11,FALSE)</f>
        <v>0</v>
      </c>
      <c r="BX36" s="645">
        <f>VLOOKUP(WWWW[[#This Row],[Village  Name]],SiteDB6[[Site Name]:[Lat]],12,FALSE)</f>
        <v>0</v>
      </c>
      <c r="BY36" s="645">
        <f>VLOOKUP(WWWW[[#This Row],[Village  Name]],SiteDB6[[Site Name]:[Long]],13,FALSE)</f>
        <v>0</v>
      </c>
      <c r="BZ36" s="645">
        <f>VLOOKUP(WWWW[[#This Row],[Village  Name]],SiteDB6[[Site Name]:[Pcode]],3,FALSE)</f>
        <v>0</v>
      </c>
      <c r="CA36" s="645" t="str">
        <f t="shared" si="1"/>
        <v>Covered</v>
      </c>
      <c r="CB36" s="655"/>
    </row>
    <row r="37" spans="1:80">
      <c r="A37" s="641" t="s">
        <v>3150</v>
      </c>
      <c r="B37" s="641" t="s">
        <v>2994</v>
      </c>
      <c r="C37" s="642"/>
      <c r="D37" s="642" t="s">
        <v>231</v>
      </c>
      <c r="E37" s="643" t="s">
        <v>698</v>
      </c>
      <c r="F37" s="642" t="s">
        <v>3033</v>
      </c>
      <c r="G37" s="644" t="str">
        <f>VLOOKUP(WWWW[[#This Row],[Village  Name]],SiteDB6[[Site Name]:[Location Type]],8,FALSE)</f>
        <v>Village</v>
      </c>
      <c r="H37" s="642" t="s">
        <v>3045</v>
      </c>
      <c r="I37" s="646"/>
      <c r="J37" s="646">
        <v>139</v>
      </c>
      <c r="K37" s="647">
        <v>43258</v>
      </c>
      <c r="L37" s="648">
        <v>43830</v>
      </c>
      <c r="M37" s="646"/>
      <c r="N37" s="646"/>
      <c r="O37" s="524"/>
      <c r="P37" s="646"/>
      <c r="Q37" s="646"/>
      <c r="R37" s="646"/>
      <c r="S37" s="646"/>
      <c r="T37" s="646"/>
      <c r="U37" s="649"/>
      <c r="V37" s="646">
        <v>12</v>
      </c>
      <c r="W37" s="646"/>
      <c r="X37" s="646"/>
      <c r="Y37" s="646"/>
      <c r="Z37" s="646"/>
      <c r="AA37" s="646"/>
      <c r="AB37" s="646"/>
      <c r="AC37" s="649"/>
      <c r="AD37" s="646"/>
      <c r="AE37" s="646"/>
      <c r="AF37" s="646"/>
      <c r="AG37" s="646"/>
      <c r="AH37" s="646"/>
      <c r="AI37" s="646"/>
      <c r="AJ37" s="524"/>
      <c r="AK37" s="646"/>
      <c r="AL37" s="524"/>
      <c r="AM37" s="524"/>
      <c r="AN37" s="649"/>
      <c r="AO37" s="477"/>
      <c r="AP37" s="477"/>
      <c r="AQ37" s="524"/>
      <c r="AR37" s="524"/>
      <c r="AS37" s="524"/>
      <c r="AT37"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7" s="651">
        <f>WWWW[[#This Row],[%Equitable and continuous access to sufficient quantity of safe drinking water]]*WWWW[[#This Row],[Total PoP ]]</f>
        <v>0</v>
      </c>
      <c r="AV37"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 s="651">
        <f>WWWW[[#This Row],[% Access to unimproved water points]]*WWWW[[#This Row],[Total PoP ]]</f>
        <v>0</v>
      </c>
      <c r="AX37"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7"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7" s="651">
        <f>WWWW[[#This Row],[HRP1]]/250</f>
        <v>0</v>
      </c>
      <c r="BA37" s="653">
        <f>1-WWWW[[#This Row],[% Equitable and continuous access to sufficient quantity of domestic water]]</f>
        <v>1</v>
      </c>
      <c r="BB37" s="651">
        <f>WWWW[[#This Row],[%equitable and continuous access to sufficient quantity of safe drinking and domestic water''s GAP]]*WWWW[[#This Row],[Total PoP ]]</f>
        <v>139</v>
      </c>
      <c r="BC37" s="654">
        <f>IF(WWWW[[#This Row],[Total required water points]]-WWWW[[#This Row],['#Water points coverage]]&lt;0,0,WWWW[[#This Row],[Total required water points]]-WWWW[[#This Row],['#Water points coverage]])</f>
        <v>1</v>
      </c>
      <c r="BD37" s="654">
        <f>ROUND(IF(WWWW[[#This Row],[Total PoP ]]&lt;250,1,WWWW[[#This Row],[Total PoP ]]/250),0)</f>
        <v>1</v>
      </c>
      <c r="BE3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0.51798561151079137</v>
      </c>
      <c r="BF37" s="651">
        <f>WWWW[[#This Row],[% people access to functioning Latrine]]*WWWW[[#This Row],[Total PoP ]]</f>
        <v>72</v>
      </c>
      <c r="BG37" s="654">
        <f>WWWW[[#This Row],['#_of_Functioning_latrines_in_school]]*50</f>
        <v>0</v>
      </c>
      <c r="BH37" s="654">
        <f>ROUND((WWWW[[#This Row],[Total PoP ]]/6),0)</f>
        <v>23</v>
      </c>
      <c r="BI37" s="654">
        <f>IF(WWWW[[#This Row],[Total required Latrines]]-(WWWW[[#This Row],['#_of_sanitary_fly-proof_HH_latrines]])&lt;0,0,WWWW[[#This Row],[Total required Latrines]]-(WWWW[[#This Row],['#_of_sanitary_fly-proof_HH_latrines]]))</f>
        <v>11</v>
      </c>
      <c r="BJ37" s="650">
        <f>1-WWWW[[#This Row],[% people access to functioning Latrine]]</f>
        <v>0.48201438848920863</v>
      </c>
      <c r="BK37"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 s="483">
        <f>IF(WWWW[[#This Row],['#_of_functional_handwashing_facilities_at_HH_level]]*6&gt;WWWW[[#This Row],[Total PoP ]],WWWW[[#This Row],[Total PoP ]],WWWW[[#This Row],['#_of_functional_handwashing_facilities_at_HH_level]]*6)</f>
        <v>0</v>
      </c>
      <c r="BM37" s="654">
        <f>IF(WWWW[[#This Row],['# people reached by regular dedicated hygiene promotion]]&gt;WWWW[[#This Row],['# People received regular supply of hygiene items]],WWWW[[#This Row],['# people reached by regular dedicated hygiene promotion]],WWWW[[#This Row],['# People received regular supply of hygiene items]])</f>
        <v>0</v>
      </c>
      <c r="BN37" s="653">
        <f>IF(WWWW[[#This Row],[HRP3]]/WWWW[[#This Row],[Total PoP ]]&gt;100%,100%,WWWW[[#This Row],[HRP3]]/WWWW[[#This Row],[Total PoP ]])</f>
        <v>0</v>
      </c>
      <c r="BO37" s="650">
        <f>1-WWWW[[#This Row],[Hygiene Coverage%]]</f>
        <v>1</v>
      </c>
      <c r="BP37" s="652">
        <f>WWWW[[#This Row],['# people reached by regular dedicated hygiene promotion]]/WWWW[[#This Row],[Total PoP ]]</f>
        <v>0</v>
      </c>
      <c r="BQ3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 s="478">
        <f>WWWW[[#This Row],['#_of_affected_women_and_girls_receiving_a_sufficient_quantity_of_sanitary_pads]]</f>
        <v>0</v>
      </c>
      <c r="BS37" s="524">
        <f>IF(WWWW[[#This Row],['# People with access to soap]]&gt;WWWW[[#This Row],['# People with access to Sanity Pads]],WWWW[[#This Row],['# People with access to soap]],WWWW[[#This Row],['# People with access to Sanity Pads]])</f>
        <v>0</v>
      </c>
      <c r="BT37" s="483" t="str">
        <f>IF(OR(WWWW[[#This Row],['#of students in school]]="",WWWW[[#This Row],['#of students in school]]=0),"No","Yes")</f>
        <v>No</v>
      </c>
      <c r="BU37" s="645" t="str">
        <f>VLOOKUP(WWWW[[#This Row],[Village  Name]],SiteDB6[[Site Name]:[Location Type 1]],9,FALSE)</f>
        <v>Village</v>
      </c>
      <c r="BV37" s="645" t="str">
        <f>VLOOKUP(WWWW[[#This Row],[Village  Name]],SiteDB6[[Site Name]:[Type of Accommodation]],10,FALSE)</f>
        <v>Village</v>
      </c>
      <c r="BW37" s="645">
        <f>VLOOKUP(WWWW[[#This Row],[Village  Name]],SiteDB6[[Site Name]:[Ethnic or GCA/NGCA]],11,FALSE)</f>
        <v>0</v>
      </c>
      <c r="BX37" s="645">
        <f>VLOOKUP(WWWW[[#This Row],[Village  Name]],SiteDB6[[Site Name]:[Lat]],12,FALSE)</f>
        <v>0</v>
      </c>
      <c r="BY37" s="645">
        <f>VLOOKUP(WWWW[[#This Row],[Village  Name]],SiteDB6[[Site Name]:[Long]],13,FALSE)</f>
        <v>0</v>
      </c>
      <c r="BZ37" s="645">
        <f>VLOOKUP(WWWW[[#This Row],[Village  Name]],SiteDB6[[Site Name]:[Pcode]],3,FALSE)</f>
        <v>0</v>
      </c>
      <c r="CA37" s="645" t="str">
        <f t="shared" si="1"/>
        <v>Covered</v>
      </c>
      <c r="CB37" s="655"/>
    </row>
    <row r="38" spans="1:80">
      <c r="A38" s="641" t="s">
        <v>3150</v>
      </c>
      <c r="B38" s="641" t="s">
        <v>2994</v>
      </c>
      <c r="C38" s="642"/>
      <c r="D38" s="642" t="s">
        <v>231</v>
      </c>
      <c r="E38" s="643" t="s">
        <v>698</v>
      </c>
      <c r="F38" s="642" t="s">
        <v>3033</v>
      </c>
      <c r="G38" s="644" t="str">
        <f>VLOOKUP(WWWW[[#This Row],[Village  Name]],SiteDB6[[Site Name]:[Location Type]],8,FALSE)</f>
        <v>Village</v>
      </c>
      <c r="H38" s="642" t="s">
        <v>3046</v>
      </c>
      <c r="I38" s="646"/>
      <c r="J38" s="646">
        <v>404</v>
      </c>
      <c r="K38" s="647">
        <v>43258</v>
      </c>
      <c r="L38" s="648">
        <v>43830</v>
      </c>
      <c r="M38" s="646"/>
      <c r="N38" s="646"/>
      <c r="O38" s="524"/>
      <c r="P38" s="646"/>
      <c r="Q38" s="646"/>
      <c r="R38" s="646"/>
      <c r="S38" s="646"/>
      <c r="T38" s="646"/>
      <c r="U38" s="649"/>
      <c r="V38" s="646">
        <v>4</v>
      </c>
      <c r="W38" s="646"/>
      <c r="X38" s="646"/>
      <c r="Y38" s="646"/>
      <c r="Z38" s="646"/>
      <c r="AA38" s="646"/>
      <c r="AB38" s="646"/>
      <c r="AC38" s="649"/>
      <c r="AD38" s="646"/>
      <c r="AE38" s="646"/>
      <c r="AF38" s="646"/>
      <c r="AG38" s="646"/>
      <c r="AH38" s="646"/>
      <c r="AI38" s="646"/>
      <c r="AJ38" s="524"/>
      <c r="AK38" s="646"/>
      <c r="AL38" s="524"/>
      <c r="AM38" s="524"/>
      <c r="AN38" s="649"/>
      <c r="AO38" s="477"/>
      <c r="AP38" s="477"/>
      <c r="AQ38" s="524"/>
      <c r="AR38" s="524"/>
      <c r="AS38" s="524"/>
      <c r="AT38"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8" s="651">
        <f>WWWW[[#This Row],[%Equitable and continuous access to sufficient quantity of safe drinking water]]*WWWW[[#This Row],[Total PoP ]]</f>
        <v>0</v>
      </c>
      <c r="AV38"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 s="651">
        <f>WWWW[[#This Row],[% Access to unimproved water points]]*WWWW[[#This Row],[Total PoP ]]</f>
        <v>0</v>
      </c>
      <c r="AX38"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8"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8" s="651">
        <f>WWWW[[#This Row],[HRP1]]/250</f>
        <v>0</v>
      </c>
      <c r="BA38" s="653">
        <f>1-WWWW[[#This Row],[% Equitable and continuous access to sufficient quantity of domestic water]]</f>
        <v>1</v>
      </c>
      <c r="BB38" s="651">
        <f>WWWW[[#This Row],[%equitable and continuous access to sufficient quantity of safe drinking and domestic water''s GAP]]*WWWW[[#This Row],[Total PoP ]]</f>
        <v>404</v>
      </c>
      <c r="BC38" s="654">
        <f>IF(WWWW[[#This Row],[Total required water points]]-WWWW[[#This Row],['#Water points coverage]]&lt;0,0,WWWW[[#This Row],[Total required water points]]-WWWW[[#This Row],['#Water points coverage]])</f>
        <v>2</v>
      </c>
      <c r="BD38" s="654">
        <f>ROUND(IF(WWWW[[#This Row],[Total PoP ]]&lt;250,1,WWWW[[#This Row],[Total PoP ]]/250),0)</f>
        <v>2</v>
      </c>
      <c r="BE3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5.9405940594059403E-2</v>
      </c>
      <c r="BF38" s="651">
        <f>WWWW[[#This Row],[% people access to functioning Latrine]]*WWWW[[#This Row],[Total PoP ]]</f>
        <v>24</v>
      </c>
      <c r="BG38" s="654">
        <f>WWWW[[#This Row],['#_of_Functioning_latrines_in_school]]*50</f>
        <v>0</v>
      </c>
      <c r="BH38" s="654">
        <f>ROUND((WWWW[[#This Row],[Total PoP ]]/6),0)</f>
        <v>67</v>
      </c>
      <c r="BI38" s="654">
        <f>IF(WWWW[[#This Row],[Total required Latrines]]-(WWWW[[#This Row],['#_of_sanitary_fly-proof_HH_latrines]])&lt;0,0,WWWW[[#This Row],[Total required Latrines]]-(WWWW[[#This Row],['#_of_sanitary_fly-proof_HH_latrines]]))</f>
        <v>63</v>
      </c>
      <c r="BJ38" s="650">
        <f>1-WWWW[[#This Row],[% people access to functioning Latrine]]</f>
        <v>0.94059405940594054</v>
      </c>
      <c r="BK38"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8" s="483">
        <f>IF(WWWW[[#This Row],['#_of_functional_handwashing_facilities_at_HH_level]]*6&gt;WWWW[[#This Row],[Total PoP ]],WWWW[[#This Row],[Total PoP ]],WWWW[[#This Row],['#_of_functional_handwashing_facilities_at_HH_level]]*6)</f>
        <v>0</v>
      </c>
      <c r="BM38" s="654">
        <f>IF(WWWW[[#This Row],['# people reached by regular dedicated hygiene promotion]]&gt;WWWW[[#This Row],['# People received regular supply of hygiene items]],WWWW[[#This Row],['# people reached by regular dedicated hygiene promotion]],WWWW[[#This Row],['# People received regular supply of hygiene items]])</f>
        <v>0</v>
      </c>
      <c r="BN38" s="653">
        <f>IF(WWWW[[#This Row],[HRP3]]/WWWW[[#This Row],[Total PoP ]]&gt;100%,100%,WWWW[[#This Row],[HRP3]]/WWWW[[#This Row],[Total PoP ]])</f>
        <v>0</v>
      </c>
      <c r="BO38" s="650">
        <f>1-WWWW[[#This Row],[Hygiene Coverage%]]</f>
        <v>1</v>
      </c>
      <c r="BP38" s="652">
        <f>WWWW[[#This Row],['# people reached by regular dedicated hygiene promotion]]/WWWW[[#This Row],[Total PoP ]]</f>
        <v>0</v>
      </c>
      <c r="BQ3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 s="478">
        <f>WWWW[[#This Row],['#_of_affected_women_and_girls_receiving_a_sufficient_quantity_of_sanitary_pads]]</f>
        <v>0</v>
      </c>
      <c r="BS38" s="524">
        <f>IF(WWWW[[#This Row],['# People with access to soap]]&gt;WWWW[[#This Row],['# People with access to Sanity Pads]],WWWW[[#This Row],['# People with access to soap]],WWWW[[#This Row],['# People with access to Sanity Pads]])</f>
        <v>0</v>
      </c>
      <c r="BT38" s="483" t="str">
        <f>IF(OR(WWWW[[#This Row],['#of students in school]]="",WWWW[[#This Row],['#of students in school]]=0),"No","Yes")</f>
        <v>No</v>
      </c>
      <c r="BU38" s="645" t="str">
        <f>VLOOKUP(WWWW[[#This Row],[Village  Name]],SiteDB6[[Site Name]:[Location Type 1]],9,FALSE)</f>
        <v>Village</v>
      </c>
      <c r="BV38" s="645" t="str">
        <f>VLOOKUP(WWWW[[#This Row],[Village  Name]],SiteDB6[[Site Name]:[Type of Accommodation]],10,FALSE)</f>
        <v>Village</v>
      </c>
      <c r="BW38" s="645">
        <f>VLOOKUP(WWWW[[#This Row],[Village  Name]],SiteDB6[[Site Name]:[Ethnic or GCA/NGCA]],11,FALSE)</f>
        <v>0</v>
      </c>
      <c r="BX38" s="645">
        <f>VLOOKUP(WWWW[[#This Row],[Village  Name]],SiteDB6[[Site Name]:[Lat]],12,FALSE)</f>
        <v>0</v>
      </c>
      <c r="BY38" s="645">
        <f>VLOOKUP(WWWW[[#This Row],[Village  Name]],SiteDB6[[Site Name]:[Long]],13,FALSE)</f>
        <v>0</v>
      </c>
      <c r="BZ38" s="645">
        <f>VLOOKUP(WWWW[[#This Row],[Village  Name]],SiteDB6[[Site Name]:[Pcode]],3,FALSE)</f>
        <v>0</v>
      </c>
      <c r="CA38" s="645" t="str">
        <f t="shared" si="1"/>
        <v>Covered</v>
      </c>
      <c r="CB38" s="655"/>
    </row>
    <row r="39" spans="1:80">
      <c r="A39" s="641" t="s">
        <v>3150</v>
      </c>
      <c r="B39" s="641" t="s">
        <v>2994</v>
      </c>
      <c r="C39" s="642"/>
      <c r="D39" s="642" t="s">
        <v>231</v>
      </c>
      <c r="E39" s="643" t="s">
        <v>698</v>
      </c>
      <c r="F39" s="642" t="s">
        <v>3033</v>
      </c>
      <c r="G39" s="644" t="str">
        <f>VLOOKUP(WWWW[[#This Row],[Village  Name]],SiteDB6[[Site Name]:[Location Type]],8,FALSE)</f>
        <v>Village</v>
      </c>
      <c r="H39" s="642" t="s">
        <v>3047</v>
      </c>
      <c r="I39" s="646"/>
      <c r="J39" s="646">
        <v>80</v>
      </c>
      <c r="K39" s="647">
        <v>43258</v>
      </c>
      <c r="L39" s="648">
        <v>43830</v>
      </c>
      <c r="M39" s="646"/>
      <c r="N39" s="646"/>
      <c r="O39" s="524"/>
      <c r="P39" s="646"/>
      <c r="Q39" s="646"/>
      <c r="R39" s="646"/>
      <c r="S39" s="646"/>
      <c r="T39" s="646"/>
      <c r="U39" s="649"/>
      <c r="V39" s="646">
        <v>4</v>
      </c>
      <c r="W39" s="646"/>
      <c r="X39" s="646"/>
      <c r="Y39" s="646"/>
      <c r="Z39" s="646"/>
      <c r="AA39" s="646"/>
      <c r="AB39" s="646"/>
      <c r="AC39" s="649"/>
      <c r="AD39" s="646"/>
      <c r="AE39" s="646"/>
      <c r="AF39" s="646"/>
      <c r="AG39" s="646"/>
      <c r="AH39" s="646"/>
      <c r="AI39" s="646"/>
      <c r="AJ39" s="524"/>
      <c r="AK39" s="646"/>
      <c r="AL39" s="524"/>
      <c r="AM39" s="524"/>
      <c r="AN39" s="649"/>
      <c r="AO39" s="477"/>
      <c r="AP39" s="477"/>
      <c r="AQ39" s="524"/>
      <c r="AR39" s="524"/>
      <c r="AS39" s="524"/>
      <c r="AT39"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9" s="651">
        <f>WWWW[[#This Row],[%Equitable and continuous access to sufficient quantity of safe drinking water]]*WWWW[[#This Row],[Total PoP ]]</f>
        <v>0</v>
      </c>
      <c r="AV39"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 s="651">
        <f>WWWW[[#This Row],[% Access to unimproved water points]]*WWWW[[#This Row],[Total PoP ]]</f>
        <v>0</v>
      </c>
      <c r="AX39"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9"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9" s="651">
        <f>WWWW[[#This Row],[HRP1]]/250</f>
        <v>0</v>
      </c>
      <c r="BA39" s="653">
        <f>1-WWWW[[#This Row],[% Equitable and continuous access to sufficient quantity of domestic water]]</f>
        <v>1</v>
      </c>
      <c r="BB39" s="651">
        <f>WWWW[[#This Row],[%equitable and continuous access to sufficient quantity of safe drinking and domestic water''s GAP]]*WWWW[[#This Row],[Total PoP ]]</f>
        <v>80</v>
      </c>
      <c r="BC39" s="654">
        <f>IF(WWWW[[#This Row],[Total required water points]]-WWWW[[#This Row],['#Water points coverage]]&lt;0,0,WWWW[[#This Row],[Total required water points]]-WWWW[[#This Row],['#Water points coverage]])</f>
        <v>1</v>
      </c>
      <c r="BD39" s="654">
        <f>ROUND(IF(WWWW[[#This Row],[Total PoP ]]&lt;250,1,WWWW[[#This Row],[Total PoP ]]/250),0)</f>
        <v>1</v>
      </c>
      <c r="BE3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v>
      </c>
      <c r="BF39" s="651">
        <f>WWWW[[#This Row],[% people access to functioning Latrine]]*WWWW[[#This Row],[Total PoP ]]</f>
        <v>24</v>
      </c>
      <c r="BG39" s="654">
        <f>WWWW[[#This Row],['#_of_Functioning_latrines_in_school]]*50</f>
        <v>0</v>
      </c>
      <c r="BH39" s="654">
        <f>ROUND((WWWW[[#This Row],[Total PoP ]]/6),0)</f>
        <v>13</v>
      </c>
      <c r="BI39" s="654">
        <f>IF(WWWW[[#This Row],[Total required Latrines]]-(WWWW[[#This Row],['#_of_sanitary_fly-proof_HH_latrines]])&lt;0,0,WWWW[[#This Row],[Total required Latrines]]-(WWWW[[#This Row],['#_of_sanitary_fly-proof_HH_latrines]]))</f>
        <v>9</v>
      </c>
      <c r="BJ39" s="650">
        <f>1-WWWW[[#This Row],[% people access to functioning Latrine]]</f>
        <v>0.7</v>
      </c>
      <c r="BK39"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9" s="483">
        <f>IF(WWWW[[#This Row],['#_of_functional_handwashing_facilities_at_HH_level]]*6&gt;WWWW[[#This Row],[Total PoP ]],WWWW[[#This Row],[Total PoP ]],WWWW[[#This Row],['#_of_functional_handwashing_facilities_at_HH_level]]*6)</f>
        <v>0</v>
      </c>
      <c r="BM39" s="654">
        <f>IF(WWWW[[#This Row],['# people reached by regular dedicated hygiene promotion]]&gt;WWWW[[#This Row],['# People received regular supply of hygiene items]],WWWW[[#This Row],['# people reached by regular dedicated hygiene promotion]],WWWW[[#This Row],['# People received regular supply of hygiene items]])</f>
        <v>0</v>
      </c>
      <c r="BN39" s="653">
        <f>IF(WWWW[[#This Row],[HRP3]]/WWWW[[#This Row],[Total PoP ]]&gt;100%,100%,WWWW[[#This Row],[HRP3]]/WWWW[[#This Row],[Total PoP ]])</f>
        <v>0</v>
      </c>
      <c r="BO39" s="650">
        <f>1-WWWW[[#This Row],[Hygiene Coverage%]]</f>
        <v>1</v>
      </c>
      <c r="BP39" s="652">
        <f>WWWW[[#This Row],['# people reached by regular dedicated hygiene promotion]]/WWWW[[#This Row],[Total PoP ]]</f>
        <v>0</v>
      </c>
      <c r="BQ3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 s="478">
        <f>WWWW[[#This Row],['#_of_affected_women_and_girls_receiving_a_sufficient_quantity_of_sanitary_pads]]</f>
        <v>0</v>
      </c>
      <c r="BS39" s="524">
        <f>IF(WWWW[[#This Row],['# People with access to soap]]&gt;WWWW[[#This Row],['# People with access to Sanity Pads]],WWWW[[#This Row],['# People with access to soap]],WWWW[[#This Row],['# People with access to Sanity Pads]])</f>
        <v>0</v>
      </c>
      <c r="BT39" s="483" t="str">
        <f>IF(OR(WWWW[[#This Row],['#of students in school]]="",WWWW[[#This Row],['#of students in school]]=0),"No","Yes")</f>
        <v>No</v>
      </c>
      <c r="BU39" s="645" t="str">
        <f>VLOOKUP(WWWW[[#This Row],[Village  Name]],SiteDB6[[Site Name]:[Location Type 1]],9,FALSE)</f>
        <v>Village</v>
      </c>
      <c r="BV39" s="645" t="str">
        <f>VLOOKUP(WWWW[[#This Row],[Village  Name]],SiteDB6[[Site Name]:[Type of Accommodation]],10,FALSE)</f>
        <v>Village</v>
      </c>
      <c r="BW39" s="645">
        <f>VLOOKUP(WWWW[[#This Row],[Village  Name]],SiteDB6[[Site Name]:[Ethnic or GCA/NGCA]],11,FALSE)</f>
        <v>0</v>
      </c>
      <c r="BX39" s="645">
        <f>VLOOKUP(WWWW[[#This Row],[Village  Name]],SiteDB6[[Site Name]:[Lat]],12,FALSE)</f>
        <v>0</v>
      </c>
      <c r="BY39" s="645">
        <f>VLOOKUP(WWWW[[#This Row],[Village  Name]],SiteDB6[[Site Name]:[Long]],13,FALSE)</f>
        <v>0</v>
      </c>
      <c r="BZ39" s="645">
        <f>VLOOKUP(WWWW[[#This Row],[Village  Name]],SiteDB6[[Site Name]:[Pcode]],3,FALSE)</f>
        <v>0</v>
      </c>
      <c r="CA39" s="645" t="str">
        <f t="shared" si="1"/>
        <v>Covered</v>
      </c>
      <c r="CB39" s="655"/>
    </row>
    <row r="40" spans="1:80">
      <c r="A40" s="641" t="s">
        <v>3150</v>
      </c>
      <c r="B40" s="641" t="s">
        <v>2994</v>
      </c>
      <c r="C40" s="642"/>
      <c r="D40" s="642" t="s">
        <v>231</v>
      </c>
      <c r="E40" s="643" t="s">
        <v>698</v>
      </c>
      <c r="F40" s="642" t="s">
        <v>3033</v>
      </c>
      <c r="G40" s="644" t="str">
        <f>VLOOKUP(WWWW[[#This Row],[Village  Name]],SiteDB6[[Site Name]:[Location Type]],8,FALSE)</f>
        <v>Village</v>
      </c>
      <c r="H40" s="642" t="s">
        <v>3048</v>
      </c>
      <c r="I40" s="646"/>
      <c r="J40" s="646">
        <v>292</v>
      </c>
      <c r="K40" s="647">
        <v>43258</v>
      </c>
      <c r="L40" s="648">
        <v>43830</v>
      </c>
      <c r="M40" s="646"/>
      <c r="N40" s="646"/>
      <c r="O40" s="524"/>
      <c r="P40" s="646"/>
      <c r="Q40" s="646"/>
      <c r="R40" s="646"/>
      <c r="S40" s="646"/>
      <c r="T40" s="646"/>
      <c r="U40" s="649"/>
      <c r="V40" s="646">
        <v>34</v>
      </c>
      <c r="W40" s="646"/>
      <c r="X40" s="646"/>
      <c r="Y40" s="646"/>
      <c r="Z40" s="646"/>
      <c r="AA40" s="646"/>
      <c r="AB40" s="646"/>
      <c r="AC40" s="649"/>
      <c r="AD40" s="646"/>
      <c r="AE40" s="646"/>
      <c r="AF40" s="646"/>
      <c r="AG40" s="646"/>
      <c r="AH40" s="646"/>
      <c r="AI40" s="646"/>
      <c r="AJ40" s="524"/>
      <c r="AK40" s="646"/>
      <c r="AL40" s="524"/>
      <c r="AM40" s="524"/>
      <c r="AN40" s="649"/>
      <c r="AO40" s="477"/>
      <c r="AP40" s="477"/>
      <c r="AQ40" s="524"/>
      <c r="AR40" s="524"/>
      <c r="AS40" s="524"/>
      <c r="AT40"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0" s="651">
        <f>WWWW[[#This Row],[%Equitable and continuous access to sufficient quantity of safe drinking water]]*WWWW[[#This Row],[Total PoP ]]</f>
        <v>0</v>
      </c>
      <c r="AV40"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 s="651">
        <f>WWWW[[#This Row],[% Access to unimproved water points]]*WWWW[[#This Row],[Total PoP ]]</f>
        <v>0</v>
      </c>
      <c r="AX40"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0"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0" s="651">
        <f>WWWW[[#This Row],[HRP1]]/250</f>
        <v>0</v>
      </c>
      <c r="BA40" s="653">
        <f>1-WWWW[[#This Row],[% Equitable and continuous access to sufficient quantity of domestic water]]</f>
        <v>1</v>
      </c>
      <c r="BB40" s="651">
        <f>WWWW[[#This Row],[%equitable and continuous access to sufficient quantity of safe drinking and domestic water''s GAP]]*WWWW[[#This Row],[Total PoP ]]</f>
        <v>292</v>
      </c>
      <c r="BC40" s="654">
        <f>IF(WWWW[[#This Row],[Total required water points]]-WWWW[[#This Row],['#Water points coverage]]&lt;0,0,WWWW[[#This Row],[Total required water points]]-WWWW[[#This Row],['#Water points coverage]])</f>
        <v>1</v>
      </c>
      <c r="BD40" s="654">
        <f>ROUND(IF(WWWW[[#This Row],[Total PoP ]]&lt;250,1,WWWW[[#This Row],[Total PoP ]]/250),0)</f>
        <v>1</v>
      </c>
      <c r="BE4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0.69863013698630139</v>
      </c>
      <c r="BF40" s="651">
        <f>WWWW[[#This Row],[% people access to functioning Latrine]]*WWWW[[#This Row],[Total PoP ]]</f>
        <v>204</v>
      </c>
      <c r="BG40" s="654">
        <f>WWWW[[#This Row],['#_of_Functioning_latrines_in_school]]*50</f>
        <v>0</v>
      </c>
      <c r="BH40" s="654">
        <f>ROUND((WWWW[[#This Row],[Total PoP ]]/6),0)</f>
        <v>49</v>
      </c>
      <c r="BI40" s="654">
        <f>IF(WWWW[[#This Row],[Total required Latrines]]-(WWWW[[#This Row],['#_of_sanitary_fly-proof_HH_latrines]])&lt;0,0,WWWW[[#This Row],[Total required Latrines]]-(WWWW[[#This Row],['#_of_sanitary_fly-proof_HH_latrines]]))</f>
        <v>15</v>
      </c>
      <c r="BJ40" s="650">
        <f>1-WWWW[[#This Row],[% people access to functioning Latrine]]</f>
        <v>0.30136986301369861</v>
      </c>
      <c r="BK40"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0" s="483">
        <f>IF(WWWW[[#This Row],['#_of_functional_handwashing_facilities_at_HH_level]]*6&gt;WWWW[[#This Row],[Total PoP ]],WWWW[[#This Row],[Total PoP ]],WWWW[[#This Row],['#_of_functional_handwashing_facilities_at_HH_level]]*6)</f>
        <v>0</v>
      </c>
      <c r="BM40" s="654">
        <f>IF(WWWW[[#This Row],['# people reached by regular dedicated hygiene promotion]]&gt;WWWW[[#This Row],['# People received regular supply of hygiene items]],WWWW[[#This Row],['# people reached by regular dedicated hygiene promotion]],WWWW[[#This Row],['# People received regular supply of hygiene items]])</f>
        <v>0</v>
      </c>
      <c r="BN40" s="653">
        <f>IF(WWWW[[#This Row],[HRP3]]/WWWW[[#This Row],[Total PoP ]]&gt;100%,100%,WWWW[[#This Row],[HRP3]]/WWWW[[#This Row],[Total PoP ]])</f>
        <v>0</v>
      </c>
      <c r="BO40" s="650">
        <f>1-WWWW[[#This Row],[Hygiene Coverage%]]</f>
        <v>1</v>
      </c>
      <c r="BP40" s="652">
        <f>WWWW[[#This Row],['# people reached by regular dedicated hygiene promotion]]/WWWW[[#This Row],[Total PoP ]]</f>
        <v>0</v>
      </c>
      <c r="BQ4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 s="478">
        <f>WWWW[[#This Row],['#_of_affected_women_and_girls_receiving_a_sufficient_quantity_of_sanitary_pads]]</f>
        <v>0</v>
      </c>
      <c r="BS40" s="524">
        <f>IF(WWWW[[#This Row],['# People with access to soap]]&gt;WWWW[[#This Row],['# People with access to Sanity Pads]],WWWW[[#This Row],['# People with access to soap]],WWWW[[#This Row],['# People with access to Sanity Pads]])</f>
        <v>0</v>
      </c>
      <c r="BT40" s="483" t="str">
        <f>IF(OR(WWWW[[#This Row],['#of students in school]]="",WWWW[[#This Row],['#of students in school]]=0),"No","Yes")</f>
        <v>No</v>
      </c>
      <c r="BU40" s="645" t="str">
        <f>VLOOKUP(WWWW[[#This Row],[Village  Name]],SiteDB6[[Site Name]:[Location Type 1]],9,FALSE)</f>
        <v>Village</v>
      </c>
      <c r="BV40" s="645" t="str">
        <f>VLOOKUP(WWWW[[#This Row],[Village  Name]],SiteDB6[[Site Name]:[Type of Accommodation]],10,FALSE)</f>
        <v>Village</v>
      </c>
      <c r="BW40" s="645">
        <f>VLOOKUP(WWWW[[#This Row],[Village  Name]],SiteDB6[[Site Name]:[Ethnic or GCA/NGCA]],11,FALSE)</f>
        <v>0</v>
      </c>
      <c r="BX40" s="645">
        <f>VLOOKUP(WWWW[[#This Row],[Village  Name]],SiteDB6[[Site Name]:[Lat]],12,FALSE)</f>
        <v>0</v>
      </c>
      <c r="BY40" s="645">
        <f>VLOOKUP(WWWW[[#This Row],[Village  Name]],SiteDB6[[Site Name]:[Long]],13,FALSE)</f>
        <v>0</v>
      </c>
      <c r="BZ40" s="645">
        <f>VLOOKUP(WWWW[[#This Row],[Village  Name]],SiteDB6[[Site Name]:[Pcode]],3,FALSE)</f>
        <v>0</v>
      </c>
      <c r="CA40" s="645" t="str">
        <f t="shared" si="1"/>
        <v>Covered</v>
      </c>
      <c r="CB40" s="655"/>
    </row>
    <row r="41" spans="1:80">
      <c r="A41" s="641" t="s">
        <v>3150</v>
      </c>
      <c r="B41" s="641" t="s">
        <v>2994</v>
      </c>
      <c r="C41" s="642"/>
      <c r="D41" s="642" t="s">
        <v>231</v>
      </c>
      <c r="E41" s="643" t="s">
        <v>698</v>
      </c>
      <c r="F41" s="642" t="s">
        <v>3033</v>
      </c>
      <c r="G41" s="644" t="str">
        <f>VLOOKUP(WWWW[[#This Row],[Village  Name]],SiteDB6[[Site Name]:[Location Type]],8,FALSE)</f>
        <v>Village</v>
      </c>
      <c r="H41" s="642" t="s">
        <v>3049</v>
      </c>
      <c r="I41" s="646"/>
      <c r="J41" s="646">
        <v>75</v>
      </c>
      <c r="K41" s="647">
        <v>43258</v>
      </c>
      <c r="L41" s="648">
        <v>43830</v>
      </c>
      <c r="M41" s="646"/>
      <c r="N41" s="646"/>
      <c r="O41" s="524"/>
      <c r="P41" s="646"/>
      <c r="Q41" s="646"/>
      <c r="R41" s="646"/>
      <c r="S41" s="646"/>
      <c r="T41" s="646"/>
      <c r="U41" s="649"/>
      <c r="V41" s="646">
        <v>2</v>
      </c>
      <c r="W41" s="646"/>
      <c r="X41" s="646"/>
      <c r="Y41" s="646"/>
      <c r="Z41" s="646"/>
      <c r="AA41" s="646"/>
      <c r="AB41" s="646"/>
      <c r="AC41" s="649"/>
      <c r="AD41" s="646"/>
      <c r="AE41" s="646"/>
      <c r="AF41" s="646"/>
      <c r="AG41" s="646"/>
      <c r="AH41" s="646"/>
      <c r="AI41" s="646"/>
      <c r="AJ41" s="524"/>
      <c r="AK41" s="646"/>
      <c r="AL41" s="524"/>
      <c r="AM41" s="524"/>
      <c r="AN41" s="649"/>
      <c r="AO41" s="477"/>
      <c r="AP41" s="477"/>
      <c r="AQ41" s="524"/>
      <c r="AR41" s="524"/>
      <c r="AS41" s="524"/>
      <c r="AT41"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1" s="651">
        <f>WWWW[[#This Row],[%Equitable and continuous access to sufficient quantity of safe drinking water]]*WWWW[[#This Row],[Total PoP ]]</f>
        <v>0</v>
      </c>
      <c r="AV41"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1" s="651">
        <f>WWWW[[#This Row],[% Access to unimproved water points]]*WWWW[[#This Row],[Total PoP ]]</f>
        <v>0</v>
      </c>
      <c r="AX41"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1"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1" s="651">
        <f>WWWW[[#This Row],[HRP1]]/250</f>
        <v>0</v>
      </c>
      <c r="BA41" s="653">
        <f>1-WWWW[[#This Row],[% Equitable and continuous access to sufficient quantity of domestic water]]</f>
        <v>1</v>
      </c>
      <c r="BB41" s="651">
        <f>WWWW[[#This Row],[%equitable and continuous access to sufficient quantity of safe drinking and domestic water''s GAP]]*WWWW[[#This Row],[Total PoP ]]</f>
        <v>75</v>
      </c>
      <c r="BC41" s="654">
        <f>IF(WWWW[[#This Row],[Total required water points]]-WWWW[[#This Row],['#Water points coverage]]&lt;0,0,WWWW[[#This Row],[Total required water points]]-WWWW[[#This Row],['#Water points coverage]])</f>
        <v>1</v>
      </c>
      <c r="BD41" s="654">
        <f>ROUND(IF(WWWW[[#This Row],[Total PoP ]]&lt;250,1,WWWW[[#This Row],[Total PoP ]]/250),0)</f>
        <v>1</v>
      </c>
      <c r="BE4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0.16</v>
      </c>
      <c r="BF41" s="651">
        <f>WWWW[[#This Row],[% people access to functioning Latrine]]*WWWW[[#This Row],[Total PoP ]]</f>
        <v>12</v>
      </c>
      <c r="BG41" s="654">
        <f>WWWW[[#This Row],['#_of_Functioning_latrines_in_school]]*50</f>
        <v>0</v>
      </c>
      <c r="BH41" s="654">
        <f>ROUND((WWWW[[#This Row],[Total PoP ]]/6),0)</f>
        <v>13</v>
      </c>
      <c r="BI41" s="654">
        <f>IF(WWWW[[#This Row],[Total required Latrines]]-(WWWW[[#This Row],['#_of_sanitary_fly-proof_HH_latrines]])&lt;0,0,WWWW[[#This Row],[Total required Latrines]]-(WWWW[[#This Row],['#_of_sanitary_fly-proof_HH_latrines]]))</f>
        <v>11</v>
      </c>
      <c r="BJ41" s="650">
        <f>1-WWWW[[#This Row],[% people access to functioning Latrine]]</f>
        <v>0.84</v>
      </c>
      <c r="BK41"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1" s="483">
        <f>IF(WWWW[[#This Row],['#_of_functional_handwashing_facilities_at_HH_level]]*6&gt;WWWW[[#This Row],[Total PoP ]],WWWW[[#This Row],[Total PoP ]],WWWW[[#This Row],['#_of_functional_handwashing_facilities_at_HH_level]]*6)</f>
        <v>0</v>
      </c>
      <c r="BM41" s="654">
        <f>IF(WWWW[[#This Row],['# people reached by regular dedicated hygiene promotion]]&gt;WWWW[[#This Row],['# People received regular supply of hygiene items]],WWWW[[#This Row],['# people reached by regular dedicated hygiene promotion]],WWWW[[#This Row],['# People received regular supply of hygiene items]])</f>
        <v>0</v>
      </c>
      <c r="BN41" s="653">
        <f>IF(WWWW[[#This Row],[HRP3]]/WWWW[[#This Row],[Total PoP ]]&gt;100%,100%,WWWW[[#This Row],[HRP3]]/WWWW[[#This Row],[Total PoP ]])</f>
        <v>0</v>
      </c>
      <c r="BO41" s="650">
        <f>1-WWWW[[#This Row],[Hygiene Coverage%]]</f>
        <v>1</v>
      </c>
      <c r="BP41" s="652">
        <f>WWWW[[#This Row],['# people reached by regular dedicated hygiene promotion]]/WWWW[[#This Row],[Total PoP ]]</f>
        <v>0</v>
      </c>
      <c r="BQ4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1" s="478">
        <f>WWWW[[#This Row],['#_of_affected_women_and_girls_receiving_a_sufficient_quantity_of_sanitary_pads]]</f>
        <v>0</v>
      </c>
      <c r="BS41" s="524">
        <f>IF(WWWW[[#This Row],['# People with access to soap]]&gt;WWWW[[#This Row],['# People with access to Sanity Pads]],WWWW[[#This Row],['# People with access to soap]],WWWW[[#This Row],['# People with access to Sanity Pads]])</f>
        <v>0</v>
      </c>
      <c r="BT41" s="483" t="str">
        <f>IF(OR(WWWW[[#This Row],['#of students in school]]="",WWWW[[#This Row],['#of students in school]]=0),"No","Yes")</f>
        <v>No</v>
      </c>
      <c r="BU41" s="645" t="str">
        <f>VLOOKUP(WWWW[[#This Row],[Village  Name]],SiteDB6[[Site Name]:[Location Type 1]],9,FALSE)</f>
        <v>Village</v>
      </c>
      <c r="BV41" s="645" t="str">
        <f>VLOOKUP(WWWW[[#This Row],[Village  Name]],SiteDB6[[Site Name]:[Type of Accommodation]],10,FALSE)</f>
        <v>Village</v>
      </c>
      <c r="BW41" s="645">
        <f>VLOOKUP(WWWW[[#This Row],[Village  Name]],SiteDB6[[Site Name]:[Ethnic or GCA/NGCA]],11,FALSE)</f>
        <v>0</v>
      </c>
      <c r="BX41" s="645">
        <f>VLOOKUP(WWWW[[#This Row],[Village  Name]],SiteDB6[[Site Name]:[Lat]],12,FALSE)</f>
        <v>0</v>
      </c>
      <c r="BY41" s="645">
        <f>VLOOKUP(WWWW[[#This Row],[Village  Name]],SiteDB6[[Site Name]:[Long]],13,FALSE)</f>
        <v>0</v>
      </c>
      <c r="BZ41" s="645">
        <f>VLOOKUP(WWWW[[#This Row],[Village  Name]],SiteDB6[[Site Name]:[Pcode]],3,FALSE)</f>
        <v>0</v>
      </c>
      <c r="CA41" s="645" t="str">
        <f t="shared" si="1"/>
        <v>Covered</v>
      </c>
      <c r="CB41" s="655"/>
    </row>
    <row r="42" spans="1:80">
      <c r="A42" s="641" t="s">
        <v>3150</v>
      </c>
      <c r="B42" s="641" t="s">
        <v>2994</v>
      </c>
      <c r="C42" s="642"/>
      <c r="D42" s="642" t="s">
        <v>231</v>
      </c>
      <c r="E42" s="643" t="s">
        <v>698</v>
      </c>
      <c r="F42" s="642" t="s">
        <v>3033</v>
      </c>
      <c r="G42" s="644" t="str">
        <f>VLOOKUP(WWWW[[#This Row],[Village  Name]],SiteDB6[[Site Name]:[Location Type]],8,FALSE)</f>
        <v>Village</v>
      </c>
      <c r="H42" s="642" t="s">
        <v>3050</v>
      </c>
      <c r="I42" s="646"/>
      <c r="J42" s="646">
        <v>159</v>
      </c>
      <c r="K42" s="647">
        <v>43258</v>
      </c>
      <c r="L42" s="648">
        <v>43830</v>
      </c>
      <c r="M42" s="646"/>
      <c r="N42" s="646"/>
      <c r="O42" s="524"/>
      <c r="P42" s="646"/>
      <c r="Q42" s="646"/>
      <c r="R42" s="646"/>
      <c r="S42" s="646"/>
      <c r="T42" s="646"/>
      <c r="U42" s="649"/>
      <c r="V42" s="646">
        <v>19</v>
      </c>
      <c r="W42" s="646"/>
      <c r="X42" s="646"/>
      <c r="Y42" s="646"/>
      <c r="Z42" s="646"/>
      <c r="AA42" s="646"/>
      <c r="AB42" s="646"/>
      <c r="AC42" s="649"/>
      <c r="AD42" s="646"/>
      <c r="AE42" s="646"/>
      <c r="AF42" s="646"/>
      <c r="AG42" s="646"/>
      <c r="AH42" s="646"/>
      <c r="AI42" s="646"/>
      <c r="AJ42" s="524"/>
      <c r="AK42" s="646"/>
      <c r="AL42" s="524"/>
      <c r="AM42" s="524"/>
      <c r="AN42" s="649"/>
      <c r="AO42" s="477"/>
      <c r="AP42" s="477"/>
      <c r="AQ42" s="524"/>
      <c r="AR42" s="524"/>
      <c r="AS42" s="524"/>
      <c r="AT42"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2" s="651">
        <f>WWWW[[#This Row],[%Equitable and continuous access to sufficient quantity of safe drinking water]]*WWWW[[#This Row],[Total PoP ]]</f>
        <v>0</v>
      </c>
      <c r="AV42"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2" s="651">
        <f>WWWW[[#This Row],[% Access to unimproved water points]]*WWWW[[#This Row],[Total PoP ]]</f>
        <v>0</v>
      </c>
      <c r="AX42"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2"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2" s="651">
        <f>WWWW[[#This Row],[HRP1]]/250</f>
        <v>0</v>
      </c>
      <c r="BA42" s="653">
        <f>1-WWWW[[#This Row],[% Equitable and continuous access to sufficient quantity of domestic water]]</f>
        <v>1</v>
      </c>
      <c r="BB42" s="651">
        <f>WWWW[[#This Row],[%equitable and continuous access to sufficient quantity of safe drinking and domestic water''s GAP]]*WWWW[[#This Row],[Total PoP ]]</f>
        <v>159</v>
      </c>
      <c r="BC42" s="654">
        <f>IF(WWWW[[#This Row],[Total required water points]]-WWWW[[#This Row],['#Water points coverage]]&lt;0,0,WWWW[[#This Row],[Total required water points]]-WWWW[[#This Row],['#Water points coverage]])</f>
        <v>1</v>
      </c>
      <c r="BD42" s="654">
        <f>ROUND(IF(WWWW[[#This Row],[Total PoP ]]&lt;250,1,WWWW[[#This Row],[Total PoP ]]/250),0)</f>
        <v>1</v>
      </c>
      <c r="BE4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0.71698113207547165</v>
      </c>
      <c r="BF42" s="651">
        <f>WWWW[[#This Row],[% people access to functioning Latrine]]*WWWW[[#This Row],[Total PoP ]]</f>
        <v>113.99999999999999</v>
      </c>
      <c r="BG42" s="654">
        <f>WWWW[[#This Row],['#_of_Functioning_latrines_in_school]]*50</f>
        <v>0</v>
      </c>
      <c r="BH42" s="654">
        <f>ROUND((WWWW[[#This Row],[Total PoP ]]/6),0)</f>
        <v>27</v>
      </c>
      <c r="BI42" s="654">
        <f>IF(WWWW[[#This Row],[Total required Latrines]]-(WWWW[[#This Row],['#_of_sanitary_fly-proof_HH_latrines]])&lt;0,0,WWWW[[#This Row],[Total required Latrines]]-(WWWW[[#This Row],['#_of_sanitary_fly-proof_HH_latrines]]))</f>
        <v>8</v>
      </c>
      <c r="BJ42" s="650">
        <f>1-WWWW[[#This Row],[% people access to functioning Latrine]]</f>
        <v>0.28301886792452835</v>
      </c>
      <c r="BK42"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2" s="483">
        <f>IF(WWWW[[#This Row],['#_of_functional_handwashing_facilities_at_HH_level]]*6&gt;WWWW[[#This Row],[Total PoP ]],WWWW[[#This Row],[Total PoP ]],WWWW[[#This Row],['#_of_functional_handwashing_facilities_at_HH_level]]*6)</f>
        <v>0</v>
      </c>
      <c r="BM42" s="654">
        <f>IF(WWWW[[#This Row],['# people reached by regular dedicated hygiene promotion]]&gt;WWWW[[#This Row],['# People received regular supply of hygiene items]],WWWW[[#This Row],['# people reached by regular dedicated hygiene promotion]],WWWW[[#This Row],['# People received regular supply of hygiene items]])</f>
        <v>0</v>
      </c>
      <c r="BN42" s="653">
        <f>IF(WWWW[[#This Row],[HRP3]]/WWWW[[#This Row],[Total PoP ]]&gt;100%,100%,WWWW[[#This Row],[HRP3]]/WWWW[[#This Row],[Total PoP ]])</f>
        <v>0</v>
      </c>
      <c r="BO42" s="650">
        <f>1-WWWW[[#This Row],[Hygiene Coverage%]]</f>
        <v>1</v>
      </c>
      <c r="BP42" s="652">
        <f>WWWW[[#This Row],['# people reached by regular dedicated hygiene promotion]]/WWWW[[#This Row],[Total PoP ]]</f>
        <v>0</v>
      </c>
      <c r="BQ4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2" s="478">
        <f>WWWW[[#This Row],['#_of_affected_women_and_girls_receiving_a_sufficient_quantity_of_sanitary_pads]]</f>
        <v>0</v>
      </c>
      <c r="BS42" s="524">
        <f>IF(WWWW[[#This Row],['# People with access to soap]]&gt;WWWW[[#This Row],['# People with access to Sanity Pads]],WWWW[[#This Row],['# People with access to soap]],WWWW[[#This Row],['# People with access to Sanity Pads]])</f>
        <v>0</v>
      </c>
      <c r="BT42" s="483" t="str">
        <f>IF(OR(WWWW[[#This Row],['#of students in school]]="",WWWW[[#This Row],['#of students in school]]=0),"No","Yes")</f>
        <v>No</v>
      </c>
      <c r="BU42" s="645" t="str">
        <f>VLOOKUP(WWWW[[#This Row],[Village  Name]],SiteDB6[[Site Name]:[Location Type 1]],9,FALSE)</f>
        <v>Village</v>
      </c>
      <c r="BV42" s="645" t="str">
        <f>VLOOKUP(WWWW[[#This Row],[Village  Name]],SiteDB6[[Site Name]:[Type of Accommodation]],10,FALSE)</f>
        <v>Village</v>
      </c>
      <c r="BW42" s="645">
        <f>VLOOKUP(WWWW[[#This Row],[Village  Name]],SiteDB6[[Site Name]:[Ethnic or GCA/NGCA]],11,FALSE)</f>
        <v>0</v>
      </c>
      <c r="BX42" s="645">
        <f>VLOOKUP(WWWW[[#This Row],[Village  Name]],SiteDB6[[Site Name]:[Lat]],12,FALSE)</f>
        <v>0</v>
      </c>
      <c r="BY42" s="645">
        <f>VLOOKUP(WWWW[[#This Row],[Village  Name]],SiteDB6[[Site Name]:[Long]],13,FALSE)</f>
        <v>0</v>
      </c>
      <c r="BZ42" s="645">
        <f>VLOOKUP(WWWW[[#This Row],[Village  Name]],SiteDB6[[Site Name]:[Pcode]],3,FALSE)</f>
        <v>0</v>
      </c>
      <c r="CA42" s="645" t="str">
        <f t="shared" si="1"/>
        <v>Covered</v>
      </c>
      <c r="CB42" s="655"/>
    </row>
    <row r="43" spans="1:80">
      <c r="A43" s="641" t="s">
        <v>3150</v>
      </c>
      <c r="B43" s="641" t="s">
        <v>2994</v>
      </c>
      <c r="C43" s="642"/>
      <c r="D43" s="642" t="s">
        <v>231</v>
      </c>
      <c r="E43" s="643" t="s">
        <v>698</v>
      </c>
      <c r="F43" s="642" t="s">
        <v>3033</v>
      </c>
      <c r="G43" s="644" t="str">
        <f>VLOOKUP(WWWW[[#This Row],[Village  Name]],SiteDB6[[Site Name]:[Location Type]],8,FALSE)</f>
        <v>Village</v>
      </c>
      <c r="H43" s="642" t="s">
        <v>3051</v>
      </c>
      <c r="I43" s="646"/>
      <c r="J43" s="646">
        <v>101</v>
      </c>
      <c r="K43" s="647">
        <v>43258</v>
      </c>
      <c r="L43" s="648">
        <v>43830</v>
      </c>
      <c r="M43" s="646"/>
      <c r="N43" s="646"/>
      <c r="O43" s="524"/>
      <c r="P43" s="646"/>
      <c r="Q43" s="646"/>
      <c r="R43" s="646"/>
      <c r="S43" s="646"/>
      <c r="T43" s="646"/>
      <c r="U43" s="649"/>
      <c r="V43" s="646">
        <v>13</v>
      </c>
      <c r="W43" s="646"/>
      <c r="X43" s="646"/>
      <c r="Y43" s="646"/>
      <c r="Z43" s="646"/>
      <c r="AA43" s="646"/>
      <c r="AB43" s="646"/>
      <c r="AC43" s="649"/>
      <c r="AD43" s="646"/>
      <c r="AE43" s="646"/>
      <c r="AF43" s="646"/>
      <c r="AG43" s="646"/>
      <c r="AH43" s="646"/>
      <c r="AI43" s="646"/>
      <c r="AJ43" s="524"/>
      <c r="AK43" s="646"/>
      <c r="AL43" s="524"/>
      <c r="AM43" s="524"/>
      <c r="AN43" s="649"/>
      <c r="AO43" s="477"/>
      <c r="AP43" s="477"/>
      <c r="AQ43" s="524"/>
      <c r="AR43" s="524"/>
      <c r="AS43" s="524"/>
      <c r="AT43"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3" s="651">
        <f>WWWW[[#This Row],[%Equitable and continuous access to sufficient quantity of safe drinking water]]*WWWW[[#This Row],[Total PoP ]]</f>
        <v>0</v>
      </c>
      <c r="AV43"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3" s="651">
        <f>WWWW[[#This Row],[% Access to unimproved water points]]*WWWW[[#This Row],[Total PoP ]]</f>
        <v>0</v>
      </c>
      <c r="AX43"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3"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3" s="651">
        <f>WWWW[[#This Row],[HRP1]]/250</f>
        <v>0</v>
      </c>
      <c r="BA43" s="653">
        <f>1-WWWW[[#This Row],[% Equitable and continuous access to sufficient quantity of domestic water]]</f>
        <v>1</v>
      </c>
      <c r="BB43" s="651">
        <f>WWWW[[#This Row],[%equitable and continuous access to sufficient quantity of safe drinking and domestic water''s GAP]]*WWWW[[#This Row],[Total PoP ]]</f>
        <v>101</v>
      </c>
      <c r="BC43" s="654">
        <f>IF(WWWW[[#This Row],[Total required water points]]-WWWW[[#This Row],['#Water points coverage]]&lt;0,0,WWWW[[#This Row],[Total required water points]]-WWWW[[#This Row],['#Water points coverage]])</f>
        <v>1</v>
      </c>
      <c r="BD43" s="654">
        <f>ROUND(IF(WWWW[[#This Row],[Total PoP ]]&lt;250,1,WWWW[[#This Row],[Total PoP ]]/250),0)</f>
        <v>1</v>
      </c>
      <c r="BE4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0.7722772277227723</v>
      </c>
      <c r="BF43" s="651">
        <f>WWWW[[#This Row],[% people access to functioning Latrine]]*WWWW[[#This Row],[Total PoP ]]</f>
        <v>78</v>
      </c>
      <c r="BG43" s="654">
        <f>WWWW[[#This Row],['#_of_Functioning_latrines_in_school]]*50</f>
        <v>0</v>
      </c>
      <c r="BH43" s="654">
        <f>ROUND((WWWW[[#This Row],[Total PoP ]]/6),0)</f>
        <v>17</v>
      </c>
      <c r="BI43" s="654">
        <f>IF(WWWW[[#This Row],[Total required Latrines]]-(WWWW[[#This Row],['#_of_sanitary_fly-proof_HH_latrines]])&lt;0,0,WWWW[[#This Row],[Total required Latrines]]-(WWWW[[#This Row],['#_of_sanitary_fly-proof_HH_latrines]]))</f>
        <v>4</v>
      </c>
      <c r="BJ43" s="650">
        <f>1-WWWW[[#This Row],[% people access to functioning Latrine]]</f>
        <v>0.2277227722772277</v>
      </c>
      <c r="BK43"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3" s="483">
        <f>IF(WWWW[[#This Row],['#_of_functional_handwashing_facilities_at_HH_level]]*6&gt;WWWW[[#This Row],[Total PoP ]],WWWW[[#This Row],[Total PoP ]],WWWW[[#This Row],['#_of_functional_handwashing_facilities_at_HH_level]]*6)</f>
        <v>0</v>
      </c>
      <c r="BM43" s="654">
        <f>IF(WWWW[[#This Row],['# people reached by regular dedicated hygiene promotion]]&gt;WWWW[[#This Row],['# People received regular supply of hygiene items]],WWWW[[#This Row],['# people reached by regular dedicated hygiene promotion]],WWWW[[#This Row],['# People received regular supply of hygiene items]])</f>
        <v>0</v>
      </c>
      <c r="BN43" s="653">
        <f>IF(WWWW[[#This Row],[HRP3]]/WWWW[[#This Row],[Total PoP ]]&gt;100%,100%,WWWW[[#This Row],[HRP3]]/WWWW[[#This Row],[Total PoP ]])</f>
        <v>0</v>
      </c>
      <c r="BO43" s="650">
        <f>1-WWWW[[#This Row],[Hygiene Coverage%]]</f>
        <v>1</v>
      </c>
      <c r="BP43" s="652">
        <f>WWWW[[#This Row],['# people reached by regular dedicated hygiene promotion]]/WWWW[[#This Row],[Total PoP ]]</f>
        <v>0</v>
      </c>
      <c r="BQ4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3" s="478">
        <f>WWWW[[#This Row],['#_of_affected_women_and_girls_receiving_a_sufficient_quantity_of_sanitary_pads]]</f>
        <v>0</v>
      </c>
      <c r="BS43" s="524">
        <f>IF(WWWW[[#This Row],['# People with access to soap]]&gt;WWWW[[#This Row],['# People with access to Sanity Pads]],WWWW[[#This Row],['# People with access to soap]],WWWW[[#This Row],['# People with access to Sanity Pads]])</f>
        <v>0</v>
      </c>
      <c r="BT43" s="483" t="str">
        <f>IF(OR(WWWW[[#This Row],['#of students in school]]="",WWWW[[#This Row],['#of students in school]]=0),"No","Yes")</f>
        <v>No</v>
      </c>
      <c r="BU43" s="645" t="str">
        <f>VLOOKUP(WWWW[[#This Row],[Village  Name]],SiteDB6[[Site Name]:[Location Type 1]],9,FALSE)</f>
        <v>Village</v>
      </c>
      <c r="BV43" s="645" t="str">
        <f>VLOOKUP(WWWW[[#This Row],[Village  Name]],SiteDB6[[Site Name]:[Type of Accommodation]],10,FALSE)</f>
        <v>Village</v>
      </c>
      <c r="BW43" s="645">
        <f>VLOOKUP(WWWW[[#This Row],[Village  Name]],SiteDB6[[Site Name]:[Ethnic or GCA/NGCA]],11,FALSE)</f>
        <v>0</v>
      </c>
      <c r="BX43" s="645">
        <f>VLOOKUP(WWWW[[#This Row],[Village  Name]],SiteDB6[[Site Name]:[Lat]],12,FALSE)</f>
        <v>0</v>
      </c>
      <c r="BY43" s="645">
        <f>VLOOKUP(WWWW[[#This Row],[Village  Name]],SiteDB6[[Site Name]:[Long]],13,FALSE)</f>
        <v>0</v>
      </c>
      <c r="BZ43" s="645">
        <f>VLOOKUP(WWWW[[#This Row],[Village  Name]],SiteDB6[[Site Name]:[Pcode]],3,FALSE)</f>
        <v>0</v>
      </c>
      <c r="CA43" s="645" t="str">
        <f t="shared" si="1"/>
        <v>Covered</v>
      </c>
      <c r="CB43" s="655"/>
    </row>
    <row r="44" spans="1:80">
      <c r="A44" s="641" t="s">
        <v>3150</v>
      </c>
      <c r="B44" s="641" t="s">
        <v>2994</v>
      </c>
      <c r="C44" s="642"/>
      <c r="D44" s="642" t="s">
        <v>231</v>
      </c>
      <c r="E44" s="643" t="s">
        <v>698</v>
      </c>
      <c r="F44" s="642" t="s">
        <v>3033</v>
      </c>
      <c r="G44" s="644" t="str">
        <f>VLOOKUP(WWWW[[#This Row],[Village  Name]],SiteDB6[[Site Name]:[Location Type]],8,FALSE)</f>
        <v>Village</v>
      </c>
      <c r="H44" s="642" t="s">
        <v>3052</v>
      </c>
      <c r="I44" s="646"/>
      <c r="J44" s="646">
        <v>133</v>
      </c>
      <c r="K44" s="647">
        <v>43258</v>
      </c>
      <c r="L44" s="648">
        <v>43830</v>
      </c>
      <c r="M44" s="646"/>
      <c r="N44" s="646"/>
      <c r="O44" s="524"/>
      <c r="P44" s="646"/>
      <c r="Q44" s="646"/>
      <c r="R44" s="646"/>
      <c r="S44" s="646"/>
      <c r="T44" s="646"/>
      <c r="U44" s="649"/>
      <c r="V44" s="646">
        <v>20</v>
      </c>
      <c r="W44" s="646"/>
      <c r="X44" s="646"/>
      <c r="Y44" s="646"/>
      <c r="Z44" s="646"/>
      <c r="AA44" s="646"/>
      <c r="AB44" s="646"/>
      <c r="AC44" s="649"/>
      <c r="AD44" s="646"/>
      <c r="AE44" s="646"/>
      <c r="AF44" s="646"/>
      <c r="AG44" s="646"/>
      <c r="AH44" s="646"/>
      <c r="AI44" s="646"/>
      <c r="AJ44" s="524"/>
      <c r="AK44" s="646"/>
      <c r="AL44" s="524"/>
      <c r="AM44" s="524"/>
      <c r="AN44" s="649"/>
      <c r="AO44" s="477"/>
      <c r="AP44" s="477"/>
      <c r="AQ44" s="524"/>
      <c r="AR44" s="524"/>
      <c r="AS44" s="524"/>
      <c r="AT44"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4" s="651">
        <f>WWWW[[#This Row],[%Equitable and continuous access to sufficient quantity of safe drinking water]]*WWWW[[#This Row],[Total PoP ]]</f>
        <v>0</v>
      </c>
      <c r="AV44"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4" s="651">
        <f>WWWW[[#This Row],[% Access to unimproved water points]]*WWWW[[#This Row],[Total PoP ]]</f>
        <v>0</v>
      </c>
      <c r="AX44"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4"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4" s="651">
        <f>WWWW[[#This Row],[HRP1]]/250</f>
        <v>0</v>
      </c>
      <c r="BA44" s="653">
        <f>1-WWWW[[#This Row],[% Equitable and continuous access to sufficient quantity of domestic water]]</f>
        <v>1</v>
      </c>
      <c r="BB44" s="651">
        <f>WWWW[[#This Row],[%equitable and continuous access to sufficient quantity of safe drinking and domestic water''s GAP]]*WWWW[[#This Row],[Total PoP ]]</f>
        <v>133</v>
      </c>
      <c r="BC44" s="654">
        <f>IF(WWWW[[#This Row],[Total required water points]]-WWWW[[#This Row],['#Water points coverage]]&lt;0,0,WWWW[[#This Row],[Total required water points]]-WWWW[[#This Row],['#Water points coverage]])</f>
        <v>1</v>
      </c>
      <c r="BD44" s="654">
        <f>ROUND(IF(WWWW[[#This Row],[Total PoP ]]&lt;250,1,WWWW[[#This Row],[Total PoP ]]/250),0)</f>
        <v>1</v>
      </c>
      <c r="BE4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0.90225563909774431</v>
      </c>
      <c r="BF44" s="651">
        <f>WWWW[[#This Row],[% people access to functioning Latrine]]*WWWW[[#This Row],[Total PoP ]]</f>
        <v>120</v>
      </c>
      <c r="BG44" s="654">
        <f>WWWW[[#This Row],['#_of_Functioning_latrines_in_school]]*50</f>
        <v>0</v>
      </c>
      <c r="BH44" s="654">
        <f>ROUND((WWWW[[#This Row],[Total PoP ]]/6),0)</f>
        <v>22</v>
      </c>
      <c r="BI44" s="654">
        <f>IF(WWWW[[#This Row],[Total required Latrines]]-(WWWW[[#This Row],['#_of_sanitary_fly-proof_HH_latrines]])&lt;0,0,WWWW[[#This Row],[Total required Latrines]]-(WWWW[[#This Row],['#_of_sanitary_fly-proof_HH_latrines]]))</f>
        <v>2</v>
      </c>
      <c r="BJ44" s="650">
        <f>1-WWWW[[#This Row],[% people access to functioning Latrine]]</f>
        <v>9.7744360902255689E-2</v>
      </c>
      <c r="BK44"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4" s="483">
        <f>IF(WWWW[[#This Row],['#_of_functional_handwashing_facilities_at_HH_level]]*6&gt;WWWW[[#This Row],[Total PoP ]],WWWW[[#This Row],[Total PoP ]],WWWW[[#This Row],['#_of_functional_handwashing_facilities_at_HH_level]]*6)</f>
        <v>0</v>
      </c>
      <c r="BM44" s="654">
        <f>IF(WWWW[[#This Row],['# people reached by regular dedicated hygiene promotion]]&gt;WWWW[[#This Row],['# People received regular supply of hygiene items]],WWWW[[#This Row],['# people reached by regular dedicated hygiene promotion]],WWWW[[#This Row],['# People received regular supply of hygiene items]])</f>
        <v>0</v>
      </c>
      <c r="BN44" s="653">
        <f>IF(WWWW[[#This Row],[HRP3]]/WWWW[[#This Row],[Total PoP ]]&gt;100%,100%,WWWW[[#This Row],[HRP3]]/WWWW[[#This Row],[Total PoP ]])</f>
        <v>0</v>
      </c>
      <c r="BO44" s="650">
        <f>1-WWWW[[#This Row],[Hygiene Coverage%]]</f>
        <v>1</v>
      </c>
      <c r="BP44" s="652">
        <f>WWWW[[#This Row],['# people reached by regular dedicated hygiene promotion]]/WWWW[[#This Row],[Total PoP ]]</f>
        <v>0</v>
      </c>
      <c r="BQ4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4" s="478">
        <f>WWWW[[#This Row],['#_of_affected_women_and_girls_receiving_a_sufficient_quantity_of_sanitary_pads]]</f>
        <v>0</v>
      </c>
      <c r="BS44" s="524">
        <f>IF(WWWW[[#This Row],['# People with access to soap]]&gt;WWWW[[#This Row],['# People with access to Sanity Pads]],WWWW[[#This Row],['# People with access to soap]],WWWW[[#This Row],['# People with access to Sanity Pads]])</f>
        <v>0</v>
      </c>
      <c r="BT44" s="483" t="str">
        <f>IF(OR(WWWW[[#This Row],['#of students in school]]="",WWWW[[#This Row],['#of students in school]]=0),"No","Yes")</f>
        <v>No</v>
      </c>
      <c r="BU44" s="645" t="str">
        <f>VLOOKUP(WWWW[[#This Row],[Village  Name]],SiteDB6[[Site Name]:[Location Type 1]],9,FALSE)</f>
        <v>Village</v>
      </c>
      <c r="BV44" s="645" t="str">
        <f>VLOOKUP(WWWW[[#This Row],[Village  Name]],SiteDB6[[Site Name]:[Type of Accommodation]],10,FALSE)</f>
        <v>Village</v>
      </c>
      <c r="BW44" s="645">
        <f>VLOOKUP(WWWW[[#This Row],[Village  Name]],SiteDB6[[Site Name]:[Ethnic or GCA/NGCA]],11,FALSE)</f>
        <v>0</v>
      </c>
      <c r="BX44" s="645">
        <f>VLOOKUP(WWWW[[#This Row],[Village  Name]],SiteDB6[[Site Name]:[Lat]],12,FALSE)</f>
        <v>0</v>
      </c>
      <c r="BY44" s="645">
        <f>VLOOKUP(WWWW[[#This Row],[Village  Name]],SiteDB6[[Site Name]:[Long]],13,FALSE)</f>
        <v>0</v>
      </c>
      <c r="BZ44" s="645">
        <f>VLOOKUP(WWWW[[#This Row],[Village  Name]],SiteDB6[[Site Name]:[Pcode]],3,FALSE)</f>
        <v>0</v>
      </c>
      <c r="CA44" s="645" t="str">
        <f t="shared" si="1"/>
        <v>Covered</v>
      </c>
      <c r="CB44" s="655"/>
    </row>
    <row r="45" spans="1:80">
      <c r="A45" s="641" t="s">
        <v>3150</v>
      </c>
      <c r="B45" s="641" t="s">
        <v>2994</v>
      </c>
      <c r="C45" s="642"/>
      <c r="D45" s="642" t="s">
        <v>231</v>
      </c>
      <c r="E45" s="643" t="s">
        <v>698</v>
      </c>
      <c r="F45" s="642" t="s">
        <v>3033</v>
      </c>
      <c r="G45" s="644" t="str">
        <f>VLOOKUP(WWWW[[#This Row],[Village  Name]],SiteDB6[[Site Name]:[Location Type]],8,FALSE)</f>
        <v>Village</v>
      </c>
      <c r="H45" s="642" t="s">
        <v>3053</v>
      </c>
      <c r="I45" s="646"/>
      <c r="J45" s="646">
        <v>126</v>
      </c>
      <c r="K45" s="647">
        <v>43258</v>
      </c>
      <c r="L45" s="648">
        <v>43830</v>
      </c>
      <c r="M45" s="646"/>
      <c r="N45" s="646"/>
      <c r="O45" s="524"/>
      <c r="P45" s="646"/>
      <c r="Q45" s="646"/>
      <c r="R45" s="646"/>
      <c r="S45" s="646"/>
      <c r="T45" s="646"/>
      <c r="U45" s="649"/>
      <c r="V45" s="646">
        <v>10</v>
      </c>
      <c r="W45" s="646"/>
      <c r="X45" s="646"/>
      <c r="Y45" s="646"/>
      <c r="Z45" s="646"/>
      <c r="AA45" s="646"/>
      <c r="AB45" s="646"/>
      <c r="AC45" s="649"/>
      <c r="AD45" s="646"/>
      <c r="AE45" s="646"/>
      <c r="AF45" s="646"/>
      <c r="AG45" s="646"/>
      <c r="AH45" s="646"/>
      <c r="AI45" s="646"/>
      <c r="AJ45" s="524"/>
      <c r="AK45" s="646"/>
      <c r="AL45" s="524"/>
      <c r="AM45" s="524"/>
      <c r="AN45" s="649"/>
      <c r="AO45" s="477"/>
      <c r="AP45" s="477"/>
      <c r="AQ45" s="524"/>
      <c r="AR45" s="524"/>
      <c r="AS45" s="524"/>
      <c r="AT45"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5" s="651">
        <f>WWWW[[#This Row],[%Equitable and continuous access to sufficient quantity of safe drinking water]]*WWWW[[#This Row],[Total PoP ]]</f>
        <v>0</v>
      </c>
      <c r="AV45"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5" s="651">
        <f>WWWW[[#This Row],[% Access to unimproved water points]]*WWWW[[#This Row],[Total PoP ]]</f>
        <v>0</v>
      </c>
      <c r="AX45"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5"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5" s="651">
        <f>WWWW[[#This Row],[HRP1]]/250</f>
        <v>0</v>
      </c>
      <c r="BA45" s="653">
        <f>1-WWWW[[#This Row],[% Equitable and continuous access to sufficient quantity of domestic water]]</f>
        <v>1</v>
      </c>
      <c r="BB45" s="651">
        <f>WWWW[[#This Row],[%equitable and continuous access to sufficient quantity of safe drinking and domestic water''s GAP]]*WWWW[[#This Row],[Total PoP ]]</f>
        <v>126</v>
      </c>
      <c r="BC45" s="654">
        <f>IF(WWWW[[#This Row],[Total required water points]]-WWWW[[#This Row],['#Water points coverage]]&lt;0,0,WWWW[[#This Row],[Total required water points]]-WWWW[[#This Row],['#Water points coverage]])</f>
        <v>1</v>
      </c>
      <c r="BD45" s="654">
        <f>ROUND(IF(WWWW[[#This Row],[Total PoP ]]&lt;250,1,WWWW[[#This Row],[Total PoP ]]/250),0)</f>
        <v>1</v>
      </c>
      <c r="BE4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0.47619047619047616</v>
      </c>
      <c r="BF45" s="651">
        <f>WWWW[[#This Row],[% people access to functioning Latrine]]*WWWW[[#This Row],[Total PoP ]]</f>
        <v>60</v>
      </c>
      <c r="BG45" s="654">
        <f>WWWW[[#This Row],['#_of_Functioning_latrines_in_school]]*50</f>
        <v>0</v>
      </c>
      <c r="BH45" s="654">
        <f>ROUND((WWWW[[#This Row],[Total PoP ]]/6),0)</f>
        <v>21</v>
      </c>
      <c r="BI45" s="654">
        <f>IF(WWWW[[#This Row],[Total required Latrines]]-(WWWW[[#This Row],['#_of_sanitary_fly-proof_HH_latrines]])&lt;0,0,WWWW[[#This Row],[Total required Latrines]]-(WWWW[[#This Row],['#_of_sanitary_fly-proof_HH_latrines]]))</f>
        <v>11</v>
      </c>
      <c r="BJ45" s="650">
        <f>1-WWWW[[#This Row],[% people access to functioning Latrine]]</f>
        <v>0.52380952380952384</v>
      </c>
      <c r="BK45"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5" s="483">
        <f>IF(WWWW[[#This Row],['#_of_functional_handwashing_facilities_at_HH_level]]*6&gt;WWWW[[#This Row],[Total PoP ]],WWWW[[#This Row],[Total PoP ]],WWWW[[#This Row],['#_of_functional_handwashing_facilities_at_HH_level]]*6)</f>
        <v>0</v>
      </c>
      <c r="BM45" s="654">
        <f>IF(WWWW[[#This Row],['# people reached by regular dedicated hygiene promotion]]&gt;WWWW[[#This Row],['# People received regular supply of hygiene items]],WWWW[[#This Row],['# people reached by regular dedicated hygiene promotion]],WWWW[[#This Row],['# People received regular supply of hygiene items]])</f>
        <v>0</v>
      </c>
      <c r="BN45" s="653">
        <f>IF(WWWW[[#This Row],[HRP3]]/WWWW[[#This Row],[Total PoP ]]&gt;100%,100%,WWWW[[#This Row],[HRP3]]/WWWW[[#This Row],[Total PoP ]])</f>
        <v>0</v>
      </c>
      <c r="BO45" s="650">
        <f>1-WWWW[[#This Row],[Hygiene Coverage%]]</f>
        <v>1</v>
      </c>
      <c r="BP45" s="652">
        <f>WWWW[[#This Row],['# people reached by regular dedicated hygiene promotion]]/WWWW[[#This Row],[Total PoP ]]</f>
        <v>0</v>
      </c>
      <c r="BQ4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5" s="478">
        <f>WWWW[[#This Row],['#_of_affected_women_and_girls_receiving_a_sufficient_quantity_of_sanitary_pads]]</f>
        <v>0</v>
      </c>
      <c r="BS45" s="524">
        <f>IF(WWWW[[#This Row],['# People with access to soap]]&gt;WWWW[[#This Row],['# People with access to Sanity Pads]],WWWW[[#This Row],['# People with access to soap]],WWWW[[#This Row],['# People with access to Sanity Pads]])</f>
        <v>0</v>
      </c>
      <c r="BT45" s="483" t="str">
        <f>IF(OR(WWWW[[#This Row],['#of students in school]]="",WWWW[[#This Row],['#of students in school]]=0),"No","Yes")</f>
        <v>No</v>
      </c>
      <c r="BU45" s="645" t="str">
        <f>VLOOKUP(WWWW[[#This Row],[Village  Name]],SiteDB6[[Site Name]:[Location Type 1]],9,FALSE)</f>
        <v>Village</v>
      </c>
      <c r="BV45" s="645" t="str">
        <f>VLOOKUP(WWWW[[#This Row],[Village  Name]],SiteDB6[[Site Name]:[Type of Accommodation]],10,FALSE)</f>
        <v>Village</v>
      </c>
      <c r="BW45" s="645">
        <f>VLOOKUP(WWWW[[#This Row],[Village  Name]],SiteDB6[[Site Name]:[Ethnic or GCA/NGCA]],11,FALSE)</f>
        <v>0</v>
      </c>
      <c r="BX45" s="645">
        <f>VLOOKUP(WWWW[[#This Row],[Village  Name]],SiteDB6[[Site Name]:[Lat]],12,FALSE)</f>
        <v>0</v>
      </c>
      <c r="BY45" s="645">
        <f>VLOOKUP(WWWW[[#This Row],[Village  Name]],SiteDB6[[Site Name]:[Long]],13,FALSE)</f>
        <v>0</v>
      </c>
      <c r="BZ45" s="645">
        <f>VLOOKUP(WWWW[[#This Row],[Village  Name]],SiteDB6[[Site Name]:[Pcode]],3,FALSE)</f>
        <v>0</v>
      </c>
      <c r="CA45" s="645" t="str">
        <f t="shared" si="1"/>
        <v>Covered</v>
      </c>
      <c r="CB45" s="655"/>
    </row>
    <row r="46" spans="1:80">
      <c r="A46" s="641" t="s">
        <v>3150</v>
      </c>
      <c r="B46" s="641" t="s">
        <v>2994</v>
      </c>
      <c r="C46" s="642"/>
      <c r="D46" s="642" t="s">
        <v>231</v>
      </c>
      <c r="E46" s="643" t="s">
        <v>698</v>
      </c>
      <c r="F46" s="642" t="s">
        <v>3033</v>
      </c>
      <c r="G46" s="644" t="str">
        <f>VLOOKUP(WWWW[[#This Row],[Village  Name]],SiteDB6[[Site Name]:[Location Type]],8,FALSE)</f>
        <v>Village</v>
      </c>
      <c r="H46" s="642" t="s">
        <v>3054</v>
      </c>
      <c r="I46" s="646"/>
      <c r="J46" s="646">
        <v>179</v>
      </c>
      <c r="K46" s="647">
        <v>43258</v>
      </c>
      <c r="L46" s="648">
        <v>43830</v>
      </c>
      <c r="M46" s="646"/>
      <c r="N46" s="646"/>
      <c r="O46" s="524"/>
      <c r="P46" s="646"/>
      <c r="Q46" s="646"/>
      <c r="R46" s="646"/>
      <c r="S46" s="646"/>
      <c r="T46" s="646"/>
      <c r="U46" s="649"/>
      <c r="V46" s="646">
        <v>11</v>
      </c>
      <c r="W46" s="646"/>
      <c r="X46" s="646"/>
      <c r="Y46" s="646"/>
      <c r="Z46" s="646"/>
      <c r="AA46" s="646"/>
      <c r="AB46" s="646"/>
      <c r="AC46" s="649"/>
      <c r="AD46" s="646"/>
      <c r="AE46" s="646"/>
      <c r="AF46" s="646"/>
      <c r="AG46" s="646"/>
      <c r="AH46" s="646"/>
      <c r="AI46" s="646"/>
      <c r="AJ46" s="524"/>
      <c r="AK46" s="646"/>
      <c r="AL46" s="524"/>
      <c r="AM46" s="524"/>
      <c r="AN46" s="649"/>
      <c r="AO46" s="477"/>
      <c r="AP46" s="477"/>
      <c r="AQ46" s="524"/>
      <c r="AR46" s="524"/>
      <c r="AS46" s="524"/>
      <c r="AT46"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6" s="651">
        <f>WWWW[[#This Row],[%Equitable and continuous access to sufficient quantity of safe drinking water]]*WWWW[[#This Row],[Total PoP ]]</f>
        <v>0</v>
      </c>
      <c r="AV46"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6" s="651">
        <f>WWWW[[#This Row],[% Access to unimproved water points]]*WWWW[[#This Row],[Total PoP ]]</f>
        <v>0</v>
      </c>
      <c r="AX46"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6"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6" s="651">
        <f>WWWW[[#This Row],[HRP1]]/250</f>
        <v>0</v>
      </c>
      <c r="BA46" s="653">
        <f>1-WWWW[[#This Row],[% Equitable and continuous access to sufficient quantity of domestic water]]</f>
        <v>1</v>
      </c>
      <c r="BB46" s="651">
        <f>WWWW[[#This Row],[%equitable and continuous access to sufficient quantity of safe drinking and domestic water''s GAP]]*WWWW[[#This Row],[Total PoP ]]</f>
        <v>179</v>
      </c>
      <c r="BC46" s="654">
        <f>IF(WWWW[[#This Row],[Total required water points]]-WWWW[[#This Row],['#Water points coverage]]&lt;0,0,WWWW[[#This Row],[Total required water points]]-WWWW[[#This Row],['#Water points coverage]])</f>
        <v>1</v>
      </c>
      <c r="BD46" s="654">
        <f>ROUND(IF(WWWW[[#This Row],[Total PoP ]]&lt;250,1,WWWW[[#This Row],[Total PoP ]]/250),0)</f>
        <v>1</v>
      </c>
      <c r="BE4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0.36871508379888268</v>
      </c>
      <c r="BF46" s="651">
        <f>WWWW[[#This Row],[% people access to functioning Latrine]]*WWWW[[#This Row],[Total PoP ]]</f>
        <v>66</v>
      </c>
      <c r="BG46" s="654">
        <f>WWWW[[#This Row],['#_of_Functioning_latrines_in_school]]*50</f>
        <v>0</v>
      </c>
      <c r="BH46" s="654">
        <f>ROUND((WWWW[[#This Row],[Total PoP ]]/6),0)</f>
        <v>30</v>
      </c>
      <c r="BI46" s="654">
        <f>IF(WWWW[[#This Row],[Total required Latrines]]-(WWWW[[#This Row],['#_of_sanitary_fly-proof_HH_latrines]])&lt;0,0,WWWW[[#This Row],[Total required Latrines]]-(WWWW[[#This Row],['#_of_sanitary_fly-proof_HH_latrines]]))</f>
        <v>19</v>
      </c>
      <c r="BJ46" s="650">
        <f>1-WWWW[[#This Row],[% people access to functioning Latrine]]</f>
        <v>0.63128491620111737</v>
      </c>
      <c r="BK46"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6" s="483">
        <f>IF(WWWW[[#This Row],['#_of_functional_handwashing_facilities_at_HH_level]]*6&gt;WWWW[[#This Row],[Total PoP ]],WWWW[[#This Row],[Total PoP ]],WWWW[[#This Row],['#_of_functional_handwashing_facilities_at_HH_level]]*6)</f>
        <v>0</v>
      </c>
      <c r="BM46" s="654">
        <f>IF(WWWW[[#This Row],['# people reached by regular dedicated hygiene promotion]]&gt;WWWW[[#This Row],['# People received regular supply of hygiene items]],WWWW[[#This Row],['# people reached by regular dedicated hygiene promotion]],WWWW[[#This Row],['# People received regular supply of hygiene items]])</f>
        <v>0</v>
      </c>
      <c r="BN46" s="653">
        <f>IF(WWWW[[#This Row],[HRP3]]/WWWW[[#This Row],[Total PoP ]]&gt;100%,100%,WWWW[[#This Row],[HRP3]]/WWWW[[#This Row],[Total PoP ]])</f>
        <v>0</v>
      </c>
      <c r="BO46" s="650">
        <f>1-WWWW[[#This Row],[Hygiene Coverage%]]</f>
        <v>1</v>
      </c>
      <c r="BP46" s="652">
        <f>WWWW[[#This Row],['# people reached by regular dedicated hygiene promotion]]/WWWW[[#This Row],[Total PoP ]]</f>
        <v>0</v>
      </c>
      <c r="BQ4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6" s="478">
        <f>WWWW[[#This Row],['#_of_affected_women_and_girls_receiving_a_sufficient_quantity_of_sanitary_pads]]</f>
        <v>0</v>
      </c>
      <c r="BS46" s="524">
        <f>IF(WWWW[[#This Row],['# People with access to soap]]&gt;WWWW[[#This Row],['# People with access to Sanity Pads]],WWWW[[#This Row],['# People with access to soap]],WWWW[[#This Row],['# People with access to Sanity Pads]])</f>
        <v>0</v>
      </c>
      <c r="BT46" s="483" t="str">
        <f>IF(OR(WWWW[[#This Row],['#of students in school]]="",WWWW[[#This Row],['#of students in school]]=0),"No","Yes")</f>
        <v>No</v>
      </c>
      <c r="BU46" s="645" t="str">
        <f>VLOOKUP(WWWW[[#This Row],[Village  Name]],SiteDB6[[Site Name]:[Location Type 1]],9,FALSE)</f>
        <v>Village</v>
      </c>
      <c r="BV46" s="645" t="str">
        <f>VLOOKUP(WWWW[[#This Row],[Village  Name]],SiteDB6[[Site Name]:[Type of Accommodation]],10,FALSE)</f>
        <v>Village</v>
      </c>
      <c r="BW46" s="645">
        <f>VLOOKUP(WWWW[[#This Row],[Village  Name]],SiteDB6[[Site Name]:[Ethnic or GCA/NGCA]],11,FALSE)</f>
        <v>0</v>
      </c>
      <c r="BX46" s="645">
        <f>VLOOKUP(WWWW[[#This Row],[Village  Name]],SiteDB6[[Site Name]:[Lat]],12,FALSE)</f>
        <v>0</v>
      </c>
      <c r="BY46" s="645">
        <f>VLOOKUP(WWWW[[#This Row],[Village  Name]],SiteDB6[[Site Name]:[Long]],13,FALSE)</f>
        <v>0</v>
      </c>
      <c r="BZ46" s="645">
        <f>VLOOKUP(WWWW[[#This Row],[Village  Name]],SiteDB6[[Site Name]:[Pcode]],3,FALSE)</f>
        <v>0</v>
      </c>
      <c r="CA46" s="645" t="str">
        <f t="shared" si="1"/>
        <v>Covered</v>
      </c>
      <c r="CB46" s="655"/>
    </row>
    <row r="47" spans="1:80">
      <c r="A47" s="641" t="s">
        <v>3150</v>
      </c>
      <c r="B47" s="641" t="s">
        <v>2994</v>
      </c>
      <c r="C47" s="642"/>
      <c r="D47" s="642" t="s">
        <v>231</v>
      </c>
      <c r="E47" s="643" t="s">
        <v>698</v>
      </c>
      <c r="F47" s="642" t="s">
        <v>3033</v>
      </c>
      <c r="G47" s="644" t="str">
        <f>VLOOKUP(WWWW[[#This Row],[Village  Name]],SiteDB6[[Site Name]:[Location Type]],8,FALSE)</f>
        <v>Village</v>
      </c>
      <c r="H47" s="642" t="s">
        <v>3055</v>
      </c>
      <c r="I47" s="646"/>
      <c r="J47" s="646">
        <v>113</v>
      </c>
      <c r="K47" s="647">
        <v>43258</v>
      </c>
      <c r="L47" s="648">
        <v>43830</v>
      </c>
      <c r="M47" s="646"/>
      <c r="N47" s="646"/>
      <c r="O47" s="524"/>
      <c r="P47" s="646"/>
      <c r="Q47" s="646"/>
      <c r="R47" s="646"/>
      <c r="S47" s="646"/>
      <c r="T47" s="646"/>
      <c r="U47" s="649"/>
      <c r="V47" s="646"/>
      <c r="W47" s="646"/>
      <c r="X47" s="646"/>
      <c r="Y47" s="646"/>
      <c r="Z47" s="646"/>
      <c r="AA47" s="646"/>
      <c r="AB47" s="646"/>
      <c r="AC47" s="649"/>
      <c r="AD47" s="646"/>
      <c r="AE47" s="646"/>
      <c r="AF47" s="646"/>
      <c r="AG47" s="646"/>
      <c r="AH47" s="646"/>
      <c r="AI47" s="646"/>
      <c r="AJ47" s="524"/>
      <c r="AK47" s="646"/>
      <c r="AL47" s="524"/>
      <c r="AM47" s="524"/>
      <c r="AN47" s="649"/>
      <c r="AO47" s="477"/>
      <c r="AP47" s="477"/>
      <c r="AQ47" s="524"/>
      <c r="AR47" s="524"/>
      <c r="AS47" s="524"/>
      <c r="AT47"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7" s="651">
        <f>WWWW[[#This Row],[%Equitable and continuous access to sufficient quantity of safe drinking water]]*WWWW[[#This Row],[Total PoP ]]</f>
        <v>0</v>
      </c>
      <c r="AV47"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7" s="651">
        <f>WWWW[[#This Row],[% Access to unimproved water points]]*WWWW[[#This Row],[Total PoP ]]</f>
        <v>0</v>
      </c>
      <c r="AX47"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7"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7" s="651">
        <f>WWWW[[#This Row],[HRP1]]/250</f>
        <v>0</v>
      </c>
      <c r="BA47" s="653">
        <f>1-WWWW[[#This Row],[% Equitable and continuous access to sufficient quantity of domestic water]]</f>
        <v>1</v>
      </c>
      <c r="BB47" s="651">
        <f>WWWW[[#This Row],[%equitable and continuous access to sufficient quantity of safe drinking and domestic water''s GAP]]*WWWW[[#This Row],[Total PoP ]]</f>
        <v>113</v>
      </c>
      <c r="BC47" s="654">
        <f>IF(WWWW[[#This Row],[Total required water points]]-WWWW[[#This Row],['#Water points coverage]]&lt;0,0,WWWW[[#This Row],[Total required water points]]-WWWW[[#This Row],['#Water points coverage]])</f>
        <v>1</v>
      </c>
      <c r="BD47" s="654">
        <f>ROUND(IF(WWWW[[#This Row],[Total PoP ]]&lt;250,1,WWWW[[#This Row],[Total PoP ]]/250),0)</f>
        <v>1</v>
      </c>
      <c r="BE4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47" s="651">
        <f>WWWW[[#This Row],[% people access to functioning Latrine]]*WWWW[[#This Row],[Total PoP ]]</f>
        <v>0</v>
      </c>
      <c r="BG47" s="654">
        <f>WWWW[[#This Row],['#_of_Functioning_latrines_in_school]]*50</f>
        <v>0</v>
      </c>
      <c r="BH47" s="654">
        <f>ROUND((WWWW[[#This Row],[Total PoP ]]/6),0)</f>
        <v>19</v>
      </c>
      <c r="BI47" s="654">
        <f>IF(WWWW[[#This Row],[Total required Latrines]]-(WWWW[[#This Row],['#_of_sanitary_fly-proof_HH_latrines]])&lt;0,0,WWWW[[#This Row],[Total required Latrines]]-(WWWW[[#This Row],['#_of_sanitary_fly-proof_HH_latrines]]))</f>
        <v>19</v>
      </c>
      <c r="BJ47" s="650">
        <f>1-WWWW[[#This Row],[% people access to functioning Latrine]]</f>
        <v>1</v>
      </c>
      <c r="BK47"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7" s="483">
        <f>IF(WWWW[[#This Row],['#_of_functional_handwashing_facilities_at_HH_level]]*6&gt;WWWW[[#This Row],[Total PoP ]],WWWW[[#This Row],[Total PoP ]],WWWW[[#This Row],['#_of_functional_handwashing_facilities_at_HH_level]]*6)</f>
        <v>0</v>
      </c>
      <c r="BM47" s="654">
        <f>IF(WWWW[[#This Row],['# people reached by regular dedicated hygiene promotion]]&gt;WWWW[[#This Row],['# People received regular supply of hygiene items]],WWWW[[#This Row],['# people reached by regular dedicated hygiene promotion]],WWWW[[#This Row],['# People received regular supply of hygiene items]])</f>
        <v>0</v>
      </c>
      <c r="BN47" s="653">
        <f>IF(WWWW[[#This Row],[HRP3]]/WWWW[[#This Row],[Total PoP ]]&gt;100%,100%,WWWW[[#This Row],[HRP3]]/WWWW[[#This Row],[Total PoP ]])</f>
        <v>0</v>
      </c>
      <c r="BO47" s="650">
        <f>1-WWWW[[#This Row],[Hygiene Coverage%]]</f>
        <v>1</v>
      </c>
      <c r="BP47" s="652">
        <f>WWWW[[#This Row],['# people reached by regular dedicated hygiene promotion]]/WWWW[[#This Row],[Total PoP ]]</f>
        <v>0</v>
      </c>
      <c r="BQ4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7" s="478">
        <f>WWWW[[#This Row],['#_of_affected_women_and_girls_receiving_a_sufficient_quantity_of_sanitary_pads]]</f>
        <v>0</v>
      </c>
      <c r="BS47" s="524">
        <f>IF(WWWW[[#This Row],['# People with access to soap]]&gt;WWWW[[#This Row],['# People with access to Sanity Pads]],WWWW[[#This Row],['# People with access to soap]],WWWW[[#This Row],['# People with access to Sanity Pads]])</f>
        <v>0</v>
      </c>
      <c r="BT47" s="483" t="str">
        <f>IF(OR(WWWW[[#This Row],['#of students in school]]="",WWWW[[#This Row],['#of students in school]]=0),"No","Yes")</f>
        <v>No</v>
      </c>
      <c r="BU47" s="645" t="str">
        <f>VLOOKUP(WWWW[[#This Row],[Village  Name]],SiteDB6[[Site Name]:[Location Type 1]],9,FALSE)</f>
        <v>Village</v>
      </c>
      <c r="BV47" s="645" t="str">
        <f>VLOOKUP(WWWW[[#This Row],[Village  Name]],SiteDB6[[Site Name]:[Type of Accommodation]],10,FALSE)</f>
        <v>Village</v>
      </c>
      <c r="BW47" s="645">
        <f>VLOOKUP(WWWW[[#This Row],[Village  Name]],SiteDB6[[Site Name]:[Ethnic or GCA/NGCA]],11,FALSE)</f>
        <v>0</v>
      </c>
      <c r="BX47" s="645">
        <f>VLOOKUP(WWWW[[#This Row],[Village  Name]],SiteDB6[[Site Name]:[Lat]],12,FALSE)</f>
        <v>0</v>
      </c>
      <c r="BY47" s="645">
        <f>VLOOKUP(WWWW[[#This Row],[Village  Name]],SiteDB6[[Site Name]:[Long]],13,FALSE)</f>
        <v>0</v>
      </c>
      <c r="BZ47" s="645">
        <f>VLOOKUP(WWWW[[#This Row],[Village  Name]],SiteDB6[[Site Name]:[Pcode]],3,FALSE)</f>
        <v>0</v>
      </c>
      <c r="CA47" s="645" t="str">
        <f t="shared" si="1"/>
        <v>Covered</v>
      </c>
      <c r="CB47" s="655"/>
    </row>
    <row r="48" spans="1:80">
      <c r="A48" s="641" t="s">
        <v>3150</v>
      </c>
      <c r="B48" s="641" t="s">
        <v>2994</v>
      </c>
      <c r="C48" s="642"/>
      <c r="D48" s="642" t="s">
        <v>231</v>
      </c>
      <c r="E48" s="643" t="s">
        <v>698</v>
      </c>
      <c r="F48" s="642" t="s">
        <v>3033</v>
      </c>
      <c r="G48" s="644" t="str">
        <f>VLOOKUP(WWWW[[#This Row],[Village  Name]],SiteDB6[[Site Name]:[Location Type]],8,FALSE)</f>
        <v>Village</v>
      </c>
      <c r="H48" s="642" t="s">
        <v>3056</v>
      </c>
      <c r="I48" s="646"/>
      <c r="J48" s="646">
        <v>166</v>
      </c>
      <c r="K48" s="647">
        <v>43258</v>
      </c>
      <c r="L48" s="648">
        <v>43830</v>
      </c>
      <c r="M48" s="646"/>
      <c r="N48" s="646"/>
      <c r="O48" s="524"/>
      <c r="P48" s="646"/>
      <c r="Q48" s="646"/>
      <c r="R48" s="646"/>
      <c r="S48" s="646"/>
      <c r="T48" s="646"/>
      <c r="U48" s="649"/>
      <c r="V48" s="646">
        <v>11</v>
      </c>
      <c r="W48" s="646"/>
      <c r="X48" s="646"/>
      <c r="Y48" s="646"/>
      <c r="Z48" s="646"/>
      <c r="AA48" s="646"/>
      <c r="AB48" s="646"/>
      <c r="AC48" s="649"/>
      <c r="AD48" s="646"/>
      <c r="AE48" s="646"/>
      <c r="AF48" s="646"/>
      <c r="AG48" s="646"/>
      <c r="AH48" s="646"/>
      <c r="AI48" s="646"/>
      <c r="AJ48" s="524"/>
      <c r="AK48" s="646"/>
      <c r="AL48" s="524"/>
      <c r="AM48" s="524"/>
      <c r="AN48" s="649"/>
      <c r="AO48" s="477"/>
      <c r="AP48" s="477"/>
      <c r="AQ48" s="524"/>
      <c r="AR48" s="524"/>
      <c r="AS48" s="524"/>
      <c r="AT48"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8" s="651">
        <f>WWWW[[#This Row],[%Equitable and continuous access to sufficient quantity of safe drinking water]]*WWWW[[#This Row],[Total PoP ]]</f>
        <v>0</v>
      </c>
      <c r="AV48"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8" s="651">
        <f>WWWW[[#This Row],[% Access to unimproved water points]]*WWWW[[#This Row],[Total PoP ]]</f>
        <v>0</v>
      </c>
      <c r="AX48"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8"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8" s="651">
        <f>WWWW[[#This Row],[HRP1]]/250</f>
        <v>0</v>
      </c>
      <c r="BA48" s="653">
        <f>1-WWWW[[#This Row],[% Equitable and continuous access to sufficient quantity of domestic water]]</f>
        <v>1</v>
      </c>
      <c r="BB48" s="651">
        <f>WWWW[[#This Row],[%equitable and continuous access to sufficient quantity of safe drinking and domestic water''s GAP]]*WWWW[[#This Row],[Total PoP ]]</f>
        <v>166</v>
      </c>
      <c r="BC48" s="654">
        <f>IF(WWWW[[#This Row],[Total required water points]]-WWWW[[#This Row],['#Water points coverage]]&lt;0,0,WWWW[[#This Row],[Total required water points]]-WWWW[[#This Row],['#Water points coverage]])</f>
        <v>1</v>
      </c>
      <c r="BD48" s="654">
        <f>ROUND(IF(WWWW[[#This Row],[Total PoP ]]&lt;250,1,WWWW[[#This Row],[Total PoP ]]/250),0)</f>
        <v>1</v>
      </c>
      <c r="BE4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0.39759036144578314</v>
      </c>
      <c r="BF48" s="651">
        <f>WWWW[[#This Row],[% people access to functioning Latrine]]*WWWW[[#This Row],[Total PoP ]]</f>
        <v>66</v>
      </c>
      <c r="BG48" s="654">
        <f>WWWW[[#This Row],['#_of_Functioning_latrines_in_school]]*50</f>
        <v>0</v>
      </c>
      <c r="BH48" s="654">
        <f>ROUND((WWWW[[#This Row],[Total PoP ]]/6),0)</f>
        <v>28</v>
      </c>
      <c r="BI48" s="654">
        <f>IF(WWWW[[#This Row],[Total required Latrines]]-(WWWW[[#This Row],['#_of_sanitary_fly-proof_HH_latrines]])&lt;0,0,WWWW[[#This Row],[Total required Latrines]]-(WWWW[[#This Row],['#_of_sanitary_fly-proof_HH_latrines]]))</f>
        <v>17</v>
      </c>
      <c r="BJ48" s="650">
        <f>1-WWWW[[#This Row],[% people access to functioning Latrine]]</f>
        <v>0.60240963855421681</v>
      </c>
      <c r="BK48"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8" s="483">
        <f>IF(WWWW[[#This Row],['#_of_functional_handwashing_facilities_at_HH_level]]*6&gt;WWWW[[#This Row],[Total PoP ]],WWWW[[#This Row],[Total PoP ]],WWWW[[#This Row],['#_of_functional_handwashing_facilities_at_HH_level]]*6)</f>
        <v>0</v>
      </c>
      <c r="BM48" s="654">
        <f>IF(WWWW[[#This Row],['# people reached by regular dedicated hygiene promotion]]&gt;WWWW[[#This Row],['# People received regular supply of hygiene items]],WWWW[[#This Row],['# people reached by regular dedicated hygiene promotion]],WWWW[[#This Row],['# People received regular supply of hygiene items]])</f>
        <v>0</v>
      </c>
      <c r="BN48" s="653">
        <f>IF(WWWW[[#This Row],[HRP3]]/WWWW[[#This Row],[Total PoP ]]&gt;100%,100%,WWWW[[#This Row],[HRP3]]/WWWW[[#This Row],[Total PoP ]])</f>
        <v>0</v>
      </c>
      <c r="BO48" s="650">
        <f>1-WWWW[[#This Row],[Hygiene Coverage%]]</f>
        <v>1</v>
      </c>
      <c r="BP48" s="652">
        <f>WWWW[[#This Row],['# people reached by regular dedicated hygiene promotion]]/WWWW[[#This Row],[Total PoP ]]</f>
        <v>0</v>
      </c>
      <c r="BQ4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8" s="478">
        <f>WWWW[[#This Row],['#_of_affected_women_and_girls_receiving_a_sufficient_quantity_of_sanitary_pads]]</f>
        <v>0</v>
      </c>
      <c r="BS48" s="524">
        <f>IF(WWWW[[#This Row],['# People with access to soap]]&gt;WWWW[[#This Row],['# People with access to Sanity Pads]],WWWW[[#This Row],['# People with access to soap]],WWWW[[#This Row],['# People with access to Sanity Pads]])</f>
        <v>0</v>
      </c>
      <c r="BT48" s="483" t="str">
        <f>IF(OR(WWWW[[#This Row],['#of students in school]]="",WWWW[[#This Row],['#of students in school]]=0),"No","Yes")</f>
        <v>No</v>
      </c>
      <c r="BU48" s="645" t="str">
        <f>VLOOKUP(WWWW[[#This Row],[Village  Name]],SiteDB6[[Site Name]:[Location Type 1]],9,FALSE)</f>
        <v>Village</v>
      </c>
      <c r="BV48" s="645" t="str">
        <f>VLOOKUP(WWWW[[#This Row],[Village  Name]],SiteDB6[[Site Name]:[Type of Accommodation]],10,FALSE)</f>
        <v>Village</v>
      </c>
      <c r="BW48" s="645">
        <f>VLOOKUP(WWWW[[#This Row],[Village  Name]],SiteDB6[[Site Name]:[Ethnic or GCA/NGCA]],11,FALSE)</f>
        <v>0</v>
      </c>
      <c r="BX48" s="645">
        <f>VLOOKUP(WWWW[[#This Row],[Village  Name]],SiteDB6[[Site Name]:[Lat]],12,FALSE)</f>
        <v>0</v>
      </c>
      <c r="BY48" s="645">
        <f>VLOOKUP(WWWW[[#This Row],[Village  Name]],SiteDB6[[Site Name]:[Long]],13,FALSE)</f>
        <v>0</v>
      </c>
      <c r="BZ48" s="645">
        <f>VLOOKUP(WWWW[[#This Row],[Village  Name]],SiteDB6[[Site Name]:[Pcode]],3,FALSE)</f>
        <v>0</v>
      </c>
      <c r="CA48" s="645" t="str">
        <f t="shared" si="1"/>
        <v>Covered</v>
      </c>
      <c r="CB48" s="655"/>
    </row>
    <row r="49" spans="1:80">
      <c r="A49" s="641" t="s">
        <v>3150</v>
      </c>
      <c r="B49" s="641" t="s">
        <v>2994</v>
      </c>
      <c r="C49" s="642"/>
      <c r="D49" s="642" t="s">
        <v>231</v>
      </c>
      <c r="E49" s="643" t="s">
        <v>698</v>
      </c>
      <c r="F49" s="642" t="s">
        <v>3033</v>
      </c>
      <c r="G49" s="644" t="str">
        <f>VLOOKUP(WWWW[[#This Row],[Village  Name]],SiteDB6[[Site Name]:[Location Type]],8,FALSE)</f>
        <v>Village</v>
      </c>
      <c r="H49" s="642" t="s">
        <v>3057</v>
      </c>
      <c r="I49" s="646"/>
      <c r="J49" s="646">
        <v>119</v>
      </c>
      <c r="K49" s="647">
        <v>43258</v>
      </c>
      <c r="L49" s="648">
        <v>43830</v>
      </c>
      <c r="M49" s="646"/>
      <c r="N49" s="646"/>
      <c r="O49" s="524"/>
      <c r="P49" s="646"/>
      <c r="Q49" s="646"/>
      <c r="R49" s="646"/>
      <c r="S49" s="646"/>
      <c r="T49" s="646"/>
      <c r="U49" s="649"/>
      <c r="V49" s="646">
        <v>14</v>
      </c>
      <c r="W49" s="646"/>
      <c r="X49" s="646"/>
      <c r="Y49" s="646"/>
      <c r="Z49" s="646"/>
      <c r="AA49" s="646"/>
      <c r="AB49" s="646"/>
      <c r="AC49" s="649"/>
      <c r="AD49" s="646"/>
      <c r="AE49" s="646"/>
      <c r="AF49" s="646"/>
      <c r="AG49" s="646"/>
      <c r="AH49" s="646"/>
      <c r="AI49" s="646"/>
      <c r="AJ49" s="524"/>
      <c r="AK49" s="646"/>
      <c r="AL49" s="524"/>
      <c r="AM49" s="524"/>
      <c r="AN49" s="649"/>
      <c r="AO49" s="477"/>
      <c r="AP49" s="477"/>
      <c r="AQ49" s="524"/>
      <c r="AR49" s="524"/>
      <c r="AS49" s="524"/>
      <c r="AT49"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9" s="651">
        <f>WWWW[[#This Row],[%Equitable and continuous access to sufficient quantity of safe drinking water]]*WWWW[[#This Row],[Total PoP ]]</f>
        <v>0</v>
      </c>
      <c r="AV49"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9" s="651">
        <f>WWWW[[#This Row],[% Access to unimproved water points]]*WWWW[[#This Row],[Total PoP ]]</f>
        <v>0</v>
      </c>
      <c r="AX49"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9"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9" s="651">
        <f>WWWW[[#This Row],[HRP1]]/250</f>
        <v>0</v>
      </c>
      <c r="BA49" s="653">
        <f>1-WWWW[[#This Row],[% Equitable and continuous access to sufficient quantity of domestic water]]</f>
        <v>1</v>
      </c>
      <c r="BB49" s="651">
        <f>WWWW[[#This Row],[%equitable and continuous access to sufficient quantity of safe drinking and domestic water''s GAP]]*WWWW[[#This Row],[Total PoP ]]</f>
        <v>119</v>
      </c>
      <c r="BC49" s="654">
        <f>IF(WWWW[[#This Row],[Total required water points]]-WWWW[[#This Row],['#Water points coverage]]&lt;0,0,WWWW[[#This Row],[Total required water points]]-WWWW[[#This Row],['#Water points coverage]])</f>
        <v>1</v>
      </c>
      <c r="BD49" s="654">
        <f>ROUND(IF(WWWW[[#This Row],[Total PoP ]]&lt;250,1,WWWW[[#This Row],[Total PoP ]]/250),0)</f>
        <v>1</v>
      </c>
      <c r="BE4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0.70588235294117652</v>
      </c>
      <c r="BF49" s="651">
        <f>WWWW[[#This Row],[% people access to functioning Latrine]]*WWWW[[#This Row],[Total PoP ]]</f>
        <v>84</v>
      </c>
      <c r="BG49" s="654">
        <f>WWWW[[#This Row],['#_of_Functioning_latrines_in_school]]*50</f>
        <v>0</v>
      </c>
      <c r="BH49" s="654">
        <f>ROUND((WWWW[[#This Row],[Total PoP ]]/6),0)</f>
        <v>20</v>
      </c>
      <c r="BI49" s="654">
        <f>IF(WWWW[[#This Row],[Total required Latrines]]-(WWWW[[#This Row],['#_of_sanitary_fly-proof_HH_latrines]])&lt;0,0,WWWW[[#This Row],[Total required Latrines]]-(WWWW[[#This Row],['#_of_sanitary_fly-proof_HH_latrines]]))</f>
        <v>6</v>
      </c>
      <c r="BJ49" s="650">
        <f>1-WWWW[[#This Row],[% people access to functioning Latrine]]</f>
        <v>0.29411764705882348</v>
      </c>
      <c r="BK49"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9" s="483">
        <f>IF(WWWW[[#This Row],['#_of_functional_handwashing_facilities_at_HH_level]]*6&gt;WWWW[[#This Row],[Total PoP ]],WWWW[[#This Row],[Total PoP ]],WWWW[[#This Row],['#_of_functional_handwashing_facilities_at_HH_level]]*6)</f>
        <v>0</v>
      </c>
      <c r="BM49" s="654">
        <f>IF(WWWW[[#This Row],['# people reached by regular dedicated hygiene promotion]]&gt;WWWW[[#This Row],['# People received regular supply of hygiene items]],WWWW[[#This Row],['# people reached by regular dedicated hygiene promotion]],WWWW[[#This Row],['# People received regular supply of hygiene items]])</f>
        <v>0</v>
      </c>
      <c r="BN49" s="653">
        <f>IF(WWWW[[#This Row],[HRP3]]/WWWW[[#This Row],[Total PoP ]]&gt;100%,100%,WWWW[[#This Row],[HRP3]]/WWWW[[#This Row],[Total PoP ]])</f>
        <v>0</v>
      </c>
      <c r="BO49" s="650">
        <f>1-WWWW[[#This Row],[Hygiene Coverage%]]</f>
        <v>1</v>
      </c>
      <c r="BP49" s="652">
        <f>WWWW[[#This Row],['# people reached by regular dedicated hygiene promotion]]/WWWW[[#This Row],[Total PoP ]]</f>
        <v>0</v>
      </c>
      <c r="BQ4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9" s="478">
        <f>WWWW[[#This Row],['#_of_affected_women_and_girls_receiving_a_sufficient_quantity_of_sanitary_pads]]</f>
        <v>0</v>
      </c>
      <c r="BS49" s="524">
        <f>IF(WWWW[[#This Row],['# People with access to soap]]&gt;WWWW[[#This Row],['# People with access to Sanity Pads]],WWWW[[#This Row],['# People with access to soap]],WWWW[[#This Row],['# People with access to Sanity Pads]])</f>
        <v>0</v>
      </c>
      <c r="BT49" s="483" t="str">
        <f>IF(OR(WWWW[[#This Row],['#of students in school]]="",WWWW[[#This Row],['#of students in school]]=0),"No","Yes")</f>
        <v>No</v>
      </c>
      <c r="BU49" s="645" t="str">
        <f>VLOOKUP(WWWW[[#This Row],[Village  Name]],SiteDB6[[Site Name]:[Location Type 1]],9,FALSE)</f>
        <v>Village</v>
      </c>
      <c r="BV49" s="645" t="str">
        <f>VLOOKUP(WWWW[[#This Row],[Village  Name]],SiteDB6[[Site Name]:[Type of Accommodation]],10,FALSE)</f>
        <v>Village</v>
      </c>
      <c r="BW49" s="645">
        <f>VLOOKUP(WWWW[[#This Row],[Village  Name]],SiteDB6[[Site Name]:[Ethnic or GCA/NGCA]],11,FALSE)</f>
        <v>0</v>
      </c>
      <c r="BX49" s="645">
        <f>VLOOKUP(WWWW[[#This Row],[Village  Name]],SiteDB6[[Site Name]:[Lat]],12,FALSE)</f>
        <v>0</v>
      </c>
      <c r="BY49" s="645">
        <f>VLOOKUP(WWWW[[#This Row],[Village  Name]],SiteDB6[[Site Name]:[Long]],13,FALSE)</f>
        <v>0</v>
      </c>
      <c r="BZ49" s="645">
        <f>VLOOKUP(WWWW[[#This Row],[Village  Name]],SiteDB6[[Site Name]:[Pcode]],3,FALSE)</f>
        <v>0</v>
      </c>
      <c r="CA49" s="645" t="str">
        <f t="shared" si="1"/>
        <v>Covered</v>
      </c>
      <c r="CB49" s="655"/>
    </row>
    <row r="50" spans="1:80">
      <c r="A50" s="641" t="s">
        <v>3150</v>
      </c>
      <c r="B50" s="641" t="s">
        <v>2994</v>
      </c>
      <c r="C50" s="642"/>
      <c r="D50" s="642" t="s">
        <v>231</v>
      </c>
      <c r="E50" s="643" t="s">
        <v>698</v>
      </c>
      <c r="F50" s="642" t="s">
        <v>3033</v>
      </c>
      <c r="G50" s="644" t="str">
        <f>VLOOKUP(WWWW[[#This Row],[Village  Name]],SiteDB6[[Site Name]:[Location Type]],8,FALSE)</f>
        <v>Village</v>
      </c>
      <c r="H50" s="642" t="s">
        <v>3058</v>
      </c>
      <c r="I50" s="646"/>
      <c r="J50" s="646">
        <v>303</v>
      </c>
      <c r="K50" s="647">
        <v>43258</v>
      </c>
      <c r="L50" s="648">
        <v>43830</v>
      </c>
      <c r="M50" s="646"/>
      <c r="N50" s="646"/>
      <c r="O50" s="524"/>
      <c r="P50" s="646"/>
      <c r="Q50" s="646"/>
      <c r="R50" s="646"/>
      <c r="S50" s="646"/>
      <c r="T50" s="646"/>
      <c r="U50" s="649"/>
      <c r="V50" s="646">
        <v>34</v>
      </c>
      <c r="W50" s="646"/>
      <c r="X50" s="646"/>
      <c r="Y50" s="646"/>
      <c r="Z50" s="646"/>
      <c r="AA50" s="646"/>
      <c r="AB50" s="646"/>
      <c r="AC50" s="649"/>
      <c r="AD50" s="646"/>
      <c r="AE50" s="646"/>
      <c r="AF50" s="646"/>
      <c r="AG50" s="646"/>
      <c r="AH50" s="646"/>
      <c r="AI50" s="646"/>
      <c r="AJ50" s="524"/>
      <c r="AK50" s="646"/>
      <c r="AL50" s="524"/>
      <c r="AM50" s="524"/>
      <c r="AN50" s="649"/>
      <c r="AO50" s="477"/>
      <c r="AP50" s="477"/>
      <c r="AQ50" s="524"/>
      <c r="AR50" s="524"/>
      <c r="AS50" s="524"/>
      <c r="AT50"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50" s="651">
        <f>WWWW[[#This Row],[%Equitable and continuous access to sufficient quantity of safe drinking water]]*WWWW[[#This Row],[Total PoP ]]</f>
        <v>0</v>
      </c>
      <c r="AV50"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50" s="651">
        <f>WWWW[[#This Row],[% Access to unimproved water points]]*WWWW[[#This Row],[Total PoP ]]</f>
        <v>0</v>
      </c>
      <c r="AX50"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50"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50" s="651">
        <f>WWWW[[#This Row],[HRP1]]/250</f>
        <v>0</v>
      </c>
      <c r="BA50" s="653">
        <f>1-WWWW[[#This Row],[% Equitable and continuous access to sufficient quantity of domestic water]]</f>
        <v>1</v>
      </c>
      <c r="BB50" s="651">
        <f>WWWW[[#This Row],[%equitable and continuous access to sufficient quantity of safe drinking and domestic water''s GAP]]*WWWW[[#This Row],[Total PoP ]]</f>
        <v>303</v>
      </c>
      <c r="BC50" s="654">
        <f>IF(WWWW[[#This Row],[Total required water points]]-WWWW[[#This Row],['#Water points coverage]]&lt;0,0,WWWW[[#This Row],[Total required water points]]-WWWW[[#This Row],['#Water points coverage]])</f>
        <v>1</v>
      </c>
      <c r="BD50" s="654">
        <f>ROUND(IF(WWWW[[#This Row],[Total PoP ]]&lt;250,1,WWWW[[#This Row],[Total PoP ]]/250),0)</f>
        <v>1</v>
      </c>
      <c r="BE5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0.67326732673267331</v>
      </c>
      <c r="BF50" s="651">
        <f>WWWW[[#This Row],[% people access to functioning Latrine]]*WWWW[[#This Row],[Total PoP ]]</f>
        <v>204</v>
      </c>
      <c r="BG50" s="654">
        <f>WWWW[[#This Row],['#_of_Functioning_latrines_in_school]]*50</f>
        <v>0</v>
      </c>
      <c r="BH50" s="654">
        <f>ROUND((WWWW[[#This Row],[Total PoP ]]/6),0)</f>
        <v>51</v>
      </c>
      <c r="BI50" s="654">
        <f>IF(WWWW[[#This Row],[Total required Latrines]]-(WWWW[[#This Row],['#_of_sanitary_fly-proof_HH_latrines]])&lt;0,0,WWWW[[#This Row],[Total required Latrines]]-(WWWW[[#This Row],['#_of_sanitary_fly-proof_HH_latrines]]))</f>
        <v>17</v>
      </c>
      <c r="BJ50" s="650">
        <f>1-WWWW[[#This Row],[% people access to functioning Latrine]]</f>
        <v>0.32673267326732669</v>
      </c>
      <c r="BK50"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50" s="483">
        <f>IF(WWWW[[#This Row],['#_of_functional_handwashing_facilities_at_HH_level]]*6&gt;WWWW[[#This Row],[Total PoP ]],WWWW[[#This Row],[Total PoP ]],WWWW[[#This Row],['#_of_functional_handwashing_facilities_at_HH_level]]*6)</f>
        <v>0</v>
      </c>
      <c r="BM50" s="654">
        <f>IF(WWWW[[#This Row],['# people reached by regular dedicated hygiene promotion]]&gt;WWWW[[#This Row],['# People received regular supply of hygiene items]],WWWW[[#This Row],['# people reached by regular dedicated hygiene promotion]],WWWW[[#This Row],['# People received regular supply of hygiene items]])</f>
        <v>0</v>
      </c>
      <c r="BN50" s="653">
        <f>IF(WWWW[[#This Row],[HRP3]]/WWWW[[#This Row],[Total PoP ]]&gt;100%,100%,WWWW[[#This Row],[HRP3]]/WWWW[[#This Row],[Total PoP ]])</f>
        <v>0</v>
      </c>
      <c r="BO50" s="650">
        <f>1-WWWW[[#This Row],[Hygiene Coverage%]]</f>
        <v>1</v>
      </c>
      <c r="BP50" s="652">
        <f>WWWW[[#This Row],['# people reached by regular dedicated hygiene promotion]]/WWWW[[#This Row],[Total PoP ]]</f>
        <v>0</v>
      </c>
      <c r="BQ5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50" s="478">
        <f>WWWW[[#This Row],['#_of_affected_women_and_girls_receiving_a_sufficient_quantity_of_sanitary_pads]]</f>
        <v>0</v>
      </c>
      <c r="BS50" s="524">
        <f>IF(WWWW[[#This Row],['# People with access to soap]]&gt;WWWW[[#This Row],['# People with access to Sanity Pads]],WWWW[[#This Row],['# People with access to soap]],WWWW[[#This Row],['# People with access to Sanity Pads]])</f>
        <v>0</v>
      </c>
      <c r="BT50" s="483" t="str">
        <f>IF(OR(WWWW[[#This Row],['#of students in school]]="",WWWW[[#This Row],['#of students in school]]=0),"No","Yes")</f>
        <v>No</v>
      </c>
      <c r="BU50" s="645" t="str">
        <f>VLOOKUP(WWWW[[#This Row],[Village  Name]],SiteDB6[[Site Name]:[Location Type 1]],9,FALSE)</f>
        <v>Village</v>
      </c>
      <c r="BV50" s="645" t="str">
        <f>VLOOKUP(WWWW[[#This Row],[Village  Name]],SiteDB6[[Site Name]:[Type of Accommodation]],10,FALSE)</f>
        <v>Village</v>
      </c>
      <c r="BW50" s="645">
        <f>VLOOKUP(WWWW[[#This Row],[Village  Name]],SiteDB6[[Site Name]:[Ethnic or GCA/NGCA]],11,FALSE)</f>
        <v>0</v>
      </c>
      <c r="BX50" s="645">
        <f>VLOOKUP(WWWW[[#This Row],[Village  Name]],SiteDB6[[Site Name]:[Lat]],12,FALSE)</f>
        <v>0</v>
      </c>
      <c r="BY50" s="645">
        <f>VLOOKUP(WWWW[[#This Row],[Village  Name]],SiteDB6[[Site Name]:[Long]],13,FALSE)</f>
        <v>0</v>
      </c>
      <c r="BZ50" s="645">
        <f>VLOOKUP(WWWW[[#This Row],[Village  Name]],SiteDB6[[Site Name]:[Pcode]],3,FALSE)</f>
        <v>0</v>
      </c>
      <c r="CA50" s="645" t="str">
        <f t="shared" si="1"/>
        <v>Covered</v>
      </c>
      <c r="CB50" s="655"/>
    </row>
    <row r="51" spans="1:80">
      <c r="A51" s="641" t="s">
        <v>3150</v>
      </c>
      <c r="B51" s="641" t="s">
        <v>2994</v>
      </c>
      <c r="C51" s="642"/>
      <c r="D51" s="642" t="s">
        <v>231</v>
      </c>
      <c r="E51" s="643" t="s">
        <v>698</v>
      </c>
      <c r="F51" s="642" t="s">
        <v>3033</v>
      </c>
      <c r="G51" s="644" t="str">
        <f>VLOOKUP(WWWW[[#This Row],[Village  Name]],SiteDB6[[Site Name]:[Location Type]],8,FALSE)</f>
        <v>Village</v>
      </c>
      <c r="H51" s="642" t="s">
        <v>3059</v>
      </c>
      <c r="I51" s="646"/>
      <c r="J51" s="646">
        <v>201</v>
      </c>
      <c r="K51" s="647">
        <v>43258</v>
      </c>
      <c r="L51" s="648">
        <v>43830</v>
      </c>
      <c r="M51" s="646"/>
      <c r="N51" s="646"/>
      <c r="O51" s="524"/>
      <c r="P51" s="646"/>
      <c r="Q51" s="646"/>
      <c r="R51" s="646"/>
      <c r="S51" s="646"/>
      <c r="T51" s="646"/>
      <c r="U51" s="649"/>
      <c r="V51" s="646">
        <v>4</v>
      </c>
      <c r="W51" s="646"/>
      <c r="X51" s="646"/>
      <c r="Y51" s="646"/>
      <c r="Z51" s="646"/>
      <c r="AA51" s="646"/>
      <c r="AB51" s="646"/>
      <c r="AC51" s="649"/>
      <c r="AD51" s="646"/>
      <c r="AE51" s="646"/>
      <c r="AF51" s="646"/>
      <c r="AG51" s="646"/>
      <c r="AH51" s="646"/>
      <c r="AI51" s="646"/>
      <c r="AJ51" s="524"/>
      <c r="AK51" s="646"/>
      <c r="AL51" s="524"/>
      <c r="AM51" s="524"/>
      <c r="AN51" s="649"/>
      <c r="AO51" s="477"/>
      <c r="AP51" s="477"/>
      <c r="AQ51" s="524"/>
      <c r="AR51" s="524"/>
      <c r="AS51" s="524"/>
      <c r="AT51"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51" s="651">
        <f>WWWW[[#This Row],[%Equitable and continuous access to sufficient quantity of safe drinking water]]*WWWW[[#This Row],[Total PoP ]]</f>
        <v>0</v>
      </c>
      <c r="AV51"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51" s="651">
        <f>WWWW[[#This Row],[% Access to unimproved water points]]*WWWW[[#This Row],[Total PoP ]]</f>
        <v>0</v>
      </c>
      <c r="AX51"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51"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51" s="651">
        <f>WWWW[[#This Row],[HRP1]]/250</f>
        <v>0</v>
      </c>
      <c r="BA51" s="653">
        <f>1-WWWW[[#This Row],[% Equitable and continuous access to sufficient quantity of domestic water]]</f>
        <v>1</v>
      </c>
      <c r="BB51" s="651">
        <f>WWWW[[#This Row],[%equitable and continuous access to sufficient quantity of safe drinking and domestic water''s GAP]]*WWWW[[#This Row],[Total PoP ]]</f>
        <v>201</v>
      </c>
      <c r="BC51" s="654">
        <f>IF(WWWW[[#This Row],[Total required water points]]-WWWW[[#This Row],['#Water points coverage]]&lt;0,0,WWWW[[#This Row],[Total required water points]]-WWWW[[#This Row],['#Water points coverage]])</f>
        <v>1</v>
      </c>
      <c r="BD51" s="654">
        <f>ROUND(IF(WWWW[[#This Row],[Total PoP ]]&lt;250,1,WWWW[[#This Row],[Total PoP ]]/250),0)</f>
        <v>1</v>
      </c>
      <c r="BE5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0.11940298507462686</v>
      </c>
      <c r="BF51" s="651">
        <f>WWWW[[#This Row],[% people access to functioning Latrine]]*WWWW[[#This Row],[Total PoP ]]</f>
        <v>24</v>
      </c>
      <c r="BG51" s="654">
        <f>WWWW[[#This Row],['#_of_Functioning_latrines_in_school]]*50</f>
        <v>0</v>
      </c>
      <c r="BH51" s="654">
        <f>ROUND((WWWW[[#This Row],[Total PoP ]]/6),0)</f>
        <v>34</v>
      </c>
      <c r="BI51" s="654">
        <f>IF(WWWW[[#This Row],[Total required Latrines]]-(WWWW[[#This Row],['#_of_sanitary_fly-proof_HH_latrines]])&lt;0,0,WWWW[[#This Row],[Total required Latrines]]-(WWWW[[#This Row],['#_of_sanitary_fly-proof_HH_latrines]]))</f>
        <v>30</v>
      </c>
      <c r="BJ51" s="650">
        <f>1-WWWW[[#This Row],[% people access to functioning Latrine]]</f>
        <v>0.88059701492537312</v>
      </c>
      <c r="BK51"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51" s="483">
        <f>IF(WWWW[[#This Row],['#_of_functional_handwashing_facilities_at_HH_level]]*6&gt;WWWW[[#This Row],[Total PoP ]],WWWW[[#This Row],[Total PoP ]],WWWW[[#This Row],['#_of_functional_handwashing_facilities_at_HH_level]]*6)</f>
        <v>0</v>
      </c>
      <c r="BM51" s="654">
        <f>IF(WWWW[[#This Row],['# people reached by regular dedicated hygiene promotion]]&gt;WWWW[[#This Row],['# People received regular supply of hygiene items]],WWWW[[#This Row],['# people reached by regular dedicated hygiene promotion]],WWWW[[#This Row],['# People received regular supply of hygiene items]])</f>
        <v>0</v>
      </c>
      <c r="BN51" s="653">
        <f>IF(WWWW[[#This Row],[HRP3]]/WWWW[[#This Row],[Total PoP ]]&gt;100%,100%,WWWW[[#This Row],[HRP3]]/WWWW[[#This Row],[Total PoP ]])</f>
        <v>0</v>
      </c>
      <c r="BO51" s="650">
        <f>1-WWWW[[#This Row],[Hygiene Coverage%]]</f>
        <v>1</v>
      </c>
      <c r="BP51" s="652">
        <f>WWWW[[#This Row],['# people reached by regular dedicated hygiene promotion]]/WWWW[[#This Row],[Total PoP ]]</f>
        <v>0</v>
      </c>
      <c r="BQ5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51" s="478">
        <f>WWWW[[#This Row],['#_of_affected_women_and_girls_receiving_a_sufficient_quantity_of_sanitary_pads]]</f>
        <v>0</v>
      </c>
      <c r="BS51" s="524">
        <f>IF(WWWW[[#This Row],['# People with access to soap]]&gt;WWWW[[#This Row],['# People with access to Sanity Pads]],WWWW[[#This Row],['# People with access to soap]],WWWW[[#This Row],['# People with access to Sanity Pads]])</f>
        <v>0</v>
      </c>
      <c r="BT51" s="483" t="str">
        <f>IF(OR(WWWW[[#This Row],['#of students in school]]="",WWWW[[#This Row],['#of students in school]]=0),"No","Yes")</f>
        <v>No</v>
      </c>
      <c r="BU51" s="645" t="str">
        <f>VLOOKUP(WWWW[[#This Row],[Village  Name]],SiteDB6[[Site Name]:[Location Type 1]],9,FALSE)</f>
        <v>Village</v>
      </c>
      <c r="BV51" s="645" t="str">
        <f>VLOOKUP(WWWW[[#This Row],[Village  Name]],SiteDB6[[Site Name]:[Type of Accommodation]],10,FALSE)</f>
        <v>Village</v>
      </c>
      <c r="BW51" s="645">
        <f>VLOOKUP(WWWW[[#This Row],[Village  Name]],SiteDB6[[Site Name]:[Ethnic or GCA/NGCA]],11,FALSE)</f>
        <v>0</v>
      </c>
      <c r="BX51" s="645">
        <f>VLOOKUP(WWWW[[#This Row],[Village  Name]],SiteDB6[[Site Name]:[Lat]],12,FALSE)</f>
        <v>0</v>
      </c>
      <c r="BY51" s="645">
        <f>VLOOKUP(WWWW[[#This Row],[Village  Name]],SiteDB6[[Site Name]:[Long]],13,FALSE)</f>
        <v>0</v>
      </c>
      <c r="BZ51" s="645">
        <f>VLOOKUP(WWWW[[#This Row],[Village  Name]],SiteDB6[[Site Name]:[Pcode]],3,FALSE)</f>
        <v>0</v>
      </c>
      <c r="CA51" s="645" t="str">
        <f t="shared" si="1"/>
        <v>Covered</v>
      </c>
      <c r="CB51" s="655"/>
    </row>
    <row r="52" spans="1:80">
      <c r="A52" s="641" t="s">
        <v>3150</v>
      </c>
      <c r="B52" s="641" t="s">
        <v>2994</v>
      </c>
      <c r="C52" s="642"/>
      <c r="D52" s="642" t="s">
        <v>231</v>
      </c>
      <c r="E52" s="643" t="s">
        <v>698</v>
      </c>
      <c r="F52" s="642" t="s">
        <v>3033</v>
      </c>
      <c r="G52" s="644" t="str">
        <f>VLOOKUP(WWWW[[#This Row],[Village  Name]],SiteDB6[[Site Name]:[Location Type]],8,FALSE)</f>
        <v>Village</v>
      </c>
      <c r="H52" s="642" t="s">
        <v>3060</v>
      </c>
      <c r="I52" s="646"/>
      <c r="J52" s="646">
        <v>245</v>
      </c>
      <c r="K52" s="647">
        <v>43258</v>
      </c>
      <c r="L52" s="648">
        <v>43830</v>
      </c>
      <c r="M52" s="646"/>
      <c r="N52" s="646"/>
      <c r="O52" s="524"/>
      <c r="P52" s="646"/>
      <c r="Q52" s="646"/>
      <c r="R52" s="646"/>
      <c r="S52" s="646"/>
      <c r="T52" s="646"/>
      <c r="U52" s="649"/>
      <c r="V52" s="646">
        <v>5</v>
      </c>
      <c r="W52" s="646"/>
      <c r="X52" s="646"/>
      <c r="Y52" s="646"/>
      <c r="Z52" s="646"/>
      <c r="AA52" s="646"/>
      <c r="AB52" s="646"/>
      <c r="AC52" s="649"/>
      <c r="AD52" s="646"/>
      <c r="AE52" s="646"/>
      <c r="AF52" s="646"/>
      <c r="AG52" s="646"/>
      <c r="AH52" s="646"/>
      <c r="AI52" s="646"/>
      <c r="AJ52" s="524"/>
      <c r="AK52" s="646"/>
      <c r="AL52" s="524"/>
      <c r="AM52" s="524"/>
      <c r="AN52" s="649"/>
      <c r="AO52" s="477"/>
      <c r="AP52" s="477"/>
      <c r="AQ52" s="524"/>
      <c r="AR52" s="524"/>
      <c r="AS52" s="524"/>
      <c r="AT52"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52" s="651">
        <f>WWWW[[#This Row],[%Equitable and continuous access to sufficient quantity of safe drinking water]]*WWWW[[#This Row],[Total PoP ]]</f>
        <v>0</v>
      </c>
      <c r="AV52"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52" s="651">
        <f>WWWW[[#This Row],[% Access to unimproved water points]]*WWWW[[#This Row],[Total PoP ]]</f>
        <v>0</v>
      </c>
      <c r="AX52"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52"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52" s="651">
        <f>WWWW[[#This Row],[HRP1]]/250</f>
        <v>0</v>
      </c>
      <c r="BA52" s="653">
        <f>1-WWWW[[#This Row],[% Equitable and continuous access to sufficient quantity of domestic water]]</f>
        <v>1</v>
      </c>
      <c r="BB52" s="651">
        <f>WWWW[[#This Row],[%equitable and continuous access to sufficient quantity of safe drinking and domestic water''s GAP]]*WWWW[[#This Row],[Total PoP ]]</f>
        <v>245</v>
      </c>
      <c r="BC52" s="654">
        <f>IF(WWWW[[#This Row],[Total required water points]]-WWWW[[#This Row],['#Water points coverage]]&lt;0,0,WWWW[[#This Row],[Total required water points]]-WWWW[[#This Row],['#Water points coverage]])</f>
        <v>1</v>
      </c>
      <c r="BD52" s="654">
        <f>ROUND(IF(WWWW[[#This Row],[Total PoP ]]&lt;250,1,WWWW[[#This Row],[Total PoP ]]/250),0)</f>
        <v>1</v>
      </c>
      <c r="BE5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0.12244897959183673</v>
      </c>
      <c r="BF52" s="651">
        <f>WWWW[[#This Row],[% people access to functioning Latrine]]*WWWW[[#This Row],[Total PoP ]]</f>
        <v>30</v>
      </c>
      <c r="BG52" s="654">
        <f>WWWW[[#This Row],['#_of_Functioning_latrines_in_school]]*50</f>
        <v>0</v>
      </c>
      <c r="BH52" s="654">
        <f>ROUND((WWWW[[#This Row],[Total PoP ]]/6),0)</f>
        <v>41</v>
      </c>
      <c r="BI52" s="654">
        <f>IF(WWWW[[#This Row],[Total required Latrines]]-(WWWW[[#This Row],['#_of_sanitary_fly-proof_HH_latrines]])&lt;0,0,WWWW[[#This Row],[Total required Latrines]]-(WWWW[[#This Row],['#_of_sanitary_fly-proof_HH_latrines]]))</f>
        <v>36</v>
      </c>
      <c r="BJ52" s="650">
        <f>1-WWWW[[#This Row],[% people access to functioning Latrine]]</f>
        <v>0.87755102040816324</v>
      </c>
      <c r="BK52"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52" s="483">
        <f>IF(WWWW[[#This Row],['#_of_functional_handwashing_facilities_at_HH_level]]*6&gt;WWWW[[#This Row],[Total PoP ]],WWWW[[#This Row],[Total PoP ]],WWWW[[#This Row],['#_of_functional_handwashing_facilities_at_HH_level]]*6)</f>
        <v>0</v>
      </c>
      <c r="BM52" s="654">
        <f>IF(WWWW[[#This Row],['# people reached by regular dedicated hygiene promotion]]&gt;WWWW[[#This Row],['# People received regular supply of hygiene items]],WWWW[[#This Row],['# people reached by regular dedicated hygiene promotion]],WWWW[[#This Row],['# People received regular supply of hygiene items]])</f>
        <v>0</v>
      </c>
      <c r="BN52" s="653">
        <f>IF(WWWW[[#This Row],[HRP3]]/WWWW[[#This Row],[Total PoP ]]&gt;100%,100%,WWWW[[#This Row],[HRP3]]/WWWW[[#This Row],[Total PoP ]])</f>
        <v>0</v>
      </c>
      <c r="BO52" s="650">
        <f>1-WWWW[[#This Row],[Hygiene Coverage%]]</f>
        <v>1</v>
      </c>
      <c r="BP52" s="652">
        <f>WWWW[[#This Row],['# people reached by regular dedicated hygiene promotion]]/WWWW[[#This Row],[Total PoP ]]</f>
        <v>0</v>
      </c>
      <c r="BQ5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52" s="478">
        <f>WWWW[[#This Row],['#_of_affected_women_and_girls_receiving_a_sufficient_quantity_of_sanitary_pads]]</f>
        <v>0</v>
      </c>
      <c r="BS52" s="524">
        <f>IF(WWWW[[#This Row],['# People with access to soap]]&gt;WWWW[[#This Row],['# People with access to Sanity Pads]],WWWW[[#This Row],['# People with access to soap]],WWWW[[#This Row],['# People with access to Sanity Pads]])</f>
        <v>0</v>
      </c>
      <c r="BT52" s="483" t="str">
        <f>IF(OR(WWWW[[#This Row],['#of students in school]]="",WWWW[[#This Row],['#of students in school]]=0),"No","Yes")</f>
        <v>No</v>
      </c>
      <c r="BU52" s="645" t="str">
        <f>VLOOKUP(WWWW[[#This Row],[Village  Name]],SiteDB6[[Site Name]:[Location Type 1]],9,FALSE)</f>
        <v>Village</v>
      </c>
      <c r="BV52" s="645" t="str">
        <f>VLOOKUP(WWWW[[#This Row],[Village  Name]],SiteDB6[[Site Name]:[Type of Accommodation]],10,FALSE)</f>
        <v>Village</v>
      </c>
      <c r="BW52" s="645">
        <f>VLOOKUP(WWWW[[#This Row],[Village  Name]],SiteDB6[[Site Name]:[Ethnic or GCA/NGCA]],11,FALSE)</f>
        <v>0</v>
      </c>
      <c r="BX52" s="645">
        <f>VLOOKUP(WWWW[[#This Row],[Village  Name]],SiteDB6[[Site Name]:[Lat]],12,FALSE)</f>
        <v>0</v>
      </c>
      <c r="BY52" s="645">
        <f>VLOOKUP(WWWW[[#This Row],[Village  Name]],SiteDB6[[Site Name]:[Long]],13,FALSE)</f>
        <v>0</v>
      </c>
      <c r="BZ52" s="645">
        <f>VLOOKUP(WWWW[[#This Row],[Village  Name]],SiteDB6[[Site Name]:[Pcode]],3,FALSE)</f>
        <v>0</v>
      </c>
      <c r="CA52" s="645" t="str">
        <f t="shared" si="1"/>
        <v>Covered</v>
      </c>
      <c r="CB52" s="655"/>
    </row>
    <row r="53" spans="1:80">
      <c r="A53" s="641" t="s">
        <v>3150</v>
      </c>
      <c r="B53" s="641" t="s">
        <v>2994</v>
      </c>
      <c r="C53" s="642"/>
      <c r="D53" s="642" t="s">
        <v>231</v>
      </c>
      <c r="E53" s="643" t="s">
        <v>698</v>
      </c>
      <c r="F53" s="642" t="s">
        <v>3033</v>
      </c>
      <c r="G53" s="644" t="str">
        <f>VLOOKUP(WWWW[[#This Row],[Village  Name]],SiteDB6[[Site Name]:[Location Type]],8,FALSE)</f>
        <v>Village</v>
      </c>
      <c r="H53" s="642" t="s">
        <v>3061</v>
      </c>
      <c r="I53" s="646"/>
      <c r="J53" s="646">
        <v>308</v>
      </c>
      <c r="K53" s="647">
        <v>43258</v>
      </c>
      <c r="L53" s="648">
        <v>43830</v>
      </c>
      <c r="M53" s="646"/>
      <c r="N53" s="646"/>
      <c r="O53" s="524"/>
      <c r="P53" s="646"/>
      <c r="Q53" s="646"/>
      <c r="R53" s="646"/>
      <c r="S53" s="646"/>
      <c r="T53" s="646"/>
      <c r="U53" s="649"/>
      <c r="V53" s="646">
        <v>9</v>
      </c>
      <c r="W53" s="646"/>
      <c r="X53" s="646"/>
      <c r="Y53" s="646"/>
      <c r="Z53" s="646"/>
      <c r="AA53" s="646"/>
      <c r="AB53" s="646"/>
      <c r="AC53" s="649"/>
      <c r="AD53" s="646"/>
      <c r="AE53" s="646"/>
      <c r="AF53" s="646"/>
      <c r="AG53" s="646"/>
      <c r="AH53" s="646"/>
      <c r="AI53" s="646"/>
      <c r="AJ53" s="524"/>
      <c r="AK53" s="646"/>
      <c r="AL53" s="524"/>
      <c r="AM53" s="524"/>
      <c r="AN53" s="649"/>
      <c r="AO53" s="477"/>
      <c r="AP53" s="477"/>
      <c r="AQ53" s="524"/>
      <c r="AR53" s="524"/>
      <c r="AS53" s="524"/>
      <c r="AT53"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53" s="651">
        <f>WWWW[[#This Row],[%Equitable and continuous access to sufficient quantity of safe drinking water]]*WWWW[[#This Row],[Total PoP ]]</f>
        <v>0</v>
      </c>
      <c r="AV53"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53" s="651">
        <f>WWWW[[#This Row],[% Access to unimproved water points]]*WWWW[[#This Row],[Total PoP ]]</f>
        <v>0</v>
      </c>
      <c r="AX53"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53"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53" s="651">
        <f>WWWW[[#This Row],[HRP1]]/250</f>
        <v>0</v>
      </c>
      <c r="BA53" s="653">
        <f>1-WWWW[[#This Row],[% Equitable and continuous access to sufficient quantity of domestic water]]</f>
        <v>1</v>
      </c>
      <c r="BB53" s="651">
        <f>WWWW[[#This Row],[%equitable and continuous access to sufficient quantity of safe drinking and domestic water''s GAP]]*WWWW[[#This Row],[Total PoP ]]</f>
        <v>308</v>
      </c>
      <c r="BC53" s="654">
        <f>IF(WWWW[[#This Row],[Total required water points]]-WWWW[[#This Row],['#Water points coverage]]&lt;0,0,WWWW[[#This Row],[Total required water points]]-WWWW[[#This Row],['#Water points coverage]])</f>
        <v>1</v>
      </c>
      <c r="BD53" s="654">
        <f>ROUND(IF(WWWW[[#This Row],[Total PoP ]]&lt;250,1,WWWW[[#This Row],[Total PoP ]]/250),0)</f>
        <v>1</v>
      </c>
      <c r="BE5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0.17532467532467533</v>
      </c>
      <c r="BF53" s="651">
        <f>WWWW[[#This Row],[% people access to functioning Latrine]]*WWWW[[#This Row],[Total PoP ]]</f>
        <v>54</v>
      </c>
      <c r="BG53" s="654">
        <f>WWWW[[#This Row],['#_of_Functioning_latrines_in_school]]*50</f>
        <v>0</v>
      </c>
      <c r="BH53" s="654">
        <f>ROUND((WWWW[[#This Row],[Total PoP ]]/6),0)</f>
        <v>51</v>
      </c>
      <c r="BI53" s="654">
        <f>IF(WWWW[[#This Row],[Total required Latrines]]-(WWWW[[#This Row],['#_of_sanitary_fly-proof_HH_latrines]])&lt;0,0,WWWW[[#This Row],[Total required Latrines]]-(WWWW[[#This Row],['#_of_sanitary_fly-proof_HH_latrines]]))</f>
        <v>42</v>
      </c>
      <c r="BJ53" s="650">
        <f>1-WWWW[[#This Row],[% people access to functioning Latrine]]</f>
        <v>0.82467532467532467</v>
      </c>
      <c r="BK53"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53" s="483">
        <f>IF(WWWW[[#This Row],['#_of_functional_handwashing_facilities_at_HH_level]]*6&gt;WWWW[[#This Row],[Total PoP ]],WWWW[[#This Row],[Total PoP ]],WWWW[[#This Row],['#_of_functional_handwashing_facilities_at_HH_level]]*6)</f>
        <v>0</v>
      </c>
      <c r="BM53" s="654">
        <f>IF(WWWW[[#This Row],['# people reached by regular dedicated hygiene promotion]]&gt;WWWW[[#This Row],['# People received regular supply of hygiene items]],WWWW[[#This Row],['# people reached by regular dedicated hygiene promotion]],WWWW[[#This Row],['# People received regular supply of hygiene items]])</f>
        <v>0</v>
      </c>
      <c r="BN53" s="653">
        <f>IF(WWWW[[#This Row],[HRP3]]/WWWW[[#This Row],[Total PoP ]]&gt;100%,100%,WWWW[[#This Row],[HRP3]]/WWWW[[#This Row],[Total PoP ]])</f>
        <v>0</v>
      </c>
      <c r="BO53" s="650">
        <f>1-WWWW[[#This Row],[Hygiene Coverage%]]</f>
        <v>1</v>
      </c>
      <c r="BP53" s="652">
        <f>WWWW[[#This Row],['# people reached by regular dedicated hygiene promotion]]/WWWW[[#This Row],[Total PoP ]]</f>
        <v>0</v>
      </c>
      <c r="BQ5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53" s="478">
        <f>WWWW[[#This Row],['#_of_affected_women_and_girls_receiving_a_sufficient_quantity_of_sanitary_pads]]</f>
        <v>0</v>
      </c>
      <c r="BS53" s="524">
        <f>IF(WWWW[[#This Row],['# People with access to soap]]&gt;WWWW[[#This Row],['# People with access to Sanity Pads]],WWWW[[#This Row],['# People with access to soap]],WWWW[[#This Row],['# People with access to Sanity Pads]])</f>
        <v>0</v>
      </c>
      <c r="BT53" s="483" t="str">
        <f>IF(OR(WWWW[[#This Row],['#of students in school]]="",WWWW[[#This Row],['#of students in school]]=0),"No","Yes")</f>
        <v>No</v>
      </c>
      <c r="BU53" s="645" t="str">
        <f>VLOOKUP(WWWW[[#This Row],[Village  Name]],SiteDB6[[Site Name]:[Location Type 1]],9,FALSE)</f>
        <v>Village</v>
      </c>
      <c r="BV53" s="645" t="str">
        <f>VLOOKUP(WWWW[[#This Row],[Village  Name]],SiteDB6[[Site Name]:[Type of Accommodation]],10,FALSE)</f>
        <v>Village</v>
      </c>
      <c r="BW53" s="645">
        <f>VLOOKUP(WWWW[[#This Row],[Village  Name]],SiteDB6[[Site Name]:[Ethnic or GCA/NGCA]],11,FALSE)</f>
        <v>0</v>
      </c>
      <c r="BX53" s="645">
        <f>VLOOKUP(WWWW[[#This Row],[Village  Name]],SiteDB6[[Site Name]:[Lat]],12,FALSE)</f>
        <v>0</v>
      </c>
      <c r="BY53" s="645">
        <f>VLOOKUP(WWWW[[#This Row],[Village  Name]],SiteDB6[[Site Name]:[Long]],13,FALSE)</f>
        <v>0</v>
      </c>
      <c r="BZ53" s="645">
        <f>VLOOKUP(WWWW[[#This Row],[Village  Name]],SiteDB6[[Site Name]:[Pcode]],3,FALSE)</f>
        <v>0</v>
      </c>
      <c r="CA53" s="645" t="str">
        <f t="shared" si="1"/>
        <v>Covered</v>
      </c>
      <c r="CB53" s="655"/>
    </row>
    <row r="54" spans="1:80">
      <c r="A54" s="641" t="s">
        <v>3150</v>
      </c>
      <c r="B54" s="641" t="s">
        <v>2994</v>
      </c>
      <c r="C54" s="642"/>
      <c r="D54" s="642" t="s">
        <v>231</v>
      </c>
      <c r="E54" s="643" t="s">
        <v>698</v>
      </c>
      <c r="F54" s="642" t="s">
        <v>3033</v>
      </c>
      <c r="G54" s="644" t="str">
        <f>VLOOKUP(WWWW[[#This Row],[Village  Name]],SiteDB6[[Site Name]:[Location Type]],8,FALSE)</f>
        <v>Village</v>
      </c>
      <c r="H54" s="642" t="s">
        <v>3062</v>
      </c>
      <c r="I54" s="646"/>
      <c r="J54" s="646">
        <v>178</v>
      </c>
      <c r="K54" s="647">
        <v>43258</v>
      </c>
      <c r="L54" s="648">
        <v>43830</v>
      </c>
      <c r="M54" s="646"/>
      <c r="N54" s="646"/>
      <c r="O54" s="524"/>
      <c r="P54" s="646"/>
      <c r="Q54" s="646"/>
      <c r="R54" s="646"/>
      <c r="S54" s="646"/>
      <c r="T54" s="646"/>
      <c r="U54" s="649"/>
      <c r="V54" s="646">
        <v>6</v>
      </c>
      <c r="W54" s="646"/>
      <c r="X54" s="646"/>
      <c r="Y54" s="646"/>
      <c r="Z54" s="646"/>
      <c r="AA54" s="646"/>
      <c r="AB54" s="646"/>
      <c r="AC54" s="649"/>
      <c r="AD54" s="646"/>
      <c r="AE54" s="646"/>
      <c r="AF54" s="646"/>
      <c r="AG54" s="646"/>
      <c r="AH54" s="646"/>
      <c r="AI54" s="646"/>
      <c r="AJ54" s="524"/>
      <c r="AK54" s="646"/>
      <c r="AL54" s="524"/>
      <c r="AM54" s="524"/>
      <c r="AN54" s="649"/>
      <c r="AO54" s="477"/>
      <c r="AP54" s="477"/>
      <c r="AQ54" s="524"/>
      <c r="AR54" s="524"/>
      <c r="AS54" s="524"/>
      <c r="AT54"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54" s="651">
        <f>WWWW[[#This Row],[%Equitable and continuous access to sufficient quantity of safe drinking water]]*WWWW[[#This Row],[Total PoP ]]</f>
        <v>0</v>
      </c>
      <c r="AV54"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54" s="651">
        <f>WWWW[[#This Row],[% Access to unimproved water points]]*WWWW[[#This Row],[Total PoP ]]</f>
        <v>0</v>
      </c>
      <c r="AX54"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54"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54" s="651">
        <f>WWWW[[#This Row],[HRP1]]/250</f>
        <v>0</v>
      </c>
      <c r="BA54" s="653">
        <f>1-WWWW[[#This Row],[% Equitable and continuous access to sufficient quantity of domestic water]]</f>
        <v>1</v>
      </c>
      <c r="BB54" s="651">
        <f>WWWW[[#This Row],[%equitable and continuous access to sufficient quantity of safe drinking and domestic water''s GAP]]*WWWW[[#This Row],[Total PoP ]]</f>
        <v>178</v>
      </c>
      <c r="BC54" s="654">
        <f>IF(WWWW[[#This Row],[Total required water points]]-WWWW[[#This Row],['#Water points coverage]]&lt;0,0,WWWW[[#This Row],[Total required water points]]-WWWW[[#This Row],['#Water points coverage]])</f>
        <v>1</v>
      </c>
      <c r="BD54" s="654">
        <f>ROUND(IF(WWWW[[#This Row],[Total PoP ]]&lt;250,1,WWWW[[#This Row],[Total PoP ]]/250),0)</f>
        <v>1</v>
      </c>
      <c r="BE5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0.20224719101123595</v>
      </c>
      <c r="BF54" s="651">
        <f>WWWW[[#This Row],[% people access to functioning Latrine]]*WWWW[[#This Row],[Total PoP ]]</f>
        <v>36</v>
      </c>
      <c r="BG54" s="654">
        <f>WWWW[[#This Row],['#_of_Functioning_latrines_in_school]]*50</f>
        <v>0</v>
      </c>
      <c r="BH54" s="654">
        <f>ROUND((WWWW[[#This Row],[Total PoP ]]/6),0)</f>
        <v>30</v>
      </c>
      <c r="BI54" s="654">
        <f>IF(WWWW[[#This Row],[Total required Latrines]]-(WWWW[[#This Row],['#_of_sanitary_fly-proof_HH_latrines]])&lt;0,0,WWWW[[#This Row],[Total required Latrines]]-(WWWW[[#This Row],['#_of_sanitary_fly-proof_HH_latrines]]))</f>
        <v>24</v>
      </c>
      <c r="BJ54" s="650">
        <f>1-WWWW[[#This Row],[% people access to functioning Latrine]]</f>
        <v>0.797752808988764</v>
      </c>
      <c r="BK54"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54" s="483">
        <f>IF(WWWW[[#This Row],['#_of_functional_handwashing_facilities_at_HH_level]]*6&gt;WWWW[[#This Row],[Total PoP ]],WWWW[[#This Row],[Total PoP ]],WWWW[[#This Row],['#_of_functional_handwashing_facilities_at_HH_level]]*6)</f>
        <v>0</v>
      </c>
      <c r="BM54" s="654">
        <f>IF(WWWW[[#This Row],['# people reached by regular dedicated hygiene promotion]]&gt;WWWW[[#This Row],['# People received regular supply of hygiene items]],WWWW[[#This Row],['# people reached by regular dedicated hygiene promotion]],WWWW[[#This Row],['# People received regular supply of hygiene items]])</f>
        <v>0</v>
      </c>
      <c r="BN54" s="653">
        <f>IF(WWWW[[#This Row],[HRP3]]/WWWW[[#This Row],[Total PoP ]]&gt;100%,100%,WWWW[[#This Row],[HRP3]]/WWWW[[#This Row],[Total PoP ]])</f>
        <v>0</v>
      </c>
      <c r="BO54" s="650">
        <f>1-WWWW[[#This Row],[Hygiene Coverage%]]</f>
        <v>1</v>
      </c>
      <c r="BP54" s="652">
        <f>WWWW[[#This Row],['# people reached by regular dedicated hygiene promotion]]/WWWW[[#This Row],[Total PoP ]]</f>
        <v>0</v>
      </c>
      <c r="BQ5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54" s="478">
        <f>WWWW[[#This Row],['#_of_affected_women_and_girls_receiving_a_sufficient_quantity_of_sanitary_pads]]</f>
        <v>0</v>
      </c>
      <c r="BS54" s="524">
        <f>IF(WWWW[[#This Row],['# People with access to soap]]&gt;WWWW[[#This Row],['# People with access to Sanity Pads]],WWWW[[#This Row],['# People with access to soap]],WWWW[[#This Row],['# People with access to Sanity Pads]])</f>
        <v>0</v>
      </c>
      <c r="BT54" s="483" t="str">
        <f>IF(OR(WWWW[[#This Row],['#of students in school]]="",WWWW[[#This Row],['#of students in school]]=0),"No","Yes")</f>
        <v>No</v>
      </c>
      <c r="BU54" s="645" t="str">
        <f>VLOOKUP(WWWW[[#This Row],[Village  Name]],SiteDB6[[Site Name]:[Location Type 1]],9,FALSE)</f>
        <v>Village</v>
      </c>
      <c r="BV54" s="645" t="str">
        <f>VLOOKUP(WWWW[[#This Row],[Village  Name]],SiteDB6[[Site Name]:[Type of Accommodation]],10,FALSE)</f>
        <v>Village</v>
      </c>
      <c r="BW54" s="645">
        <f>VLOOKUP(WWWW[[#This Row],[Village  Name]],SiteDB6[[Site Name]:[Ethnic or GCA/NGCA]],11,FALSE)</f>
        <v>0</v>
      </c>
      <c r="BX54" s="645">
        <f>VLOOKUP(WWWW[[#This Row],[Village  Name]],SiteDB6[[Site Name]:[Lat]],12,FALSE)</f>
        <v>0</v>
      </c>
      <c r="BY54" s="645">
        <f>VLOOKUP(WWWW[[#This Row],[Village  Name]],SiteDB6[[Site Name]:[Long]],13,FALSE)</f>
        <v>0</v>
      </c>
      <c r="BZ54" s="645">
        <f>VLOOKUP(WWWW[[#This Row],[Village  Name]],SiteDB6[[Site Name]:[Pcode]],3,FALSE)</f>
        <v>0</v>
      </c>
      <c r="CA54" s="645" t="str">
        <f t="shared" si="1"/>
        <v>Covered</v>
      </c>
      <c r="CB54" s="655"/>
    </row>
    <row r="55" spans="1:80">
      <c r="A55" s="641" t="s">
        <v>3150</v>
      </c>
      <c r="B55" s="641" t="s">
        <v>2994</v>
      </c>
      <c r="C55" s="642"/>
      <c r="D55" s="642" t="s">
        <v>231</v>
      </c>
      <c r="E55" s="643" t="s">
        <v>698</v>
      </c>
      <c r="F55" s="642" t="s">
        <v>3033</v>
      </c>
      <c r="G55" s="644" t="str">
        <f>VLOOKUP(WWWW[[#This Row],[Village  Name]],SiteDB6[[Site Name]:[Location Type]],8,FALSE)</f>
        <v>Village</v>
      </c>
      <c r="H55" s="642" t="s">
        <v>3063</v>
      </c>
      <c r="I55" s="646"/>
      <c r="J55" s="646">
        <v>393</v>
      </c>
      <c r="K55" s="647">
        <v>43258</v>
      </c>
      <c r="L55" s="648">
        <v>43830</v>
      </c>
      <c r="M55" s="646"/>
      <c r="N55" s="646"/>
      <c r="O55" s="524"/>
      <c r="P55" s="646"/>
      <c r="Q55" s="646"/>
      <c r="R55" s="646"/>
      <c r="S55" s="646"/>
      <c r="T55" s="646"/>
      <c r="U55" s="649"/>
      <c r="V55" s="646">
        <v>4</v>
      </c>
      <c r="W55" s="646"/>
      <c r="X55" s="646"/>
      <c r="Y55" s="646"/>
      <c r="Z55" s="646"/>
      <c r="AA55" s="646"/>
      <c r="AB55" s="646"/>
      <c r="AC55" s="649"/>
      <c r="AD55" s="646"/>
      <c r="AE55" s="646"/>
      <c r="AF55" s="646"/>
      <c r="AG55" s="646"/>
      <c r="AH55" s="646"/>
      <c r="AI55" s="646"/>
      <c r="AJ55" s="524"/>
      <c r="AK55" s="646"/>
      <c r="AL55" s="524"/>
      <c r="AM55" s="524"/>
      <c r="AN55" s="649"/>
      <c r="AO55" s="477"/>
      <c r="AP55" s="477"/>
      <c r="AQ55" s="524"/>
      <c r="AR55" s="524"/>
      <c r="AS55" s="524"/>
      <c r="AT55"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55" s="651">
        <f>WWWW[[#This Row],[%Equitable and continuous access to sufficient quantity of safe drinking water]]*WWWW[[#This Row],[Total PoP ]]</f>
        <v>0</v>
      </c>
      <c r="AV55"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55" s="651">
        <f>WWWW[[#This Row],[% Access to unimproved water points]]*WWWW[[#This Row],[Total PoP ]]</f>
        <v>0</v>
      </c>
      <c r="AX55"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55"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55" s="651">
        <f>WWWW[[#This Row],[HRP1]]/250</f>
        <v>0</v>
      </c>
      <c r="BA55" s="653">
        <f>1-WWWW[[#This Row],[% Equitable and continuous access to sufficient quantity of domestic water]]</f>
        <v>1</v>
      </c>
      <c r="BB55" s="651">
        <f>WWWW[[#This Row],[%equitable and continuous access to sufficient quantity of safe drinking and domestic water''s GAP]]*WWWW[[#This Row],[Total PoP ]]</f>
        <v>393</v>
      </c>
      <c r="BC55" s="654">
        <f>IF(WWWW[[#This Row],[Total required water points]]-WWWW[[#This Row],['#Water points coverage]]&lt;0,0,WWWW[[#This Row],[Total required water points]]-WWWW[[#This Row],['#Water points coverage]])</f>
        <v>2</v>
      </c>
      <c r="BD55" s="654">
        <f>ROUND(IF(WWWW[[#This Row],[Total PoP ]]&lt;250,1,WWWW[[#This Row],[Total PoP ]]/250),0)</f>
        <v>2</v>
      </c>
      <c r="BE5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6.1068702290076333E-2</v>
      </c>
      <c r="BF55" s="651">
        <f>WWWW[[#This Row],[% people access to functioning Latrine]]*WWWW[[#This Row],[Total PoP ]]</f>
        <v>24</v>
      </c>
      <c r="BG55" s="654">
        <f>WWWW[[#This Row],['#_of_Functioning_latrines_in_school]]*50</f>
        <v>0</v>
      </c>
      <c r="BH55" s="654">
        <f>ROUND((WWWW[[#This Row],[Total PoP ]]/6),0)</f>
        <v>66</v>
      </c>
      <c r="BI55" s="654">
        <f>IF(WWWW[[#This Row],[Total required Latrines]]-(WWWW[[#This Row],['#_of_sanitary_fly-proof_HH_latrines]])&lt;0,0,WWWW[[#This Row],[Total required Latrines]]-(WWWW[[#This Row],['#_of_sanitary_fly-proof_HH_latrines]]))</f>
        <v>62</v>
      </c>
      <c r="BJ55" s="650">
        <f>1-WWWW[[#This Row],[% people access to functioning Latrine]]</f>
        <v>0.93893129770992367</v>
      </c>
      <c r="BK55"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55" s="483">
        <f>IF(WWWW[[#This Row],['#_of_functional_handwashing_facilities_at_HH_level]]*6&gt;WWWW[[#This Row],[Total PoP ]],WWWW[[#This Row],[Total PoP ]],WWWW[[#This Row],['#_of_functional_handwashing_facilities_at_HH_level]]*6)</f>
        <v>0</v>
      </c>
      <c r="BM55" s="654">
        <f>IF(WWWW[[#This Row],['# people reached by regular dedicated hygiene promotion]]&gt;WWWW[[#This Row],['# People received regular supply of hygiene items]],WWWW[[#This Row],['# people reached by regular dedicated hygiene promotion]],WWWW[[#This Row],['# People received regular supply of hygiene items]])</f>
        <v>0</v>
      </c>
      <c r="BN55" s="653">
        <f>IF(WWWW[[#This Row],[HRP3]]/WWWW[[#This Row],[Total PoP ]]&gt;100%,100%,WWWW[[#This Row],[HRP3]]/WWWW[[#This Row],[Total PoP ]])</f>
        <v>0</v>
      </c>
      <c r="BO55" s="650">
        <f>1-WWWW[[#This Row],[Hygiene Coverage%]]</f>
        <v>1</v>
      </c>
      <c r="BP55" s="652">
        <f>WWWW[[#This Row],['# people reached by regular dedicated hygiene promotion]]/WWWW[[#This Row],[Total PoP ]]</f>
        <v>0</v>
      </c>
      <c r="BQ5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55" s="478">
        <f>WWWW[[#This Row],['#_of_affected_women_and_girls_receiving_a_sufficient_quantity_of_sanitary_pads]]</f>
        <v>0</v>
      </c>
      <c r="BS55" s="524">
        <f>IF(WWWW[[#This Row],['# People with access to soap]]&gt;WWWW[[#This Row],['# People with access to Sanity Pads]],WWWW[[#This Row],['# People with access to soap]],WWWW[[#This Row],['# People with access to Sanity Pads]])</f>
        <v>0</v>
      </c>
      <c r="BT55" s="483" t="str">
        <f>IF(OR(WWWW[[#This Row],['#of students in school]]="",WWWW[[#This Row],['#of students in school]]=0),"No","Yes")</f>
        <v>No</v>
      </c>
      <c r="BU55" s="645" t="str">
        <f>VLOOKUP(WWWW[[#This Row],[Village  Name]],SiteDB6[[Site Name]:[Location Type 1]],9,FALSE)</f>
        <v>Village</v>
      </c>
      <c r="BV55" s="645" t="str">
        <f>VLOOKUP(WWWW[[#This Row],[Village  Name]],SiteDB6[[Site Name]:[Type of Accommodation]],10,FALSE)</f>
        <v>Village</v>
      </c>
      <c r="BW55" s="645">
        <f>VLOOKUP(WWWW[[#This Row],[Village  Name]],SiteDB6[[Site Name]:[Ethnic or GCA/NGCA]],11,FALSE)</f>
        <v>0</v>
      </c>
      <c r="BX55" s="645">
        <f>VLOOKUP(WWWW[[#This Row],[Village  Name]],SiteDB6[[Site Name]:[Lat]],12,FALSE)</f>
        <v>0</v>
      </c>
      <c r="BY55" s="645">
        <f>VLOOKUP(WWWW[[#This Row],[Village  Name]],SiteDB6[[Site Name]:[Long]],13,FALSE)</f>
        <v>0</v>
      </c>
      <c r="BZ55" s="645">
        <f>VLOOKUP(WWWW[[#This Row],[Village  Name]],SiteDB6[[Site Name]:[Pcode]],3,FALSE)</f>
        <v>0</v>
      </c>
      <c r="CA55" s="645" t="str">
        <f t="shared" si="1"/>
        <v>Covered</v>
      </c>
      <c r="CB55" s="655"/>
    </row>
    <row r="56" spans="1:80">
      <c r="A56" s="641" t="s">
        <v>3150</v>
      </c>
      <c r="B56" s="641" t="s">
        <v>2994</v>
      </c>
      <c r="C56" s="642"/>
      <c r="D56" s="642" t="s">
        <v>231</v>
      </c>
      <c r="E56" s="643" t="s">
        <v>698</v>
      </c>
      <c r="F56" s="642" t="s">
        <v>3033</v>
      </c>
      <c r="G56" s="644" t="str">
        <f>VLOOKUP(WWWW[[#This Row],[Village  Name]],SiteDB6[[Site Name]:[Location Type]],8,FALSE)</f>
        <v>Village</v>
      </c>
      <c r="H56" s="642" t="s">
        <v>3064</v>
      </c>
      <c r="I56" s="646"/>
      <c r="J56" s="646">
        <v>131</v>
      </c>
      <c r="K56" s="647">
        <v>43258</v>
      </c>
      <c r="L56" s="648">
        <v>43830</v>
      </c>
      <c r="M56" s="646"/>
      <c r="N56" s="646"/>
      <c r="O56" s="524"/>
      <c r="P56" s="646"/>
      <c r="Q56" s="646"/>
      <c r="R56" s="646"/>
      <c r="S56" s="646"/>
      <c r="T56" s="646"/>
      <c r="U56" s="649"/>
      <c r="V56" s="646">
        <v>1</v>
      </c>
      <c r="W56" s="646"/>
      <c r="X56" s="646"/>
      <c r="Y56" s="646"/>
      <c r="Z56" s="646"/>
      <c r="AA56" s="646"/>
      <c r="AB56" s="646"/>
      <c r="AC56" s="649"/>
      <c r="AD56" s="646"/>
      <c r="AE56" s="646"/>
      <c r="AF56" s="646"/>
      <c r="AG56" s="646"/>
      <c r="AH56" s="646"/>
      <c r="AI56" s="646"/>
      <c r="AJ56" s="524"/>
      <c r="AK56" s="646"/>
      <c r="AL56" s="524"/>
      <c r="AM56" s="524"/>
      <c r="AN56" s="649"/>
      <c r="AO56" s="477"/>
      <c r="AP56" s="477"/>
      <c r="AQ56" s="524"/>
      <c r="AR56" s="524"/>
      <c r="AS56" s="524"/>
      <c r="AT56"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56" s="651">
        <f>WWWW[[#This Row],[%Equitable and continuous access to sufficient quantity of safe drinking water]]*WWWW[[#This Row],[Total PoP ]]</f>
        <v>0</v>
      </c>
      <c r="AV56"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56" s="651">
        <f>WWWW[[#This Row],[% Access to unimproved water points]]*WWWW[[#This Row],[Total PoP ]]</f>
        <v>0</v>
      </c>
      <c r="AX56"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56"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56" s="651">
        <f>WWWW[[#This Row],[HRP1]]/250</f>
        <v>0</v>
      </c>
      <c r="BA56" s="653">
        <f>1-WWWW[[#This Row],[% Equitable and continuous access to sufficient quantity of domestic water]]</f>
        <v>1</v>
      </c>
      <c r="BB56" s="651">
        <f>WWWW[[#This Row],[%equitable and continuous access to sufficient quantity of safe drinking and domestic water''s GAP]]*WWWW[[#This Row],[Total PoP ]]</f>
        <v>131</v>
      </c>
      <c r="BC56" s="654">
        <f>IF(WWWW[[#This Row],[Total required water points]]-WWWW[[#This Row],['#Water points coverage]]&lt;0,0,WWWW[[#This Row],[Total required water points]]-WWWW[[#This Row],['#Water points coverage]])</f>
        <v>1</v>
      </c>
      <c r="BD56" s="654">
        <f>ROUND(IF(WWWW[[#This Row],[Total PoP ]]&lt;250,1,WWWW[[#This Row],[Total PoP ]]/250),0)</f>
        <v>1</v>
      </c>
      <c r="BE5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4.5801526717557252E-2</v>
      </c>
      <c r="BF56" s="651">
        <f>WWWW[[#This Row],[% people access to functioning Latrine]]*WWWW[[#This Row],[Total PoP ]]</f>
        <v>6</v>
      </c>
      <c r="BG56" s="654">
        <f>WWWW[[#This Row],['#_of_Functioning_latrines_in_school]]*50</f>
        <v>0</v>
      </c>
      <c r="BH56" s="654">
        <f>ROUND((WWWW[[#This Row],[Total PoP ]]/6),0)</f>
        <v>22</v>
      </c>
      <c r="BI56" s="654">
        <f>IF(WWWW[[#This Row],[Total required Latrines]]-(WWWW[[#This Row],['#_of_sanitary_fly-proof_HH_latrines]])&lt;0,0,WWWW[[#This Row],[Total required Latrines]]-(WWWW[[#This Row],['#_of_sanitary_fly-proof_HH_latrines]]))</f>
        <v>21</v>
      </c>
      <c r="BJ56" s="650">
        <f>1-WWWW[[#This Row],[% people access to functioning Latrine]]</f>
        <v>0.95419847328244278</v>
      </c>
      <c r="BK56"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56" s="483">
        <f>IF(WWWW[[#This Row],['#_of_functional_handwashing_facilities_at_HH_level]]*6&gt;WWWW[[#This Row],[Total PoP ]],WWWW[[#This Row],[Total PoP ]],WWWW[[#This Row],['#_of_functional_handwashing_facilities_at_HH_level]]*6)</f>
        <v>0</v>
      </c>
      <c r="BM56" s="654">
        <f>IF(WWWW[[#This Row],['# people reached by regular dedicated hygiene promotion]]&gt;WWWW[[#This Row],['# People received regular supply of hygiene items]],WWWW[[#This Row],['# people reached by regular dedicated hygiene promotion]],WWWW[[#This Row],['# People received regular supply of hygiene items]])</f>
        <v>0</v>
      </c>
      <c r="BN56" s="653">
        <f>IF(WWWW[[#This Row],[HRP3]]/WWWW[[#This Row],[Total PoP ]]&gt;100%,100%,WWWW[[#This Row],[HRP3]]/WWWW[[#This Row],[Total PoP ]])</f>
        <v>0</v>
      </c>
      <c r="BO56" s="650">
        <f>1-WWWW[[#This Row],[Hygiene Coverage%]]</f>
        <v>1</v>
      </c>
      <c r="BP56" s="652">
        <f>WWWW[[#This Row],['# people reached by regular dedicated hygiene promotion]]/WWWW[[#This Row],[Total PoP ]]</f>
        <v>0</v>
      </c>
      <c r="BQ5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56" s="478">
        <f>WWWW[[#This Row],['#_of_affected_women_and_girls_receiving_a_sufficient_quantity_of_sanitary_pads]]</f>
        <v>0</v>
      </c>
      <c r="BS56" s="524">
        <f>IF(WWWW[[#This Row],['# People with access to soap]]&gt;WWWW[[#This Row],['# People with access to Sanity Pads]],WWWW[[#This Row],['# People with access to soap]],WWWW[[#This Row],['# People with access to Sanity Pads]])</f>
        <v>0</v>
      </c>
      <c r="BT56" s="483" t="str">
        <f>IF(OR(WWWW[[#This Row],['#of students in school]]="",WWWW[[#This Row],['#of students in school]]=0),"No","Yes")</f>
        <v>No</v>
      </c>
      <c r="BU56" s="645" t="str">
        <f>VLOOKUP(WWWW[[#This Row],[Village  Name]],SiteDB6[[Site Name]:[Location Type 1]],9,FALSE)</f>
        <v>Village</v>
      </c>
      <c r="BV56" s="645" t="str">
        <f>VLOOKUP(WWWW[[#This Row],[Village  Name]],SiteDB6[[Site Name]:[Type of Accommodation]],10,FALSE)</f>
        <v>Village</v>
      </c>
      <c r="BW56" s="645">
        <f>VLOOKUP(WWWW[[#This Row],[Village  Name]],SiteDB6[[Site Name]:[Ethnic or GCA/NGCA]],11,FALSE)</f>
        <v>0</v>
      </c>
      <c r="BX56" s="645">
        <f>VLOOKUP(WWWW[[#This Row],[Village  Name]],SiteDB6[[Site Name]:[Lat]],12,FALSE)</f>
        <v>0</v>
      </c>
      <c r="BY56" s="645">
        <f>VLOOKUP(WWWW[[#This Row],[Village  Name]],SiteDB6[[Site Name]:[Long]],13,FALSE)</f>
        <v>0</v>
      </c>
      <c r="BZ56" s="645">
        <f>VLOOKUP(WWWW[[#This Row],[Village  Name]],SiteDB6[[Site Name]:[Pcode]],3,FALSE)</f>
        <v>0</v>
      </c>
      <c r="CA56" s="645" t="str">
        <f t="shared" si="1"/>
        <v>Covered</v>
      </c>
      <c r="CB56" s="655"/>
    </row>
    <row r="57" spans="1:80">
      <c r="A57" s="641" t="s">
        <v>3150</v>
      </c>
      <c r="B57" s="641" t="s">
        <v>2994</v>
      </c>
      <c r="C57" s="642"/>
      <c r="D57" s="642" t="s">
        <v>231</v>
      </c>
      <c r="E57" s="643" t="s">
        <v>698</v>
      </c>
      <c r="F57" s="642" t="s">
        <v>3033</v>
      </c>
      <c r="G57" s="644" t="str">
        <f>VLOOKUP(WWWW[[#This Row],[Village  Name]],SiteDB6[[Site Name]:[Location Type]],8,FALSE)</f>
        <v>Village</v>
      </c>
      <c r="H57" s="642" t="s">
        <v>3065</v>
      </c>
      <c r="I57" s="646"/>
      <c r="J57" s="646">
        <v>112</v>
      </c>
      <c r="K57" s="647">
        <v>43258</v>
      </c>
      <c r="L57" s="648">
        <v>43830</v>
      </c>
      <c r="M57" s="646"/>
      <c r="N57" s="646"/>
      <c r="O57" s="524"/>
      <c r="P57" s="646"/>
      <c r="Q57" s="646"/>
      <c r="R57" s="646"/>
      <c r="S57" s="646"/>
      <c r="T57" s="646"/>
      <c r="U57" s="649"/>
      <c r="V57" s="646">
        <v>1</v>
      </c>
      <c r="W57" s="646"/>
      <c r="X57" s="646"/>
      <c r="Y57" s="646"/>
      <c r="Z57" s="646"/>
      <c r="AA57" s="646"/>
      <c r="AB57" s="646"/>
      <c r="AC57" s="649"/>
      <c r="AD57" s="646"/>
      <c r="AE57" s="646"/>
      <c r="AF57" s="646"/>
      <c r="AG57" s="646"/>
      <c r="AH57" s="646"/>
      <c r="AI57" s="646"/>
      <c r="AJ57" s="524"/>
      <c r="AK57" s="646"/>
      <c r="AL57" s="524"/>
      <c r="AM57" s="524"/>
      <c r="AN57" s="649"/>
      <c r="AO57" s="477"/>
      <c r="AP57" s="477"/>
      <c r="AQ57" s="524"/>
      <c r="AR57" s="524"/>
      <c r="AS57" s="524"/>
      <c r="AT57"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57" s="651">
        <f>WWWW[[#This Row],[%Equitable and continuous access to sufficient quantity of safe drinking water]]*WWWW[[#This Row],[Total PoP ]]</f>
        <v>0</v>
      </c>
      <c r="AV57"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57" s="651">
        <f>WWWW[[#This Row],[% Access to unimproved water points]]*WWWW[[#This Row],[Total PoP ]]</f>
        <v>0</v>
      </c>
      <c r="AX57"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57"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57" s="651">
        <f>WWWW[[#This Row],[HRP1]]/250</f>
        <v>0</v>
      </c>
      <c r="BA57" s="653">
        <f>1-WWWW[[#This Row],[% Equitable and continuous access to sufficient quantity of domestic water]]</f>
        <v>1</v>
      </c>
      <c r="BB57" s="651">
        <f>WWWW[[#This Row],[%equitable and continuous access to sufficient quantity of safe drinking and domestic water''s GAP]]*WWWW[[#This Row],[Total PoP ]]</f>
        <v>112</v>
      </c>
      <c r="BC57" s="654">
        <f>IF(WWWW[[#This Row],[Total required water points]]-WWWW[[#This Row],['#Water points coverage]]&lt;0,0,WWWW[[#This Row],[Total required water points]]-WWWW[[#This Row],['#Water points coverage]])</f>
        <v>1</v>
      </c>
      <c r="BD57" s="654">
        <f>ROUND(IF(WWWW[[#This Row],[Total PoP ]]&lt;250,1,WWWW[[#This Row],[Total PoP ]]/250),0)</f>
        <v>1</v>
      </c>
      <c r="BE5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5.3571428571428568E-2</v>
      </c>
      <c r="BF57" s="651">
        <f>WWWW[[#This Row],[% people access to functioning Latrine]]*WWWW[[#This Row],[Total PoP ]]</f>
        <v>6</v>
      </c>
      <c r="BG57" s="654">
        <f>WWWW[[#This Row],['#_of_Functioning_latrines_in_school]]*50</f>
        <v>0</v>
      </c>
      <c r="BH57" s="654">
        <f>ROUND((WWWW[[#This Row],[Total PoP ]]/6),0)</f>
        <v>19</v>
      </c>
      <c r="BI57" s="654">
        <f>IF(WWWW[[#This Row],[Total required Latrines]]-(WWWW[[#This Row],['#_of_sanitary_fly-proof_HH_latrines]])&lt;0,0,WWWW[[#This Row],[Total required Latrines]]-(WWWW[[#This Row],['#_of_sanitary_fly-proof_HH_latrines]]))</f>
        <v>18</v>
      </c>
      <c r="BJ57" s="650">
        <f>1-WWWW[[#This Row],[% people access to functioning Latrine]]</f>
        <v>0.9464285714285714</v>
      </c>
      <c r="BK57"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57" s="483">
        <f>IF(WWWW[[#This Row],['#_of_functional_handwashing_facilities_at_HH_level]]*6&gt;WWWW[[#This Row],[Total PoP ]],WWWW[[#This Row],[Total PoP ]],WWWW[[#This Row],['#_of_functional_handwashing_facilities_at_HH_level]]*6)</f>
        <v>0</v>
      </c>
      <c r="BM57" s="654">
        <f>IF(WWWW[[#This Row],['# people reached by regular dedicated hygiene promotion]]&gt;WWWW[[#This Row],['# People received regular supply of hygiene items]],WWWW[[#This Row],['# people reached by regular dedicated hygiene promotion]],WWWW[[#This Row],['# People received regular supply of hygiene items]])</f>
        <v>0</v>
      </c>
      <c r="BN57" s="653">
        <f>IF(WWWW[[#This Row],[HRP3]]/WWWW[[#This Row],[Total PoP ]]&gt;100%,100%,WWWW[[#This Row],[HRP3]]/WWWW[[#This Row],[Total PoP ]])</f>
        <v>0</v>
      </c>
      <c r="BO57" s="650">
        <f>1-WWWW[[#This Row],[Hygiene Coverage%]]</f>
        <v>1</v>
      </c>
      <c r="BP57" s="652">
        <f>WWWW[[#This Row],['# people reached by regular dedicated hygiene promotion]]/WWWW[[#This Row],[Total PoP ]]</f>
        <v>0</v>
      </c>
      <c r="BQ5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57" s="478">
        <f>WWWW[[#This Row],['#_of_affected_women_and_girls_receiving_a_sufficient_quantity_of_sanitary_pads]]</f>
        <v>0</v>
      </c>
      <c r="BS57" s="524">
        <f>IF(WWWW[[#This Row],['# People with access to soap]]&gt;WWWW[[#This Row],['# People with access to Sanity Pads]],WWWW[[#This Row],['# People with access to soap]],WWWW[[#This Row],['# People with access to Sanity Pads]])</f>
        <v>0</v>
      </c>
      <c r="BT57" s="483" t="str">
        <f>IF(OR(WWWW[[#This Row],['#of students in school]]="",WWWW[[#This Row],['#of students in school]]=0),"No","Yes")</f>
        <v>No</v>
      </c>
      <c r="BU57" s="645" t="str">
        <f>VLOOKUP(WWWW[[#This Row],[Village  Name]],SiteDB6[[Site Name]:[Location Type 1]],9,FALSE)</f>
        <v>Village</v>
      </c>
      <c r="BV57" s="645" t="str">
        <f>VLOOKUP(WWWW[[#This Row],[Village  Name]],SiteDB6[[Site Name]:[Type of Accommodation]],10,FALSE)</f>
        <v>Village</v>
      </c>
      <c r="BW57" s="645">
        <f>VLOOKUP(WWWW[[#This Row],[Village  Name]],SiteDB6[[Site Name]:[Ethnic or GCA/NGCA]],11,FALSE)</f>
        <v>0</v>
      </c>
      <c r="BX57" s="645">
        <f>VLOOKUP(WWWW[[#This Row],[Village  Name]],SiteDB6[[Site Name]:[Lat]],12,FALSE)</f>
        <v>0</v>
      </c>
      <c r="BY57" s="645">
        <f>VLOOKUP(WWWW[[#This Row],[Village  Name]],SiteDB6[[Site Name]:[Long]],13,FALSE)</f>
        <v>0</v>
      </c>
      <c r="BZ57" s="645">
        <f>VLOOKUP(WWWW[[#This Row],[Village  Name]],SiteDB6[[Site Name]:[Pcode]],3,FALSE)</f>
        <v>0</v>
      </c>
      <c r="CA57" s="645" t="str">
        <f t="shared" si="1"/>
        <v>Covered</v>
      </c>
      <c r="CB57" s="655"/>
    </row>
    <row r="58" spans="1:80">
      <c r="A58" s="641" t="s">
        <v>3150</v>
      </c>
      <c r="B58" s="641" t="s">
        <v>2994</v>
      </c>
      <c r="C58" s="642"/>
      <c r="D58" s="642" t="s">
        <v>231</v>
      </c>
      <c r="E58" s="643" t="s">
        <v>698</v>
      </c>
      <c r="F58" s="642" t="s">
        <v>3033</v>
      </c>
      <c r="G58" s="644" t="str">
        <f>VLOOKUP(WWWW[[#This Row],[Village  Name]],SiteDB6[[Site Name]:[Location Type]],8,FALSE)</f>
        <v>Village</v>
      </c>
      <c r="H58" s="642" t="s">
        <v>3066</v>
      </c>
      <c r="I58" s="646"/>
      <c r="J58" s="646">
        <v>166</v>
      </c>
      <c r="K58" s="647">
        <v>43258</v>
      </c>
      <c r="L58" s="648">
        <v>43830</v>
      </c>
      <c r="M58" s="646"/>
      <c r="N58" s="646"/>
      <c r="O58" s="524"/>
      <c r="P58" s="646"/>
      <c r="Q58" s="646"/>
      <c r="R58" s="646"/>
      <c r="S58" s="646"/>
      <c r="T58" s="646"/>
      <c r="U58" s="649"/>
      <c r="V58" s="646">
        <v>15</v>
      </c>
      <c r="W58" s="646"/>
      <c r="X58" s="646"/>
      <c r="Y58" s="646"/>
      <c r="Z58" s="646"/>
      <c r="AA58" s="646"/>
      <c r="AB58" s="646"/>
      <c r="AC58" s="649"/>
      <c r="AD58" s="646"/>
      <c r="AE58" s="646"/>
      <c r="AF58" s="646"/>
      <c r="AG58" s="646"/>
      <c r="AH58" s="646"/>
      <c r="AI58" s="646"/>
      <c r="AJ58" s="524"/>
      <c r="AK58" s="646"/>
      <c r="AL58" s="524"/>
      <c r="AM58" s="524"/>
      <c r="AN58" s="649"/>
      <c r="AO58" s="477"/>
      <c r="AP58" s="477"/>
      <c r="AQ58" s="524"/>
      <c r="AR58" s="524"/>
      <c r="AS58" s="524"/>
      <c r="AT58"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58" s="651">
        <f>WWWW[[#This Row],[%Equitable and continuous access to sufficient quantity of safe drinking water]]*WWWW[[#This Row],[Total PoP ]]</f>
        <v>0</v>
      </c>
      <c r="AV58"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58" s="651">
        <f>WWWW[[#This Row],[% Access to unimproved water points]]*WWWW[[#This Row],[Total PoP ]]</f>
        <v>0</v>
      </c>
      <c r="AX58"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58"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58" s="651">
        <f>WWWW[[#This Row],[HRP1]]/250</f>
        <v>0</v>
      </c>
      <c r="BA58" s="653">
        <f>1-WWWW[[#This Row],[% Equitable and continuous access to sufficient quantity of domestic water]]</f>
        <v>1</v>
      </c>
      <c r="BB58" s="651">
        <f>WWWW[[#This Row],[%equitable and continuous access to sufficient quantity of safe drinking and domestic water''s GAP]]*WWWW[[#This Row],[Total PoP ]]</f>
        <v>166</v>
      </c>
      <c r="BC58" s="654">
        <f>IF(WWWW[[#This Row],[Total required water points]]-WWWW[[#This Row],['#Water points coverage]]&lt;0,0,WWWW[[#This Row],[Total required water points]]-WWWW[[#This Row],['#Water points coverage]])</f>
        <v>1</v>
      </c>
      <c r="BD58" s="654">
        <f>ROUND(IF(WWWW[[#This Row],[Total PoP ]]&lt;250,1,WWWW[[#This Row],[Total PoP ]]/250),0)</f>
        <v>1</v>
      </c>
      <c r="BE5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0.54216867469879515</v>
      </c>
      <c r="BF58" s="651">
        <f>WWWW[[#This Row],[% people access to functioning Latrine]]*WWWW[[#This Row],[Total PoP ]]</f>
        <v>90</v>
      </c>
      <c r="BG58" s="654">
        <f>WWWW[[#This Row],['#_of_Functioning_latrines_in_school]]*50</f>
        <v>0</v>
      </c>
      <c r="BH58" s="654">
        <f>ROUND((WWWW[[#This Row],[Total PoP ]]/6),0)</f>
        <v>28</v>
      </c>
      <c r="BI58" s="654">
        <f>IF(WWWW[[#This Row],[Total required Latrines]]-(WWWW[[#This Row],['#_of_sanitary_fly-proof_HH_latrines]])&lt;0,0,WWWW[[#This Row],[Total required Latrines]]-(WWWW[[#This Row],['#_of_sanitary_fly-proof_HH_latrines]]))</f>
        <v>13</v>
      </c>
      <c r="BJ58" s="650">
        <f>1-WWWW[[#This Row],[% people access to functioning Latrine]]</f>
        <v>0.45783132530120485</v>
      </c>
      <c r="BK58"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58" s="483">
        <f>IF(WWWW[[#This Row],['#_of_functional_handwashing_facilities_at_HH_level]]*6&gt;WWWW[[#This Row],[Total PoP ]],WWWW[[#This Row],[Total PoP ]],WWWW[[#This Row],['#_of_functional_handwashing_facilities_at_HH_level]]*6)</f>
        <v>0</v>
      </c>
      <c r="BM58" s="654">
        <f>IF(WWWW[[#This Row],['# people reached by regular dedicated hygiene promotion]]&gt;WWWW[[#This Row],['# People received regular supply of hygiene items]],WWWW[[#This Row],['# people reached by regular dedicated hygiene promotion]],WWWW[[#This Row],['# People received regular supply of hygiene items]])</f>
        <v>0</v>
      </c>
      <c r="BN58" s="653">
        <f>IF(WWWW[[#This Row],[HRP3]]/WWWW[[#This Row],[Total PoP ]]&gt;100%,100%,WWWW[[#This Row],[HRP3]]/WWWW[[#This Row],[Total PoP ]])</f>
        <v>0</v>
      </c>
      <c r="BO58" s="650">
        <f>1-WWWW[[#This Row],[Hygiene Coverage%]]</f>
        <v>1</v>
      </c>
      <c r="BP58" s="652">
        <f>WWWW[[#This Row],['# people reached by regular dedicated hygiene promotion]]/WWWW[[#This Row],[Total PoP ]]</f>
        <v>0</v>
      </c>
      <c r="BQ5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58" s="478">
        <f>WWWW[[#This Row],['#_of_affected_women_and_girls_receiving_a_sufficient_quantity_of_sanitary_pads]]</f>
        <v>0</v>
      </c>
      <c r="BS58" s="524">
        <f>IF(WWWW[[#This Row],['# People with access to soap]]&gt;WWWW[[#This Row],['# People with access to Sanity Pads]],WWWW[[#This Row],['# People with access to soap]],WWWW[[#This Row],['# People with access to Sanity Pads]])</f>
        <v>0</v>
      </c>
      <c r="BT58" s="483" t="str">
        <f>IF(OR(WWWW[[#This Row],['#of students in school]]="",WWWW[[#This Row],['#of students in school]]=0),"No","Yes")</f>
        <v>No</v>
      </c>
      <c r="BU58" s="645" t="str">
        <f>VLOOKUP(WWWW[[#This Row],[Village  Name]],SiteDB6[[Site Name]:[Location Type 1]],9,FALSE)</f>
        <v>Village</v>
      </c>
      <c r="BV58" s="645" t="str">
        <f>VLOOKUP(WWWW[[#This Row],[Village  Name]],SiteDB6[[Site Name]:[Type of Accommodation]],10,FALSE)</f>
        <v>Village</v>
      </c>
      <c r="BW58" s="645">
        <f>VLOOKUP(WWWW[[#This Row],[Village  Name]],SiteDB6[[Site Name]:[Ethnic or GCA/NGCA]],11,FALSE)</f>
        <v>0</v>
      </c>
      <c r="BX58" s="645">
        <f>VLOOKUP(WWWW[[#This Row],[Village  Name]],SiteDB6[[Site Name]:[Lat]],12,FALSE)</f>
        <v>0</v>
      </c>
      <c r="BY58" s="645">
        <f>VLOOKUP(WWWW[[#This Row],[Village  Name]],SiteDB6[[Site Name]:[Long]],13,FALSE)</f>
        <v>0</v>
      </c>
      <c r="BZ58" s="645">
        <f>VLOOKUP(WWWW[[#This Row],[Village  Name]],SiteDB6[[Site Name]:[Pcode]],3,FALSE)</f>
        <v>0</v>
      </c>
      <c r="CA58" s="645" t="str">
        <f t="shared" si="1"/>
        <v>Covered</v>
      </c>
      <c r="CB58" s="655"/>
    </row>
    <row r="59" spans="1:80">
      <c r="A59" s="641" t="s">
        <v>3150</v>
      </c>
      <c r="B59" s="641" t="s">
        <v>2994</v>
      </c>
      <c r="C59" s="642"/>
      <c r="D59" s="642" t="s">
        <v>231</v>
      </c>
      <c r="E59" s="643" t="s">
        <v>698</v>
      </c>
      <c r="F59" s="642" t="s">
        <v>3033</v>
      </c>
      <c r="G59" s="644" t="str">
        <f>VLOOKUP(WWWW[[#This Row],[Village  Name]],SiteDB6[[Site Name]:[Location Type]],8,FALSE)</f>
        <v>Village</v>
      </c>
      <c r="H59" s="642" t="s">
        <v>3067</v>
      </c>
      <c r="I59" s="646"/>
      <c r="J59" s="646">
        <v>343</v>
      </c>
      <c r="K59" s="647">
        <v>43258</v>
      </c>
      <c r="L59" s="648">
        <v>43830</v>
      </c>
      <c r="M59" s="646"/>
      <c r="N59" s="646"/>
      <c r="O59" s="524"/>
      <c r="P59" s="646"/>
      <c r="Q59" s="646"/>
      <c r="R59" s="646"/>
      <c r="S59" s="646"/>
      <c r="T59" s="646"/>
      <c r="U59" s="649"/>
      <c r="V59" s="646">
        <v>9</v>
      </c>
      <c r="W59" s="646"/>
      <c r="X59" s="646"/>
      <c r="Y59" s="646"/>
      <c r="Z59" s="646"/>
      <c r="AA59" s="646"/>
      <c r="AB59" s="646"/>
      <c r="AC59" s="649"/>
      <c r="AD59" s="646"/>
      <c r="AE59" s="646"/>
      <c r="AF59" s="646"/>
      <c r="AG59" s="646"/>
      <c r="AH59" s="646"/>
      <c r="AI59" s="646"/>
      <c r="AJ59" s="524"/>
      <c r="AK59" s="646"/>
      <c r="AL59" s="524"/>
      <c r="AM59" s="524"/>
      <c r="AN59" s="649"/>
      <c r="AO59" s="477"/>
      <c r="AP59" s="477"/>
      <c r="AQ59" s="524"/>
      <c r="AR59" s="524"/>
      <c r="AS59" s="524"/>
      <c r="AT59"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59" s="651">
        <f>WWWW[[#This Row],[%Equitable and continuous access to sufficient quantity of safe drinking water]]*WWWW[[#This Row],[Total PoP ]]</f>
        <v>0</v>
      </c>
      <c r="AV59"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59" s="651">
        <f>WWWW[[#This Row],[% Access to unimproved water points]]*WWWW[[#This Row],[Total PoP ]]</f>
        <v>0</v>
      </c>
      <c r="AX59"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59"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59" s="651">
        <f>WWWW[[#This Row],[HRP1]]/250</f>
        <v>0</v>
      </c>
      <c r="BA59" s="653">
        <f>1-WWWW[[#This Row],[% Equitable and continuous access to sufficient quantity of domestic water]]</f>
        <v>1</v>
      </c>
      <c r="BB59" s="651">
        <f>WWWW[[#This Row],[%equitable and continuous access to sufficient quantity of safe drinking and domestic water''s GAP]]*WWWW[[#This Row],[Total PoP ]]</f>
        <v>343</v>
      </c>
      <c r="BC59" s="654">
        <f>IF(WWWW[[#This Row],[Total required water points]]-WWWW[[#This Row],['#Water points coverage]]&lt;0,0,WWWW[[#This Row],[Total required water points]]-WWWW[[#This Row],['#Water points coverage]])</f>
        <v>1</v>
      </c>
      <c r="BD59" s="654">
        <f>ROUND(IF(WWWW[[#This Row],[Total PoP ]]&lt;250,1,WWWW[[#This Row],[Total PoP ]]/250),0)</f>
        <v>1</v>
      </c>
      <c r="BE5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0.15743440233236153</v>
      </c>
      <c r="BF59" s="651">
        <f>WWWW[[#This Row],[% people access to functioning Latrine]]*WWWW[[#This Row],[Total PoP ]]</f>
        <v>54.000000000000007</v>
      </c>
      <c r="BG59" s="654">
        <f>WWWW[[#This Row],['#_of_Functioning_latrines_in_school]]*50</f>
        <v>0</v>
      </c>
      <c r="BH59" s="654">
        <f>ROUND((WWWW[[#This Row],[Total PoP ]]/6),0)</f>
        <v>57</v>
      </c>
      <c r="BI59" s="654">
        <f>IF(WWWW[[#This Row],[Total required Latrines]]-(WWWW[[#This Row],['#_of_sanitary_fly-proof_HH_latrines]])&lt;0,0,WWWW[[#This Row],[Total required Latrines]]-(WWWW[[#This Row],['#_of_sanitary_fly-proof_HH_latrines]]))</f>
        <v>48</v>
      </c>
      <c r="BJ59" s="650">
        <f>1-WWWW[[#This Row],[% people access to functioning Latrine]]</f>
        <v>0.8425655976676385</v>
      </c>
      <c r="BK59"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59" s="483">
        <f>IF(WWWW[[#This Row],['#_of_functional_handwashing_facilities_at_HH_level]]*6&gt;WWWW[[#This Row],[Total PoP ]],WWWW[[#This Row],[Total PoP ]],WWWW[[#This Row],['#_of_functional_handwashing_facilities_at_HH_level]]*6)</f>
        <v>0</v>
      </c>
      <c r="BM59" s="654">
        <f>IF(WWWW[[#This Row],['# people reached by regular dedicated hygiene promotion]]&gt;WWWW[[#This Row],['# People received regular supply of hygiene items]],WWWW[[#This Row],['# people reached by regular dedicated hygiene promotion]],WWWW[[#This Row],['# People received regular supply of hygiene items]])</f>
        <v>0</v>
      </c>
      <c r="BN59" s="653">
        <f>IF(WWWW[[#This Row],[HRP3]]/WWWW[[#This Row],[Total PoP ]]&gt;100%,100%,WWWW[[#This Row],[HRP3]]/WWWW[[#This Row],[Total PoP ]])</f>
        <v>0</v>
      </c>
      <c r="BO59" s="650">
        <f>1-WWWW[[#This Row],[Hygiene Coverage%]]</f>
        <v>1</v>
      </c>
      <c r="BP59" s="652">
        <f>WWWW[[#This Row],['# people reached by regular dedicated hygiene promotion]]/WWWW[[#This Row],[Total PoP ]]</f>
        <v>0</v>
      </c>
      <c r="BQ5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59" s="478">
        <f>WWWW[[#This Row],['#_of_affected_women_and_girls_receiving_a_sufficient_quantity_of_sanitary_pads]]</f>
        <v>0</v>
      </c>
      <c r="BS59" s="524">
        <f>IF(WWWW[[#This Row],['# People with access to soap]]&gt;WWWW[[#This Row],['# People with access to Sanity Pads]],WWWW[[#This Row],['# People with access to soap]],WWWW[[#This Row],['# People with access to Sanity Pads]])</f>
        <v>0</v>
      </c>
      <c r="BT59" s="483" t="str">
        <f>IF(OR(WWWW[[#This Row],['#of students in school]]="",WWWW[[#This Row],['#of students in school]]=0),"No","Yes")</f>
        <v>No</v>
      </c>
      <c r="BU59" s="645" t="str">
        <f>VLOOKUP(WWWW[[#This Row],[Village  Name]],SiteDB6[[Site Name]:[Location Type 1]],9,FALSE)</f>
        <v>Village</v>
      </c>
      <c r="BV59" s="645" t="str">
        <f>VLOOKUP(WWWW[[#This Row],[Village  Name]],SiteDB6[[Site Name]:[Type of Accommodation]],10,FALSE)</f>
        <v>Village</v>
      </c>
      <c r="BW59" s="645">
        <f>VLOOKUP(WWWW[[#This Row],[Village  Name]],SiteDB6[[Site Name]:[Ethnic or GCA/NGCA]],11,FALSE)</f>
        <v>0</v>
      </c>
      <c r="BX59" s="645">
        <f>VLOOKUP(WWWW[[#This Row],[Village  Name]],SiteDB6[[Site Name]:[Lat]],12,FALSE)</f>
        <v>0</v>
      </c>
      <c r="BY59" s="645">
        <f>VLOOKUP(WWWW[[#This Row],[Village  Name]],SiteDB6[[Site Name]:[Long]],13,FALSE)</f>
        <v>0</v>
      </c>
      <c r="BZ59" s="645">
        <f>VLOOKUP(WWWW[[#This Row],[Village  Name]],SiteDB6[[Site Name]:[Pcode]],3,FALSE)</f>
        <v>0</v>
      </c>
      <c r="CA59" s="645" t="str">
        <f t="shared" si="1"/>
        <v>Covered</v>
      </c>
      <c r="CB59" s="655"/>
    </row>
    <row r="60" spans="1:80">
      <c r="A60" s="641" t="s">
        <v>3150</v>
      </c>
      <c r="B60" s="641" t="s">
        <v>2994</v>
      </c>
      <c r="C60" s="642"/>
      <c r="D60" s="642" t="s">
        <v>231</v>
      </c>
      <c r="E60" s="643" t="s">
        <v>698</v>
      </c>
      <c r="F60" s="642" t="s">
        <v>3068</v>
      </c>
      <c r="G60" s="644" t="str">
        <f>VLOOKUP(WWWW[[#This Row],[Village  Name]],SiteDB6[[Site Name]:[Location Type]],8,FALSE)</f>
        <v>Village</v>
      </c>
      <c r="H60" s="642" t="s">
        <v>3073</v>
      </c>
      <c r="I60" s="646"/>
      <c r="J60" s="646">
        <v>134</v>
      </c>
      <c r="K60" s="647">
        <v>43258</v>
      </c>
      <c r="L60" s="648">
        <v>43830</v>
      </c>
      <c r="M60" s="646"/>
      <c r="N60" s="646"/>
      <c r="O60" s="524"/>
      <c r="P60" s="646"/>
      <c r="Q60" s="646"/>
      <c r="R60" s="646"/>
      <c r="S60" s="646"/>
      <c r="T60" s="646"/>
      <c r="U60" s="649"/>
      <c r="V60" s="646">
        <v>6</v>
      </c>
      <c r="W60" s="646"/>
      <c r="X60" s="646"/>
      <c r="Y60" s="646"/>
      <c r="Z60" s="646"/>
      <c r="AA60" s="646"/>
      <c r="AB60" s="646"/>
      <c r="AC60" s="649"/>
      <c r="AD60" s="646">
        <v>10</v>
      </c>
      <c r="AE60" s="646">
        <v>14</v>
      </c>
      <c r="AF60" s="646">
        <v>3</v>
      </c>
      <c r="AG60" s="646">
        <v>2</v>
      </c>
      <c r="AH60" s="646"/>
      <c r="AI60" s="646"/>
      <c r="AJ60" s="524"/>
      <c r="AK60" s="646"/>
      <c r="AL60" s="524"/>
      <c r="AM60" s="524"/>
      <c r="AN60" s="649"/>
      <c r="AO60" s="477"/>
      <c r="AP60" s="477"/>
      <c r="AQ60" s="524"/>
      <c r="AR60" s="524"/>
      <c r="AS60" s="524"/>
      <c r="AT60"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60" s="651">
        <f>WWWW[[#This Row],[%Equitable and continuous access to sufficient quantity of safe drinking water]]*WWWW[[#This Row],[Total PoP ]]</f>
        <v>0</v>
      </c>
      <c r="AV60"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60" s="651">
        <f>WWWW[[#This Row],[% Access to unimproved water points]]*WWWW[[#This Row],[Total PoP ]]</f>
        <v>0</v>
      </c>
      <c r="AX60"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60"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60" s="651">
        <f>WWWW[[#This Row],[HRP1]]/250</f>
        <v>0</v>
      </c>
      <c r="BA60" s="653">
        <f>1-WWWW[[#This Row],[% Equitable and continuous access to sufficient quantity of domestic water]]</f>
        <v>1</v>
      </c>
      <c r="BB60" s="651">
        <f>WWWW[[#This Row],[%equitable and continuous access to sufficient quantity of safe drinking and domestic water''s GAP]]*WWWW[[#This Row],[Total PoP ]]</f>
        <v>134</v>
      </c>
      <c r="BC60" s="654">
        <f>IF(WWWW[[#This Row],[Total required water points]]-WWWW[[#This Row],['#Water points coverage]]&lt;0,0,WWWW[[#This Row],[Total required water points]]-WWWW[[#This Row],['#Water points coverage]])</f>
        <v>1</v>
      </c>
      <c r="BD60" s="654">
        <f>ROUND(IF(WWWW[[#This Row],[Total PoP ]]&lt;250,1,WWWW[[#This Row],[Total PoP ]]/250),0)</f>
        <v>1</v>
      </c>
      <c r="BE6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0.26865671641791045</v>
      </c>
      <c r="BF60" s="651">
        <f>WWWW[[#This Row],[% people access to functioning Latrine]]*WWWW[[#This Row],[Total PoP ]]</f>
        <v>36</v>
      </c>
      <c r="BG60" s="654">
        <f>WWWW[[#This Row],['#_of_Functioning_latrines_in_school]]*50</f>
        <v>0</v>
      </c>
      <c r="BH60" s="654">
        <f>ROUND((WWWW[[#This Row],[Total PoP ]]/6),0)</f>
        <v>22</v>
      </c>
      <c r="BI60" s="654">
        <f>IF(WWWW[[#This Row],[Total required Latrines]]-(WWWW[[#This Row],['#_of_sanitary_fly-proof_HH_latrines]])&lt;0,0,WWWW[[#This Row],[Total required Latrines]]-(WWWW[[#This Row],['#_of_sanitary_fly-proof_HH_latrines]]))</f>
        <v>16</v>
      </c>
      <c r="BJ60" s="650">
        <f>1-WWWW[[#This Row],[% people access to functioning Latrine]]</f>
        <v>0.73134328358208955</v>
      </c>
      <c r="BK60"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29</v>
      </c>
      <c r="BL60" s="483">
        <f>IF(WWWW[[#This Row],['#_of_functional_handwashing_facilities_at_HH_level]]*6&gt;WWWW[[#This Row],[Total PoP ]],WWWW[[#This Row],[Total PoP ]],WWWW[[#This Row],['#_of_functional_handwashing_facilities_at_HH_level]]*6)</f>
        <v>0</v>
      </c>
      <c r="BM60" s="654">
        <f>IF(WWWW[[#This Row],['# people reached by regular dedicated hygiene promotion]]&gt;WWWW[[#This Row],['# People received regular supply of hygiene items]],WWWW[[#This Row],['# people reached by regular dedicated hygiene promotion]],WWWW[[#This Row],['# People received regular supply of hygiene items]])</f>
        <v>29</v>
      </c>
      <c r="BN60" s="653">
        <f>IF(WWWW[[#This Row],[HRP3]]/WWWW[[#This Row],[Total PoP ]]&gt;100%,100%,WWWW[[#This Row],[HRP3]]/WWWW[[#This Row],[Total PoP ]])</f>
        <v>0.21641791044776118</v>
      </c>
      <c r="BO60" s="650">
        <f>1-WWWW[[#This Row],[Hygiene Coverage%]]</f>
        <v>0.78358208955223885</v>
      </c>
      <c r="BP60" s="652">
        <f>WWWW[[#This Row],['# people reached by regular dedicated hygiene promotion]]/WWWW[[#This Row],[Total PoP ]]</f>
        <v>0.21641791044776118</v>
      </c>
      <c r="BQ6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60" s="478">
        <f>WWWW[[#This Row],['#_of_affected_women_and_girls_receiving_a_sufficient_quantity_of_sanitary_pads]]</f>
        <v>0</v>
      </c>
      <c r="BS60" s="524">
        <f>IF(WWWW[[#This Row],['# People with access to soap]]&gt;WWWW[[#This Row],['# People with access to Sanity Pads]],WWWW[[#This Row],['# People with access to soap]],WWWW[[#This Row],['# People with access to Sanity Pads]])</f>
        <v>0</v>
      </c>
      <c r="BT60" s="483" t="str">
        <f>IF(OR(WWWW[[#This Row],['#of students in school]]="",WWWW[[#This Row],['#of students in school]]=0),"No","Yes")</f>
        <v>No</v>
      </c>
      <c r="BU60" s="645" t="str">
        <f>VLOOKUP(WWWW[[#This Row],[Village  Name]],SiteDB6[[Site Name]:[Location Type 1]],9,FALSE)</f>
        <v>Village</v>
      </c>
      <c r="BV60" s="645" t="str">
        <f>VLOOKUP(WWWW[[#This Row],[Village  Name]],SiteDB6[[Site Name]:[Type of Accommodation]],10,FALSE)</f>
        <v>Village</v>
      </c>
      <c r="BW60" s="645">
        <f>VLOOKUP(WWWW[[#This Row],[Village  Name]],SiteDB6[[Site Name]:[Ethnic or GCA/NGCA]],11,FALSE)</f>
        <v>0</v>
      </c>
      <c r="BX60" s="645">
        <f>VLOOKUP(WWWW[[#This Row],[Village  Name]],SiteDB6[[Site Name]:[Lat]],12,FALSE)</f>
        <v>0</v>
      </c>
      <c r="BY60" s="645">
        <f>VLOOKUP(WWWW[[#This Row],[Village  Name]],SiteDB6[[Site Name]:[Long]],13,FALSE)</f>
        <v>0</v>
      </c>
      <c r="BZ60" s="645">
        <f>VLOOKUP(WWWW[[#This Row],[Village  Name]],SiteDB6[[Site Name]:[Pcode]],3,FALSE)</f>
        <v>0</v>
      </c>
      <c r="CA60" s="645" t="str">
        <f t="shared" si="1"/>
        <v>Covered</v>
      </c>
      <c r="CB60" s="655"/>
    </row>
    <row r="61" spans="1:80">
      <c r="A61" s="641" t="s">
        <v>3150</v>
      </c>
      <c r="B61" s="641" t="s">
        <v>2994</v>
      </c>
      <c r="C61" s="642"/>
      <c r="D61" s="642" t="s">
        <v>231</v>
      </c>
      <c r="E61" s="643" t="s">
        <v>698</v>
      </c>
      <c r="F61" s="642" t="s">
        <v>3068</v>
      </c>
      <c r="G61" s="644" t="str">
        <f>VLOOKUP(WWWW[[#This Row],[Village  Name]],SiteDB6[[Site Name]:[Location Type]],8,FALSE)</f>
        <v>Village</v>
      </c>
      <c r="H61" s="642" t="s">
        <v>3074</v>
      </c>
      <c r="I61" s="646"/>
      <c r="J61" s="646">
        <v>157</v>
      </c>
      <c r="K61" s="647">
        <v>43258</v>
      </c>
      <c r="L61" s="648">
        <v>43830</v>
      </c>
      <c r="M61" s="646"/>
      <c r="N61" s="646"/>
      <c r="O61" s="524"/>
      <c r="P61" s="646"/>
      <c r="Q61" s="646"/>
      <c r="R61" s="646"/>
      <c r="S61" s="646"/>
      <c r="T61" s="646"/>
      <c r="U61" s="649"/>
      <c r="V61" s="646">
        <v>1</v>
      </c>
      <c r="W61" s="646"/>
      <c r="X61" s="646"/>
      <c r="Y61" s="646"/>
      <c r="Z61" s="646"/>
      <c r="AA61" s="646"/>
      <c r="AB61" s="646"/>
      <c r="AC61" s="649"/>
      <c r="AD61" s="646">
        <v>11</v>
      </c>
      <c r="AE61" s="646">
        <v>14</v>
      </c>
      <c r="AF61" s="646">
        <v>5</v>
      </c>
      <c r="AG61" s="646">
        <v>8</v>
      </c>
      <c r="AH61" s="646"/>
      <c r="AI61" s="646"/>
      <c r="AJ61" s="524"/>
      <c r="AK61" s="646"/>
      <c r="AL61" s="524"/>
      <c r="AM61" s="524"/>
      <c r="AN61" s="649"/>
      <c r="AO61" s="477"/>
      <c r="AP61" s="477"/>
      <c r="AQ61" s="524"/>
      <c r="AR61" s="524"/>
      <c r="AS61" s="524"/>
      <c r="AT61" s="65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61" s="651">
        <f>WWWW[[#This Row],[%Equitable and continuous access to sufficient quantity of safe drinking water]]*WWWW[[#This Row],[Total PoP ]]</f>
        <v>0</v>
      </c>
      <c r="AV61" s="65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61" s="651">
        <f>WWWW[[#This Row],[% Access to unimproved water points]]*WWWW[[#This Row],[Total PoP ]]</f>
        <v>0</v>
      </c>
      <c r="AX61" s="65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61" s="65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61" s="651">
        <f>WWWW[[#This Row],[HRP1]]/250</f>
        <v>0</v>
      </c>
      <c r="BA61" s="653">
        <f>1-WWWW[[#This Row],[% Equitable and continuous access to sufficient quantity of domestic water]]</f>
        <v>1</v>
      </c>
      <c r="BB61" s="651">
        <f>WWWW[[#This Row],[%equitable and continuous access to sufficient quantity of safe drinking and domestic water''s GAP]]*WWWW[[#This Row],[Total PoP ]]</f>
        <v>157</v>
      </c>
      <c r="BC61" s="654">
        <f>IF(WWWW[[#This Row],[Total required water points]]-WWWW[[#This Row],['#Water points coverage]]&lt;0,0,WWWW[[#This Row],[Total required water points]]-WWWW[[#This Row],['#Water points coverage]])</f>
        <v>1</v>
      </c>
      <c r="BD61" s="654">
        <f>ROUND(IF(WWWW[[#This Row],[Total PoP ]]&lt;250,1,WWWW[[#This Row],[Total PoP ]]/250),0)</f>
        <v>1</v>
      </c>
      <c r="BE6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3.8216560509554139E-2</v>
      </c>
      <c r="BF61" s="651">
        <f>WWWW[[#This Row],[% people access to functioning Latrine]]*WWWW[[#This Row],[Total PoP ]]</f>
        <v>6</v>
      </c>
      <c r="BG61" s="654">
        <f>WWWW[[#This Row],['#_of_Functioning_latrines_in_school]]*50</f>
        <v>0</v>
      </c>
      <c r="BH61" s="654">
        <f>ROUND((WWWW[[#This Row],[Total PoP ]]/6),0)</f>
        <v>26</v>
      </c>
      <c r="BI61" s="654">
        <f>IF(WWWW[[#This Row],[Total required Latrines]]-(WWWW[[#This Row],['#_of_sanitary_fly-proof_HH_latrines]])&lt;0,0,WWWW[[#This Row],[Total required Latrines]]-(WWWW[[#This Row],['#_of_sanitary_fly-proof_HH_latrines]]))</f>
        <v>25</v>
      </c>
      <c r="BJ61" s="650">
        <f>1-WWWW[[#This Row],[% people access to functioning Latrine]]</f>
        <v>0.96178343949044587</v>
      </c>
      <c r="BK61" s="65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38</v>
      </c>
      <c r="BL61" s="483">
        <f>IF(WWWW[[#This Row],['#_of_functional_handwashing_facilities_at_HH_level]]*6&gt;WWWW[[#This Row],[Total PoP ]],WWWW[[#This Row],[Total PoP ]],WWWW[[#This Row],['#_of_functional_handwashing_facilities_at_HH_level]]*6)</f>
        <v>0</v>
      </c>
      <c r="BM61" s="654">
        <f>IF(WWWW[[#This Row],['# people reached by regular dedicated hygiene promotion]]&gt;WWWW[[#This Row],['# People received regular supply of hygiene items]],WWWW[[#This Row],['# people reached by regular dedicated hygiene promotion]],WWWW[[#This Row],['# People received regular supply of hygiene items]])</f>
        <v>38</v>
      </c>
      <c r="BN61" s="653">
        <f>IF(WWWW[[#This Row],[HRP3]]/WWWW[[#This Row],[Total PoP ]]&gt;100%,100%,WWWW[[#This Row],[HRP3]]/WWWW[[#This Row],[Total PoP ]])</f>
        <v>0.24203821656050956</v>
      </c>
      <c r="BO61" s="650">
        <f>1-WWWW[[#This Row],[Hygiene Coverage%]]</f>
        <v>0.7579617834394905</v>
      </c>
      <c r="BP61" s="652">
        <f>WWWW[[#This Row],['# people reached by regular dedicated hygiene promotion]]/WWWW[[#This Row],[Total PoP ]]</f>
        <v>0.24203821656050956</v>
      </c>
      <c r="BQ6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61" s="478">
        <f>WWWW[[#This Row],['#_of_affected_women_and_girls_receiving_a_sufficient_quantity_of_sanitary_pads]]</f>
        <v>0</v>
      </c>
      <c r="BS61" s="524">
        <f>IF(WWWW[[#This Row],['# People with access to soap]]&gt;WWWW[[#This Row],['# People with access to Sanity Pads]],WWWW[[#This Row],['# People with access to soap]],WWWW[[#This Row],['# People with access to Sanity Pads]])</f>
        <v>0</v>
      </c>
      <c r="BT61" s="483" t="str">
        <f>IF(OR(WWWW[[#This Row],['#of students in school]]="",WWWW[[#This Row],['#of students in school]]=0),"No","Yes")</f>
        <v>No</v>
      </c>
      <c r="BU61" s="645" t="str">
        <f>VLOOKUP(WWWW[[#This Row],[Village  Name]],SiteDB6[[Site Name]:[Location Type 1]],9,FALSE)</f>
        <v>Village</v>
      </c>
      <c r="BV61" s="645" t="str">
        <f>VLOOKUP(WWWW[[#This Row],[Village  Name]],SiteDB6[[Site Name]:[Type of Accommodation]],10,FALSE)</f>
        <v>Village</v>
      </c>
      <c r="BW61" s="645">
        <f>VLOOKUP(WWWW[[#This Row],[Village  Name]],SiteDB6[[Site Name]:[Ethnic or GCA/NGCA]],11,FALSE)</f>
        <v>0</v>
      </c>
      <c r="BX61" s="645">
        <f>VLOOKUP(WWWW[[#This Row],[Village  Name]],SiteDB6[[Site Name]:[Lat]],12,FALSE)</f>
        <v>0</v>
      </c>
      <c r="BY61" s="645">
        <f>VLOOKUP(WWWW[[#This Row],[Village  Name]],SiteDB6[[Site Name]:[Long]],13,FALSE)</f>
        <v>0</v>
      </c>
      <c r="BZ61" s="645">
        <f>VLOOKUP(WWWW[[#This Row],[Village  Name]],SiteDB6[[Site Name]:[Pcode]],3,FALSE)</f>
        <v>0</v>
      </c>
      <c r="CA61" s="645" t="str">
        <f t="shared" si="1"/>
        <v>Covered</v>
      </c>
      <c r="CB61" s="655"/>
    </row>
    <row r="62" spans="1:80">
      <c r="A62" s="774" t="s">
        <v>3150</v>
      </c>
      <c r="B62" s="774" t="s">
        <v>287</v>
      </c>
      <c r="C62" s="415" t="s">
        <v>287</v>
      </c>
      <c r="D62" s="415" t="s">
        <v>234</v>
      </c>
      <c r="E62" s="415" t="s">
        <v>2648</v>
      </c>
      <c r="F62" s="415" t="s">
        <v>402</v>
      </c>
      <c r="G62" s="644" t="str">
        <f>VLOOKUP(WWWW[[#This Row],[Village  Name]],SiteDB6[[Site Name]:[Location Type]],8,FALSE)</f>
        <v>Village</v>
      </c>
      <c r="H62" s="415" t="s">
        <v>408</v>
      </c>
      <c r="I62" s="524">
        <v>204</v>
      </c>
      <c r="J62" s="524">
        <v>1055</v>
      </c>
      <c r="K62" s="418">
        <v>43556</v>
      </c>
      <c r="L62" s="55">
        <v>44012</v>
      </c>
      <c r="M62" s="524">
        <v>241</v>
      </c>
      <c r="N62" s="524"/>
      <c r="O62" s="524"/>
      <c r="P62" s="524"/>
      <c r="Q62" s="524">
        <v>3</v>
      </c>
      <c r="R62" s="524"/>
      <c r="S62" s="524">
        <v>1055</v>
      </c>
      <c r="T62" s="524"/>
      <c r="U62" s="551"/>
      <c r="V62" s="524"/>
      <c r="W62" s="524" t="s">
        <v>40</v>
      </c>
      <c r="X62" s="524">
        <v>2</v>
      </c>
      <c r="Y62" s="524"/>
      <c r="Z62" s="524"/>
      <c r="AA62" s="524"/>
      <c r="AB62" s="524"/>
      <c r="AC62" s="551"/>
      <c r="AD62" s="524">
        <v>60</v>
      </c>
      <c r="AE62" s="524">
        <v>87</v>
      </c>
      <c r="AF62" s="524">
        <v>56</v>
      </c>
      <c r="AG62" s="524">
        <v>54</v>
      </c>
      <c r="AH62" s="524">
        <v>36</v>
      </c>
      <c r="AI62" s="524">
        <v>53</v>
      </c>
      <c r="AJ62" s="524"/>
      <c r="AK62" s="524">
        <v>1</v>
      </c>
      <c r="AL62" s="524">
        <v>204</v>
      </c>
      <c r="AM62" s="524"/>
      <c r="AN62" s="551"/>
      <c r="AO62" s="477"/>
      <c r="AP62" s="477"/>
      <c r="AQ62" s="524"/>
      <c r="AR62" s="524"/>
      <c r="AS62" s="524"/>
      <c r="AT6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62" s="483">
        <f>WWWW[[#This Row],[%Equitable and continuous access to sufficient quantity of safe drinking water]]*WWWW[[#This Row],[Total PoP ]]</f>
        <v>0</v>
      </c>
      <c r="AV6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62" s="483">
        <f>WWWW[[#This Row],[% Access to unimproved water points]]*WWWW[[#This Row],[Total PoP ]]</f>
        <v>1055</v>
      </c>
      <c r="AX6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6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1055</v>
      </c>
      <c r="AZ62" s="483">
        <f>WWWW[[#This Row],[HRP1]]/250</f>
        <v>4.22</v>
      </c>
      <c r="BA62" s="476">
        <f>1-WWWW[[#This Row],[% Equitable and continuous access to sufficient quantity of domestic water]]</f>
        <v>0</v>
      </c>
      <c r="BB62" s="483">
        <f>WWWW[[#This Row],[%equitable and continuous access to sufficient quantity of safe drinking and domestic water''s GAP]]*WWWW[[#This Row],[Total PoP ]]</f>
        <v>0</v>
      </c>
      <c r="BC62" s="478">
        <f>IF(WWWW[[#This Row],[Total required water points]]-WWWW[[#This Row],['#Water points coverage]]&lt;0,0,WWWW[[#This Row],[Total required water points]]-WWWW[[#This Row],['#Water points coverage]])</f>
        <v>0</v>
      </c>
      <c r="BD62" s="478">
        <f>ROUND(IF(WWWW[[#This Row],[Total PoP ]]&lt;250,1,WWWW[[#This Row],[Total PoP ]]/250),0)</f>
        <v>4</v>
      </c>
      <c r="BE6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62" s="483">
        <f>WWWW[[#This Row],[% people access to functioning Latrine]]*WWWW[[#This Row],[Total PoP ]]</f>
        <v>0</v>
      </c>
      <c r="BG62" s="478">
        <f>WWWW[[#This Row],['#_of_Functioning_latrines_in_school]]*50</f>
        <v>100</v>
      </c>
      <c r="BH62" s="478">
        <f>ROUND((WWWW[[#This Row],[Total PoP ]]/6),0)</f>
        <v>176</v>
      </c>
      <c r="BI62" s="478">
        <f>IF(WWWW[[#This Row],[Total required Latrines]]-(WWWW[[#This Row],['#_of_sanitary_fly-proof_HH_latrines]])&lt;0,0,WWWW[[#This Row],[Total required Latrines]]-(WWWW[[#This Row],['#_of_sanitary_fly-proof_HH_latrines]]))</f>
        <v>176</v>
      </c>
      <c r="BJ62" s="479">
        <f>1-WWWW[[#This Row],[% people access to functioning Latrine]]</f>
        <v>1</v>
      </c>
      <c r="BK6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346</v>
      </c>
      <c r="BL62" s="483">
        <f>IF(WWWW[[#This Row],['#_of_functional_handwashing_facilities_at_HH_level]]*6&gt;WWWW[[#This Row],[Total PoP ]],WWWW[[#This Row],[Total PoP ]],WWWW[[#This Row],['#_of_functional_handwashing_facilities_at_HH_level]]*6)</f>
        <v>0</v>
      </c>
      <c r="BM62" s="478">
        <f>IF(WWWW[[#This Row],['# people reached by regular dedicated hygiene promotion]]&gt;WWWW[[#This Row],['# People received regular supply of hygiene items]],WWWW[[#This Row],['# people reached by regular dedicated hygiene promotion]],WWWW[[#This Row],['# People received regular supply of hygiene items]])</f>
        <v>1055</v>
      </c>
      <c r="BN62" s="476">
        <f>IF(WWWW[[#This Row],[HRP3]]/WWWW[[#This Row],[Total PoP ]]&gt;100%,100%,WWWW[[#This Row],[HRP3]]/WWWW[[#This Row],[Total PoP ]])</f>
        <v>1</v>
      </c>
      <c r="BO62" s="479">
        <f>1-WWWW[[#This Row],[Hygiene Coverage%]]</f>
        <v>0</v>
      </c>
      <c r="BP62" s="477">
        <f>WWWW[[#This Row],['# people reached by regular dedicated hygiene promotion]]/WWWW[[#This Row],[Total PoP ]]</f>
        <v>0.32796208530805687</v>
      </c>
      <c r="BQ6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1055</v>
      </c>
      <c r="BR62" s="478">
        <f>WWWW[[#This Row],['#_of_affected_women_and_girls_receiving_a_sufficient_quantity_of_sanitary_pads]]</f>
        <v>0</v>
      </c>
      <c r="BS62" s="524">
        <f>IF(WWWW[[#This Row],['# People with access to soap]]&gt;WWWW[[#This Row],['# People with access to Sanity Pads]],WWWW[[#This Row],['# People with access to soap]],WWWW[[#This Row],['# People with access to Sanity Pads]])</f>
        <v>1055</v>
      </c>
      <c r="BT62" s="483" t="str">
        <f>IF(OR(WWWW[[#This Row],['#of students in school]]="",WWWW[[#This Row],['#of students in school]]=0),"No","Yes")</f>
        <v>Yes</v>
      </c>
      <c r="BU62" s="480" t="str">
        <f>VLOOKUP(WWWW[[#This Row],[Village  Name]],SiteDB6[[Site Name]:[Location Type 1]],9,FALSE)</f>
        <v>Village</v>
      </c>
      <c r="BV62" s="480" t="str">
        <f>VLOOKUP(WWWW[[#This Row],[Village  Name]],SiteDB6[[Site Name]:[Type of Accommodation]],10,FALSE)</f>
        <v>Village</v>
      </c>
      <c r="BW62" s="480" t="str">
        <f>VLOOKUP(WWWW[[#This Row],[Village  Name]],SiteDB6[[Site Name]:[Ethnic or GCA/NGCA]],11,FALSE)</f>
        <v>Rakhine</v>
      </c>
      <c r="BX62" s="480">
        <f>VLOOKUP(WWWW[[#This Row],[Village  Name]],SiteDB6[[Site Name]:[Lat]],12,FALSE)</f>
        <v>20.0839</v>
      </c>
      <c r="BY62" s="480">
        <f>VLOOKUP(WWWW[[#This Row],[Village  Name]],SiteDB6[[Site Name]:[Long]],13,FALSE)</f>
        <v>92.993799999999993</v>
      </c>
      <c r="BZ62" s="480">
        <f>VLOOKUP(WWWW[[#This Row],[Village  Name]],SiteDB6[[Site Name]:[Pcode]],3,FALSE)</f>
        <v>197557</v>
      </c>
      <c r="CA62" s="480" t="str">
        <f t="shared" ref="CA62:CA68" si="2">IF(C62="none","Notcovered","Covered")</f>
        <v>Covered</v>
      </c>
      <c r="CB62" s="505"/>
    </row>
    <row r="63" spans="1:80">
      <c r="A63" s="774" t="s">
        <v>3150</v>
      </c>
      <c r="B63" s="774" t="s">
        <v>287</v>
      </c>
      <c r="C63" s="415" t="s">
        <v>287</v>
      </c>
      <c r="D63" s="415" t="s">
        <v>234</v>
      </c>
      <c r="E63" s="415" t="s">
        <v>2648</v>
      </c>
      <c r="F63" s="415" t="s">
        <v>402</v>
      </c>
      <c r="G63" s="644" t="str">
        <f>VLOOKUP(WWWW[[#This Row],[Village  Name]],SiteDB6[[Site Name]:[Location Type]],8,FALSE)</f>
        <v>Village</v>
      </c>
      <c r="H63" s="415" t="s">
        <v>404</v>
      </c>
      <c r="I63" s="524">
        <v>948</v>
      </c>
      <c r="J63" s="524">
        <v>3946</v>
      </c>
      <c r="K63" s="418">
        <v>43556</v>
      </c>
      <c r="L63" s="55">
        <v>44012</v>
      </c>
      <c r="M63" s="524">
        <v>342</v>
      </c>
      <c r="N63" s="524"/>
      <c r="O63" s="524"/>
      <c r="P63" s="524"/>
      <c r="Q63" s="524">
        <v>3</v>
      </c>
      <c r="R63" s="524"/>
      <c r="S63" s="524">
        <v>3946</v>
      </c>
      <c r="T63" s="524">
        <v>2</v>
      </c>
      <c r="U63" s="551"/>
      <c r="V63" s="524"/>
      <c r="W63" s="524" t="s">
        <v>40</v>
      </c>
      <c r="X63" s="524">
        <v>2</v>
      </c>
      <c r="Y63" s="524"/>
      <c r="Z63" s="524"/>
      <c r="AA63" s="524"/>
      <c r="AB63" s="524"/>
      <c r="AC63" s="551"/>
      <c r="AD63" s="524">
        <v>437</v>
      </c>
      <c r="AE63" s="524">
        <v>496</v>
      </c>
      <c r="AF63" s="524">
        <v>160</v>
      </c>
      <c r="AG63" s="524">
        <v>154</v>
      </c>
      <c r="AH63" s="524">
        <v>74</v>
      </c>
      <c r="AI63" s="524">
        <v>122</v>
      </c>
      <c r="AJ63" s="524"/>
      <c r="AK63" s="524">
        <v>1</v>
      </c>
      <c r="AL63" s="524">
        <v>948</v>
      </c>
      <c r="AM63" s="524"/>
      <c r="AN63" s="551"/>
      <c r="AO63" s="477"/>
      <c r="AP63" s="477"/>
      <c r="AQ63" s="524"/>
      <c r="AR63" s="524"/>
      <c r="AS63" s="524"/>
      <c r="AT6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0.12671059300557527</v>
      </c>
      <c r="AU63" s="483">
        <f>WWWW[[#This Row],[%Equitable and continuous access to sufficient quantity of safe drinking water]]*WWWW[[#This Row],[Total PoP ]]</f>
        <v>500</v>
      </c>
      <c r="AV6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63" s="483">
        <f>WWWW[[#This Row],[% Access to unimproved water points]]*WWWW[[#This Row],[Total PoP ]]</f>
        <v>3946</v>
      </c>
      <c r="AX6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6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3946</v>
      </c>
      <c r="AZ63" s="483">
        <f>WWWW[[#This Row],[HRP1]]/250</f>
        <v>15.784000000000001</v>
      </c>
      <c r="BA63" s="476">
        <f>1-WWWW[[#This Row],[% Equitable and continuous access to sufficient quantity of domestic water]]</f>
        <v>0</v>
      </c>
      <c r="BB63" s="483">
        <f>WWWW[[#This Row],[%equitable and continuous access to sufficient quantity of safe drinking and domestic water''s GAP]]*WWWW[[#This Row],[Total PoP ]]</f>
        <v>0</v>
      </c>
      <c r="BC63" s="478">
        <f>IF(WWWW[[#This Row],[Total required water points]]-WWWW[[#This Row],['#Water points coverage]]&lt;0,0,WWWW[[#This Row],[Total required water points]]-WWWW[[#This Row],['#Water points coverage]])</f>
        <v>0.2159999999999993</v>
      </c>
      <c r="BD63" s="478">
        <f>ROUND(IF(WWWW[[#This Row],[Total PoP ]]&lt;250,1,WWWW[[#This Row],[Total PoP ]]/250),0)</f>
        <v>16</v>
      </c>
      <c r="BE6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63" s="483">
        <f>WWWW[[#This Row],[% people access to functioning Latrine]]*WWWW[[#This Row],[Total PoP ]]</f>
        <v>0</v>
      </c>
      <c r="BG63" s="478">
        <f>WWWW[[#This Row],['#_of_Functioning_latrines_in_school]]*50</f>
        <v>100</v>
      </c>
      <c r="BH63" s="478">
        <f>ROUND((WWWW[[#This Row],[Total PoP ]]/6),0)</f>
        <v>658</v>
      </c>
      <c r="BI63" s="478">
        <f>IF(WWWW[[#This Row],[Total required Latrines]]-(WWWW[[#This Row],['#_of_sanitary_fly-proof_HH_latrines]])&lt;0,0,WWWW[[#This Row],[Total required Latrines]]-(WWWW[[#This Row],['#_of_sanitary_fly-proof_HH_latrines]]))</f>
        <v>658</v>
      </c>
      <c r="BJ63" s="479">
        <f>1-WWWW[[#This Row],[% people access to functioning Latrine]]</f>
        <v>1</v>
      </c>
      <c r="BK6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1443</v>
      </c>
      <c r="BL63" s="483">
        <f>IF(WWWW[[#This Row],['#_of_functional_handwashing_facilities_at_HH_level]]*6&gt;WWWW[[#This Row],[Total PoP ]],WWWW[[#This Row],[Total PoP ]],WWWW[[#This Row],['#_of_functional_handwashing_facilities_at_HH_level]]*6)</f>
        <v>0</v>
      </c>
      <c r="BM63" s="478">
        <f>IF(WWWW[[#This Row],['# people reached by regular dedicated hygiene promotion]]&gt;WWWW[[#This Row],['# People received regular supply of hygiene items]],WWWW[[#This Row],['# people reached by regular dedicated hygiene promotion]],WWWW[[#This Row],['# People received regular supply of hygiene items]])</f>
        <v>3946</v>
      </c>
      <c r="BN63" s="476">
        <f>IF(WWWW[[#This Row],[HRP3]]/WWWW[[#This Row],[Total PoP ]]&gt;100%,100%,WWWW[[#This Row],[HRP3]]/WWWW[[#This Row],[Total PoP ]])</f>
        <v>1</v>
      </c>
      <c r="BO63" s="479">
        <f>1-WWWW[[#This Row],[Hygiene Coverage%]]</f>
        <v>0</v>
      </c>
      <c r="BP63" s="477">
        <f>WWWW[[#This Row],['# people reached by regular dedicated hygiene promotion]]/WWWW[[#This Row],[Total PoP ]]</f>
        <v>0.36568677141409023</v>
      </c>
      <c r="BQ6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3946</v>
      </c>
      <c r="BR63" s="478">
        <f>WWWW[[#This Row],['#_of_affected_women_and_girls_receiving_a_sufficient_quantity_of_sanitary_pads]]</f>
        <v>0</v>
      </c>
      <c r="BS63" s="524">
        <f>IF(WWWW[[#This Row],['# People with access to soap]]&gt;WWWW[[#This Row],['# People with access to Sanity Pads]],WWWW[[#This Row],['# People with access to soap]],WWWW[[#This Row],['# People with access to Sanity Pads]])</f>
        <v>3946</v>
      </c>
      <c r="BT63" s="483" t="str">
        <f>IF(OR(WWWW[[#This Row],['#of students in school]]="",WWWW[[#This Row],['#of students in school]]=0),"No","Yes")</f>
        <v>Yes</v>
      </c>
      <c r="BU63" s="480" t="str">
        <f>VLOOKUP(WWWW[[#This Row],[Village  Name]],SiteDB6[[Site Name]:[Location Type 1]],9,FALSE)</f>
        <v>Village</v>
      </c>
      <c r="BV63" s="480" t="str">
        <f>VLOOKUP(WWWW[[#This Row],[Village  Name]],SiteDB6[[Site Name]:[Type of Accommodation]],10,FALSE)</f>
        <v>Village</v>
      </c>
      <c r="BW63" s="480" t="str">
        <f>VLOOKUP(WWWW[[#This Row],[Village  Name]],SiteDB6[[Site Name]:[Ethnic or GCA/NGCA]],11,FALSE)</f>
        <v>Muslim</v>
      </c>
      <c r="BX63" s="480">
        <f>VLOOKUP(WWWW[[#This Row],[Village  Name]],SiteDB6[[Site Name]:[Lat]],12,FALSE)</f>
        <v>20.0641</v>
      </c>
      <c r="BY63" s="480">
        <f>VLOOKUP(WWWW[[#This Row],[Village  Name]],SiteDB6[[Site Name]:[Long]],13,FALSE)</f>
        <v>92.994600000000005</v>
      </c>
      <c r="BZ63" s="480">
        <f>VLOOKUP(WWWW[[#This Row],[Village  Name]],SiteDB6[[Site Name]:[Pcode]],3,FALSE)</f>
        <v>197548</v>
      </c>
      <c r="CA63" s="480" t="str">
        <f t="shared" si="2"/>
        <v>Covered</v>
      </c>
      <c r="CB63" s="505"/>
    </row>
    <row r="64" spans="1:80">
      <c r="A64" s="774" t="s">
        <v>3150</v>
      </c>
      <c r="B64" s="774" t="s">
        <v>287</v>
      </c>
      <c r="C64" s="415" t="s">
        <v>287</v>
      </c>
      <c r="D64" s="415" t="s">
        <v>234</v>
      </c>
      <c r="E64" s="415" t="s">
        <v>2648</v>
      </c>
      <c r="F64" s="415" t="s">
        <v>402</v>
      </c>
      <c r="G64" s="644" t="str">
        <f>VLOOKUP(WWWW[[#This Row],[Village  Name]],SiteDB6[[Site Name]:[Location Type]],8,FALSE)</f>
        <v>Village</v>
      </c>
      <c r="H64" s="415" t="s">
        <v>403</v>
      </c>
      <c r="I64" s="524">
        <v>477</v>
      </c>
      <c r="J64" s="524">
        <v>2034</v>
      </c>
      <c r="K64" s="418">
        <v>43556</v>
      </c>
      <c r="L64" s="55">
        <v>44012</v>
      </c>
      <c r="M64" s="524">
        <v>462</v>
      </c>
      <c r="N64" s="524"/>
      <c r="O64" s="524"/>
      <c r="P64" s="524"/>
      <c r="Q64" s="524">
        <v>1</v>
      </c>
      <c r="R64" s="524"/>
      <c r="S64" s="524">
        <v>2034</v>
      </c>
      <c r="T64" s="524">
        <v>2</v>
      </c>
      <c r="U64" s="551"/>
      <c r="V64" s="524"/>
      <c r="W64" s="524" t="s">
        <v>40</v>
      </c>
      <c r="X64" s="524">
        <v>8</v>
      </c>
      <c r="Y64" s="524"/>
      <c r="Z64" s="524"/>
      <c r="AA64" s="524"/>
      <c r="AB64" s="524"/>
      <c r="AC64" s="551"/>
      <c r="AD64" s="524">
        <v>27</v>
      </c>
      <c r="AE64" s="524">
        <v>393</v>
      </c>
      <c r="AF64" s="524">
        <v>48</v>
      </c>
      <c r="AG64" s="524">
        <v>58</v>
      </c>
      <c r="AH64" s="524">
        <v>0</v>
      </c>
      <c r="AI64" s="524">
        <v>0</v>
      </c>
      <c r="AJ64" s="524"/>
      <c r="AK64" s="524"/>
      <c r="AL64" s="524">
        <v>477</v>
      </c>
      <c r="AM64" s="524"/>
      <c r="AN64" s="551"/>
      <c r="AO64" s="477"/>
      <c r="AP64" s="477"/>
      <c r="AQ64" s="524"/>
      <c r="AR64" s="524"/>
      <c r="AS64" s="524"/>
      <c r="AT6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0.24582104228121926</v>
      </c>
      <c r="AU64" s="483">
        <f>WWWW[[#This Row],[%Equitable and continuous access to sufficient quantity of safe drinking water]]*WWWW[[#This Row],[Total PoP ]]</f>
        <v>500</v>
      </c>
      <c r="AV6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64" s="483">
        <f>WWWW[[#This Row],[% Access to unimproved water points]]*WWWW[[#This Row],[Total PoP ]]</f>
        <v>2034</v>
      </c>
      <c r="AX6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6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2034</v>
      </c>
      <c r="AZ64" s="483">
        <f>WWWW[[#This Row],[HRP1]]/250</f>
        <v>8.1359999999999992</v>
      </c>
      <c r="BA64" s="476">
        <f>1-WWWW[[#This Row],[% Equitable and continuous access to sufficient quantity of domestic water]]</f>
        <v>0</v>
      </c>
      <c r="BB64" s="483">
        <f>WWWW[[#This Row],[%equitable and continuous access to sufficient quantity of safe drinking and domestic water''s GAP]]*WWWW[[#This Row],[Total PoP ]]</f>
        <v>0</v>
      </c>
      <c r="BC64" s="478">
        <f>IF(WWWW[[#This Row],[Total required water points]]-WWWW[[#This Row],['#Water points coverage]]&lt;0,0,WWWW[[#This Row],[Total required water points]]-WWWW[[#This Row],['#Water points coverage]])</f>
        <v>0</v>
      </c>
      <c r="BD64" s="478">
        <f>ROUND(IF(WWWW[[#This Row],[Total PoP ]]&lt;250,1,WWWW[[#This Row],[Total PoP ]]/250),0)</f>
        <v>8</v>
      </c>
      <c r="BE6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64" s="483">
        <f>WWWW[[#This Row],[% people access to functioning Latrine]]*WWWW[[#This Row],[Total PoP ]]</f>
        <v>0</v>
      </c>
      <c r="BG64" s="478">
        <f>WWWW[[#This Row],['#_of_Functioning_latrines_in_school]]*50</f>
        <v>400</v>
      </c>
      <c r="BH64" s="478">
        <f>ROUND((WWWW[[#This Row],[Total PoP ]]/6),0)</f>
        <v>339</v>
      </c>
      <c r="BI64" s="478">
        <f>IF(WWWW[[#This Row],[Total required Latrines]]-(WWWW[[#This Row],['#_of_sanitary_fly-proof_HH_latrines]])&lt;0,0,WWWW[[#This Row],[Total required Latrines]]-(WWWW[[#This Row],['#_of_sanitary_fly-proof_HH_latrines]]))</f>
        <v>339</v>
      </c>
      <c r="BJ64" s="479">
        <f>1-WWWW[[#This Row],[% people access to functioning Latrine]]</f>
        <v>1</v>
      </c>
      <c r="BK6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526</v>
      </c>
      <c r="BL64" s="483">
        <f>IF(WWWW[[#This Row],['#_of_functional_handwashing_facilities_at_HH_level]]*6&gt;WWWW[[#This Row],[Total PoP ]],WWWW[[#This Row],[Total PoP ]],WWWW[[#This Row],['#_of_functional_handwashing_facilities_at_HH_level]]*6)</f>
        <v>0</v>
      </c>
      <c r="BM64" s="478">
        <f>IF(WWWW[[#This Row],['# people reached by regular dedicated hygiene promotion]]&gt;WWWW[[#This Row],['# People received regular supply of hygiene items]],WWWW[[#This Row],['# people reached by regular dedicated hygiene promotion]],WWWW[[#This Row],['# People received regular supply of hygiene items]])</f>
        <v>2034</v>
      </c>
      <c r="BN64" s="476">
        <f>IF(WWWW[[#This Row],[HRP3]]/WWWW[[#This Row],[Total PoP ]]&gt;100%,100%,WWWW[[#This Row],[HRP3]]/WWWW[[#This Row],[Total PoP ]])</f>
        <v>1</v>
      </c>
      <c r="BO64" s="479">
        <f>1-WWWW[[#This Row],[Hygiene Coverage%]]</f>
        <v>0</v>
      </c>
      <c r="BP64" s="477">
        <f>WWWW[[#This Row],['# people reached by regular dedicated hygiene promotion]]/WWWW[[#This Row],[Total PoP ]]</f>
        <v>0.25860373647984269</v>
      </c>
      <c r="BQ6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2034</v>
      </c>
      <c r="BR64" s="478">
        <f>WWWW[[#This Row],['#_of_affected_women_and_girls_receiving_a_sufficient_quantity_of_sanitary_pads]]</f>
        <v>0</v>
      </c>
      <c r="BS64" s="524">
        <f>IF(WWWW[[#This Row],['# People with access to soap]]&gt;WWWW[[#This Row],['# People with access to Sanity Pads]],WWWW[[#This Row],['# People with access to soap]],WWWW[[#This Row],['# People with access to Sanity Pads]])</f>
        <v>2034</v>
      </c>
      <c r="BT64" s="483" t="str">
        <f>IF(OR(WWWW[[#This Row],['#of students in school]]="",WWWW[[#This Row],['#of students in school]]=0),"No","Yes")</f>
        <v>Yes</v>
      </c>
      <c r="BU64" s="480" t="str">
        <f>VLOOKUP(WWWW[[#This Row],[Village  Name]],SiteDB6[[Site Name]:[Location Type 1]],9,FALSE)</f>
        <v>Village</v>
      </c>
      <c r="BV64" s="480" t="str">
        <f>VLOOKUP(WWWW[[#This Row],[Village  Name]],SiteDB6[[Site Name]:[Type of Accommodation]],10,FALSE)</f>
        <v>Village</v>
      </c>
      <c r="BW64" s="480" t="str">
        <f>VLOOKUP(WWWW[[#This Row],[Village  Name]],SiteDB6[[Site Name]:[Ethnic or GCA/NGCA]],11,FALSE)</f>
        <v>Rakhine</v>
      </c>
      <c r="BX64" s="480">
        <f>VLOOKUP(WWWW[[#This Row],[Village  Name]],SiteDB6[[Site Name]:[Lat]],12,FALSE)</f>
        <v>20.057860999999999</v>
      </c>
      <c r="BY64" s="480">
        <f>VLOOKUP(WWWW[[#This Row],[Village  Name]],SiteDB6[[Site Name]:[Long]],13,FALSE)</f>
        <v>92.995181000000002</v>
      </c>
      <c r="BZ64" s="480">
        <f>VLOOKUP(WWWW[[#This Row],[Village  Name]],SiteDB6[[Site Name]:[Pcode]],3,FALSE)</f>
        <v>197550</v>
      </c>
      <c r="CA64" s="480" t="str">
        <f t="shared" si="2"/>
        <v>Covered</v>
      </c>
      <c r="CB64" s="505"/>
    </row>
    <row r="65" spans="1:80">
      <c r="A65" s="774" t="s">
        <v>3150</v>
      </c>
      <c r="B65" s="774" t="s">
        <v>287</v>
      </c>
      <c r="C65" s="415" t="s">
        <v>287</v>
      </c>
      <c r="D65" s="415" t="s">
        <v>327</v>
      </c>
      <c r="E65" s="415" t="s">
        <v>2648</v>
      </c>
      <c r="F65" s="415" t="s">
        <v>402</v>
      </c>
      <c r="G65" s="644" t="str">
        <f>VLOOKUP(WWWW[[#This Row],[Village  Name]],SiteDB6[[Site Name]:[Location Type]],8,FALSE)</f>
        <v>Village</v>
      </c>
      <c r="H65" s="415" t="s">
        <v>3154</v>
      </c>
      <c r="I65" s="524">
        <v>79</v>
      </c>
      <c r="J65" s="524">
        <v>341</v>
      </c>
      <c r="K65" s="418">
        <v>43359</v>
      </c>
      <c r="L65" s="55">
        <v>44196</v>
      </c>
      <c r="M65" s="524">
        <v>40</v>
      </c>
      <c r="N65" s="524"/>
      <c r="O65" s="524"/>
      <c r="P65" s="524"/>
      <c r="Q65" s="524">
        <v>1</v>
      </c>
      <c r="R65" s="524"/>
      <c r="S65" s="524">
        <v>341</v>
      </c>
      <c r="T65" s="524">
        <v>1</v>
      </c>
      <c r="U65" s="551"/>
      <c r="V65" s="524">
        <v>5</v>
      </c>
      <c r="W65" s="524" t="s">
        <v>126</v>
      </c>
      <c r="X65" s="524">
        <v>3</v>
      </c>
      <c r="Y65" s="524">
        <v>14</v>
      </c>
      <c r="Z65" s="524"/>
      <c r="AA65" s="524"/>
      <c r="AB65" s="524"/>
      <c r="AC65" s="551"/>
      <c r="AD65" s="524"/>
      <c r="AE65" s="524"/>
      <c r="AF65" s="524"/>
      <c r="AG65" s="524"/>
      <c r="AH65" s="524"/>
      <c r="AI65" s="524"/>
      <c r="AJ65" s="524"/>
      <c r="AK65" s="524"/>
      <c r="AL65" s="524"/>
      <c r="AM65" s="524"/>
      <c r="AN65" s="551"/>
      <c r="AO65" s="477"/>
      <c r="AP65" s="477"/>
      <c r="AQ65" s="524"/>
      <c r="AR65" s="524"/>
      <c r="AS65" s="524"/>
      <c r="AT6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0.73313782991202348</v>
      </c>
      <c r="AU65" s="483">
        <f>WWWW[[#This Row],[%Equitable and continuous access to sufficient quantity of safe drinking water]]*WWWW[[#This Row],[Total PoP ]]</f>
        <v>250</v>
      </c>
      <c r="AV6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65" s="483">
        <f>WWWW[[#This Row],[% Access to unimproved water points]]*WWWW[[#This Row],[Total PoP ]]</f>
        <v>341</v>
      </c>
      <c r="AX6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6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341</v>
      </c>
      <c r="AZ65" s="483">
        <f>WWWW[[#This Row],[HRP1]]/250</f>
        <v>1.3640000000000001</v>
      </c>
      <c r="BA65" s="476">
        <f>1-WWWW[[#This Row],[% Equitable and continuous access to sufficient quantity of domestic water]]</f>
        <v>0</v>
      </c>
      <c r="BB65" s="483">
        <f>WWWW[[#This Row],[%equitable and continuous access to sufficient quantity of safe drinking and domestic water''s GAP]]*WWWW[[#This Row],[Total PoP ]]</f>
        <v>0</v>
      </c>
      <c r="BC65" s="478">
        <f>IF(WWWW[[#This Row],[Total required water points]]-WWWW[[#This Row],['#Water points coverage]]&lt;0,0,WWWW[[#This Row],[Total required water points]]-WWWW[[#This Row],['#Water points coverage]])</f>
        <v>0</v>
      </c>
      <c r="BD65" s="478">
        <f>ROUND(IF(WWWW[[#This Row],[Total PoP ]]&lt;250,1,WWWW[[#This Row],[Total PoP ]]/250),0)</f>
        <v>1</v>
      </c>
      <c r="BE6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8.797653958944282E-2</v>
      </c>
      <c r="BF65" s="483">
        <f>WWWW[[#This Row],[% people access to functioning Latrine]]*WWWW[[#This Row],[Total PoP ]]</f>
        <v>30</v>
      </c>
      <c r="BG65" s="478">
        <f>WWWW[[#This Row],['#_of_Functioning_latrines_in_school]]*50</f>
        <v>150</v>
      </c>
      <c r="BH65" s="478">
        <f>ROUND((WWWW[[#This Row],[Total PoP ]]/6),0)</f>
        <v>57</v>
      </c>
      <c r="BI65" s="478">
        <f>IF(WWWW[[#This Row],[Total required Latrines]]-(WWWW[[#This Row],['#_of_sanitary_fly-proof_HH_latrines]])&lt;0,0,WWWW[[#This Row],[Total required Latrines]]-(WWWW[[#This Row],['#_of_sanitary_fly-proof_HH_latrines]]))</f>
        <v>52</v>
      </c>
      <c r="BJ65" s="479">
        <f>1-WWWW[[#This Row],[% people access to functioning Latrine]]</f>
        <v>0.91202346041055715</v>
      </c>
      <c r="BK6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65" s="483">
        <f>IF(WWWW[[#This Row],['#_of_functional_handwashing_facilities_at_HH_level]]*6&gt;WWWW[[#This Row],[Total PoP ]],WWWW[[#This Row],[Total PoP ]],WWWW[[#This Row],['#_of_functional_handwashing_facilities_at_HH_level]]*6)</f>
        <v>0</v>
      </c>
      <c r="BM65" s="478">
        <f>IF(WWWW[[#This Row],['# people reached by regular dedicated hygiene promotion]]&gt;WWWW[[#This Row],['# People received regular supply of hygiene items]],WWWW[[#This Row],['# people reached by regular dedicated hygiene promotion]],WWWW[[#This Row],['# People received regular supply of hygiene items]])</f>
        <v>0</v>
      </c>
      <c r="BN65" s="476">
        <f>IF(WWWW[[#This Row],[HRP3]]/WWWW[[#This Row],[Total PoP ]]&gt;100%,100%,WWWW[[#This Row],[HRP3]]/WWWW[[#This Row],[Total PoP ]])</f>
        <v>0</v>
      </c>
      <c r="BO65" s="479">
        <f>1-WWWW[[#This Row],[Hygiene Coverage%]]</f>
        <v>1</v>
      </c>
      <c r="BP65" s="477">
        <f>WWWW[[#This Row],['# people reached by regular dedicated hygiene promotion]]/WWWW[[#This Row],[Total PoP ]]</f>
        <v>0</v>
      </c>
      <c r="BQ6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65" s="478">
        <f>WWWW[[#This Row],['#_of_affected_women_and_girls_receiving_a_sufficient_quantity_of_sanitary_pads]]</f>
        <v>0</v>
      </c>
      <c r="BS65" s="524">
        <f>IF(WWWW[[#This Row],['# People with access to soap]]&gt;WWWW[[#This Row],['# People with access to Sanity Pads]],WWWW[[#This Row],['# People with access to soap]],WWWW[[#This Row],['# People with access to Sanity Pads]])</f>
        <v>0</v>
      </c>
      <c r="BT65" s="483" t="str">
        <f>IF(OR(WWWW[[#This Row],['#of students in school]]="",WWWW[[#This Row],['#of students in school]]=0),"No","Yes")</f>
        <v>Yes</v>
      </c>
      <c r="BU65" s="480" t="str">
        <f>VLOOKUP(WWWW[[#This Row],[Village  Name]],SiteDB6[[Site Name]:[Location Type 1]],9,FALSE)</f>
        <v>Village</v>
      </c>
      <c r="BV65" s="480" t="str">
        <f>VLOOKUP(WWWW[[#This Row],[Village  Name]],SiteDB6[[Site Name]:[Type of Accommodation]],10,FALSE)</f>
        <v>Village</v>
      </c>
      <c r="BW65" s="480">
        <f>VLOOKUP(WWWW[[#This Row],[Village  Name]],SiteDB6[[Site Name]:[Ethnic or GCA/NGCA]],11,FALSE)</f>
        <v>0</v>
      </c>
      <c r="BX65" s="480">
        <f>VLOOKUP(WWWW[[#This Row],[Village  Name]],SiteDB6[[Site Name]:[Lat]],12,FALSE)</f>
        <v>92.969009399414105</v>
      </c>
      <c r="BY65" s="480">
        <f>VLOOKUP(WWWW[[#This Row],[Village  Name]],SiteDB6[[Site Name]:[Long]],13,FALSE)</f>
        <v>20.014240264892599</v>
      </c>
      <c r="BZ65" s="480">
        <f>VLOOKUP(WWWW[[#This Row],[Village  Name]],SiteDB6[[Site Name]:[Pcode]],3,FALSE)</f>
        <v>197542</v>
      </c>
      <c r="CA65" s="480" t="str">
        <f t="shared" si="2"/>
        <v>Covered</v>
      </c>
      <c r="CB65" s="505"/>
    </row>
    <row r="66" spans="1:80">
      <c r="A66" s="774" t="s">
        <v>3150</v>
      </c>
      <c r="B66" s="774" t="s">
        <v>287</v>
      </c>
      <c r="C66" s="415" t="s">
        <v>287</v>
      </c>
      <c r="D66" s="415" t="s">
        <v>327</v>
      </c>
      <c r="E66" s="415" t="s">
        <v>2648</v>
      </c>
      <c r="F66" s="415" t="s">
        <v>402</v>
      </c>
      <c r="G66" s="644" t="str">
        <f>VLOOKUP(WWWW[[#This Row],[Village  Name]],SiteDB6[[Site Name]:[Location Type]],8,FALSE)</f>
        <v>Village</v>
      </c>
      <c r="H66" s="415" t="s">
        <v>3155</v>
      </c>
      <c r="I66" s="524">
        <v>84</v>
      </c>
      <c r="J66" s="524">
        <v>359</v>
      </c>
      <c r="K66" s="418">
        <v>43359</v>
      </c>
      <c r="L66" s="55">
        <v>44196</v>
      </c>
      <c r="M66" s="524">
        <v>78</v>
      </c>
      <c r="N66" s="524"/>
      <c r="O66" s="524"/>
      <c r="P66" s="524"/>
      <c r="Q66" s="524">
        <v>0</v>
      </c>
      <c r="R66" s="524"/>
      <c r="S66" s="524">
        <v>359</v>
      </c>
      <c r="T66" s="524">
        <v>0</v>
      </c>
      <c r="U66" s="551"/>
      <c r="V66" s="524">
        <v>2</v>
      </c>
      <c r="W66" s="524" t="s">
        <v>126</v>
      </c>
      <c r="X66" s="524">
        <v>1</v>
      </c>
      <c r="Y66" s="524">
        <v>8</v>
      </c>
      <c r="Z66" s="524"/>
      <c r="AA66" s="524"/>
      <c r="AB66" s="524"/>
      <c r="AC66" s="551"/>
      <c r="AD66" s="524"/>
      <c r="AE66" s="524"/>
      <c r="AF66" s="524"/>
      <c r="AG66" s="524"/>
      <c r="AH66" s="524"/>
      <c r="AI66" s="524"/>
      <c r="AJ66" s="524"/>
      <c r="AK66" s="524"/>
      <c r="AL66" s="524"/>
      <c r="AM66" s="524"/>
      <c r="AN66" s="551"/>
      <c r="AO66" s="477"/>
      <c r="AP66" s="477"/>
      <c r="AQ66" s="524"/>
      <c r="AR66" s="524"/>
      <c r="AS66" s="524"/>
      <c r="AT6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66" s="483">
        <f>WWWW[[#This Row],[%Equitable and continuous access to sufficient quantity of safe drinking water]]*WWWW[[#This Row],[Total PoP ]]</f>
        <v>0</v>
      </c>
      <c r="AV6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66" s="483">
        <f>WWWW[[#This Row],[% Access to unimproved water points]]*WWWW[[#This Row],[Total PoP ]]</f>
        <v>359</v>
      </c>
      <c r="AX6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6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359</v>
      </c>
      <c r="AZ66" s="483">
        <f>WWWW[[#This Row],[HRP1]]/250</f>
        <v>1.4359999999999999</v>
      </c>
      <c r="BA66" s="476">
        <f>1-WWWW[[#This Row],[% Equitable and continuous access to sufficient quantity of domestic water]]</f>
        <v>0</v>
      </c>
      <c r="BB66" s="483">
        <f>WWWW[[#This Row],[%equitable and continuous access to sufficient quantity of safe drinking and domestic water''s GAP]]*WWWW[[#This Row],[Total PoP ]]</f>
        <v>0</v>
      </c>
      <c r="BC66" s="478">
        <f>IF(WWWW[[#This Row],[Total required water points]]-WWWW[[#This Row],['#Water points coverage]]&lt;0,0,WWWW[[#This Row],[Total required water points]]-WWWW[[#This Row],['#Water points coverage]])</f>
        <v>0</v>
      </c>
      <c r="BD66" s="478">
        <f>ROUND(IF(WWWW[[#This Row],[Total PoP ]]&lt;250,1,WWWW[[#This Row],[Total PoP ]]/250),0)</f>
        <v>1</v>
      </c>
      <c r="BE6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3.3426183844011144E-2</v>
      </c>
      <c r="BF66" s="483">
        <f>WWWW[[#This Row],[% people access to functioning Latrine]]*WWWW[[#This Row],[Total PoP ]]</f>
        <v>12</v>
      </c>
      <c r="BG66" s="478">
        <f>WWWW[[#This Row],['#_of_Functioning_latrines_in_school]]*50</f>
        <v>50</v>
      </c>
      <c r="BH66" s="478">
        <f>ROUND((WWWW[[#This Row],[Total PoP ]]/6),0)</f>
        <v>60</v>
      </c>
      <c r="BI66" s="478">
        <f>IF(WWWW[[#This Row],[Total required Latrines]]-(WWWW[[#This Row],['#_of_sanitary_fly-proof_HH_latrines]])&lt;0,0,WWWW[[#This Row],[Total required Latrines]]-(WWWW[[#This Row],['#_of_sanitary_fly-proof_HH_latrines]]))</f>
        <v>58</v>
      </c>
      <c r="BJ66" s="479">
        <f>1-WWWW[[#This Row],[% people access to functioning Latrine]]</f>
        <v>0.96657381615598881</v>
      </c>
      <c r="BK6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66" s="483">
        <f>IF(WWWW[[#This Row],['#_of_functional_handwashing_facilities_at_HH_level]]*6&gt;WWWW[[#This Row],[Total PoP ]],WWWW[[#This Row],[Total PoP ]],WWWW[[#This Row],['#_of_functional_handwashing_facilities_at_HH_level]]*6)</f>
        <v>0</v>
      </c>
      <c r="BM66" s="478">
        <f>IF(WWWW[[#This Row],['# people reached by regular dedicated hygiene promotion]]&gt;WWWW[[#This Row],['# People received regular supply of hygiene items]],WWWW[[#This Row],['# people reached by regular dedicated hygiene promotion]],WWWW[[#This Row],['# People received regular supply of hygiene items]])</f>
        <v>0</v>
      </c>
      <c r="BN66" s="476">
        <f>IF(WWWW[[#This Row],[HRP3]]/WWWW[[#This Row],[Total PoP ]]&gt;100%,100%,WWWW[[#This Row],[HRP3]]/WWWW[[#This Row],[Total PoP ]])</f>
        <v>0</v>
      </c>
      <c r="BO66" s="479">
        <f>1-WWWW[[#This Row],[Hygiene Coverage%]]</f>
        <v>1</v>
      </c>
      <c r="BP66" s="477">
        <f>WWWW[[#This Row],['# people reached by regular dedicated hygiene promotion]]/WWWW[[#This Row],[Total PoP ]]</f>
        <v>0</v>
      </c>
      <c r="BQ6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66" s="478">
        <f>WWWW[[#This Row],['#_of_affected_women_and_girls_receiving_a_sufficient_quantity_of_sanitary_pads]]</f>
        <v>0</v>
      </c>
      <c r="BS66" s="524">
        <f>IF(WWWW[[#This Row],['# People with access to soap]]&gt;WWWW[[#This Row],['# People with access to Sanity Pads]],WWWW[[#This Row],['# People with access to soap]],WWWW[[#This Row],['# People with access to Sanity Pads]])</f>
        <v>0</v>
      </c>
      <c r="BT66" s="483" t="str">
        <f>IF(OR(WWWW[[#This Row],['#of students in school]]="",WWWW[[#This Row],['#of students in school]]=0),"No","Yes")</f>
        <v>Yes</v>
      </c>
      <c r="BU66" s="480" t="str">
        <f>VLOOKUP(WWWW[[#This Row],[Village  Name]],SiteDB6[[Site Name]:[Location Type 1]],9,FALSE)</f>
        <v>Village</v>
      </c>
      <c r="BV66" s="480" t="str">
        <f>VLOOKUP(WWWW[[#This Row],[Village  Name]],SiteDB6[[Site Name]:[Type of Accommodation]],10,FALSE)</f>
        <v>Village</v>
      </c>
      <c r="BW66" s="480">
        <f>VLOOKUP(WWWW[[#This Row],[Village  Name]],SiteDB6[[Site Name]:[Ethnic or GCA/NGCA]],11,FALSE)</f>
        <v>0</v>
      </c>
      <c r="BX66" s="480">
        <f>VLOOKUP(WWWW[[#This Row],[Village  Name]],SiteDB6[[Site Name]:[Lat]],12,FALSE)</f>
        <v>92.967132568359403</v>
      </c>
      <c r="BY66" s="480">
        <f>VLOOKUP(WWWW[[#This Row],[Village  Name]],SiteDB6[[Site Name]:[Long]],13,FALSE)</f>
        <v>19.9705104827881</v>
      </c>
      <c r="BZ66" s="480">
        <f>VLOOKUP(WWWW[[#This Row],[Village  Name]],SiteDB6[[Site Name]:[Pcode]],3,FALSE)</f>
        <v>197568</v>
      </c>
      <c r="CA66" s="480" t="str">
        <f t="shared" si="2"/>
        <v>Covered</v>
      </c>
      <c r="CB66" s="505"/>
    </row>
    <row r="67" spans="1:80">
      <c r="A67" s="774" t="s">
        <v>3150</v>
      </c>
      <c r="B67" s="774" t="s">
        <v>287</v>
      </c>
      <c r="C67" s="415" t="s">
        <v>287</v>
      </c>
      <c r="D67" s="415" t="s">
        <v>327</v>
      </c>
      <c r="E67" s="415" t="s">
        <v>2648</v>
      </c>
      <c r="F67" s="415" t="s">
        <v>402</v>
      </c>
      <c r="G67" s="644" t="str">
        <f>VLOOKUP(WWWW[[#This Row],[Village  Name]],SiteDB6[[Site Name]:[Location Type]],8,FALSE)</f>
        <v>Village</v>
      </c>
      <c r="H67" s="415" t="s">
        <v>3164</v>
      </c>
      <c r="I67" s="524">
        <v>21</v>
      </c>
      <c r="J67" s="524">
        <v>83</v>
      </c>
      <c r="K67" s="418">
        <v>43359</v>
      </c>
      <c r="L67" s="55">
        <v>44196</v>
      </c>
      <c r="M67" s="524">
        <v>9</v>
      </c>
      <c r="N67" s="524"/>
      <c r="O67" s="524"/>
      <c r="P67" s="524"/>
      <c r="Q67" s="524">
        <v>1</v>
      </c>
      <c r="R67" s="524"/>
      <c r="S67" s="524">
        <v>83</v>
      </c>
      <c r="T67" s="524">
        <v>0</v>
      </c>
      <c r="U67" s="551"/>
      <c r="V67" s="524">
        <v>0</v>
      </c>
      <c r="W67" s="524" t="s">
        <v>126</v>
      </c>
      <c r="X67" s="524">
        <v>0</v>
      </c>
      <c r="Y67" s="524">
        <v>0</v>
      </c>
      <c r="Z67" s="524"/>
      <c r="AA67" s="524"/>
      <c r="AB67" s="524"/>
      <c r="AC67" s="551"/>
      <c r="AD67" s="524"/>
      <c r="AE67" s="524"/>
      <c r="AF67" s="524"/>
      <c r="AG67" s="524"/>
      <c r="AH67" s="524"/>
      <c r="AI67" s="524"/>
      <c r="AJ67" s="524"/>
      <c r="AK67" s="524"/>
      <c r="AL67" s="524"/>
      <c r="AM67" s="524"/>
      <c r="AN67" s="551"/>
      <c r="AO67" s="477"/>
      <c r="AP67" s="477"/>
      <c r="AQ67" s="524"/>
      <c r="AR67" s="524"/>
      <c r="AS67" s="524"/>
      <c r="AT6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67" s="483">
        <f>WWWW[[#This Row],[%Equitable and continuous access to sufficient quantity of safe drinking water]]*WWWW[[#This Row],[Total PoP ]]</f>
        <v>0</v>
      </c>
      <c r="AV6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67" s="483">
        <f>WWWW[[#This Row],[% Access to unimproved water points]]*WWWW[[#This Row],[Total PoP ]]</f>
        <v>83</v>
      </c>
      <c r="AX6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6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83</v>
      </c>
      <c r="AZ67" s="483">
        <f>WWWW[[#This Row],[HRP1]]/250</f>
        <v>0.33200000000000002</v>
      </c>
      <c r="BA67" s="476">
        <f>1-WWWW[[#This Row],[% Equitable and continuous access to sufficient quantity of domestic water]]</f>
        <v>0</v>
      </c>
      <c r="BB67" s="483">
        <f>WWWW[[#This Row],[%equitable and continuous access to sufficient quantity of safe drinking and domestic water''s GAP]]*WWWW[[#This Row],[Total PoP ]]</f>
        <v>0</v>
      </c>
      <c r="BC67" s="478">
        <f>IF(WWWW[[#This Row],[Total required water points]]-WWWW[[#This Row],['#Water points coverage]]&lt;0,0,WWWW[[#This Row],[Total required water points]]-WWWW[[#This Row],['#Water points coverage]])</f>
        <v>0.66799999999999993</v>
      </c>
      <c r="BD67" s="478">
        <f>ROUND(IF(WWWW[[#This Row],[Total PoP ]]&lt;250,1,WWWW[[#This Row],[Total PoP ]]/250),0)</f>
        <v>1</v>
      </c>
      <c r="BE6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67" s="483">
        <f>WWWW[[#This Row],[% people access to functioning Latrine]]*WWWW[[#This Row],[Total PoP ]]</f>
        <v>0</v>
      </c>
      <c r="BG67" s="478">
        <f>WWWW[[#This Row],['#_of_Functioning_latrines_in_school]]*50</f>
        <v>0</v>
      </c>
      <c r="BH67" s="478">
        <f>ROUND((WWWW[[#This Row],[Total PoP ]]/6),0)</f>
        <v>14</v>
      </c>
      <c r="BI67" s="478">
        <f>IF(WWWW[[#This Row],[Total required Latrines]]-(WWWW[[#This Row],['#_of_sanitary_fly-proof_HH_latrines]])&lt;0,0,WWWW[[#This Row],[Total required Latrines]]-(WWWW[[#This Row],['#_of_sanitary_fly-proof_HH_latrines]]))</f>
        <v>14</v>
      </c>
      <c r="BJ67" s="479">
        <f>1-WWWW[[#This Row],[% people access to functioning Latrine]]</f>
        <v>1</v>
      </c>
      <c r="BK6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67" s="483">
        <f>IF(WWWW[[#This Row],['#_of_functional_handwashing_facilities_at_HH_level]]*6&gt;WWWW[[#This Row],[Total PoP ]],WWWW[[#This Row],[Total PoP ]],WWWW[[#This Row],['#_of_functional_handwashing_facilities_at_HH_level]]*6)</f>
        <v>0</v>
      </c>
      <c r="BM67" s="478">
        <f>IF(WWWW[[#This Row],['# people reached by regular dedicated hygiene promotion]]&gt;WWWW[[#This Row],['# People received regular supply of hygiene items]],WWWW[[#This Row],['# people reached by regular dedicated hygiene promotion]],WWWW[[#This Row],['# People received regular supply of hygiene items]])</f>
        <v>0</v>
      </c>
      <c r="BN67" s="476">
        <f>IF(WWWW[[#This Row],[HRP3]]/WWWW[[#This Row],[Total PoP ]]&gt;100%,100%,WWWW[[#This Row],[HRP3]]/WWWW[[#This Row],[Total PoP ]])</f>
        <v>0</v>
      </c>
      <c r="BO67" s="479">
        <f>1-WWWW[[#This Row],[Hygiene Coverage%]]</f>
        <v>1</v>
      </c>
      <c r="BP67" s="477">
        <f>WWWW[[#This Row],['# people reached by regular dedicated hygiene promotion]]/WWWW[[#This Row],[Total PoP ]]</f>
        <v>0</v>
      </c>
      <c r="BQ6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67" s="478">
        <f>WWWW[[#This Row],['#_of_affected_women_and_girls_receiving_a_sufficient_quantity_of_sanitary_pads]]</f>
        <v>0</v>
      </c>
      <c r="BS67" s="524">
        <f>IF(WWWW[[#This Row],['# People with access to soap]]&gt;WWWW[[#This Row],['# People with access to Sanity Pads]],WWWW[[#This Row],['# People with access to soap]],WWWW[[#This Row],['# People with access to Sanity Pads]])</f>
        <v>0</v>
      </c>
      <c r="BT67" s="483" t="str">
        <f>IF(OR(WWWW[[#This Row],['#of students in school]]="",WWWW[[#This Row],['#of students in school]]=0),"No","Yes")</f>
        <v>Yes</v>
      </c>
      <c r="BU67" s="480" t="str">
        <f>VLOOKUP(WWWW[[#This Row],[Village  Name]],SiteDB6[[Site Name]:[Location Type 1]],9,FALSE)</f>
        <v>Village</v>
      </c>
      <c r="BV67" s="480" t="str">
        <f>VLOOKUP(WWWW[[#This Row],[Village  Name]],SiteDB6[[Site Name]:[Type of Accommodation]],10,FALSE)</f>
        <v>Village</v>
      </c>
      <c r="BW67" s="480">
        <f>VLOOKUP(WWWW[[#This Row],[Village  Name]],SiteDB6[[Site Name]:[Ethnic or GCA/NGCA]],11,FALSE)</f>
        <v>0</v>
      </c>
      <c r="BX67" s="480">
        <f>VLOOKUP(WWWW[[#This Row],[Village  Name]],SiteDB6[[Site Name]:[Lat]],12,FALSE)</f>
        <v>92.943733215332003</v>
      </c>
      <c r="BY67" s="480">
        <f>VLOOKUP(WWWW[[#This Row],[Village  Name]],SiteDB6[[Site Name]:[Long]],13,FALSE)</f>
        <v>20.0130805969238</v>
      </c>
      <c r="BZ67" s="480">
        <f>VLOOKUP(WWWW[[#This Row],[Village  Name]],SiteDB6[[Site Name]:[Pcode]],3,FALSE)</f>
        <v>217987</v>
      </c>
      <c r="CA67" s="480" t="str">
        <f t="shared" si="2"/>
        <v>Covered</v>
      </c>
      <c r="CB67" s="505"/>
    </row>
    <row r="68" spans="1:80">
      <c r="A68" s="774" t="s">
        <v>3150</v>
      </c>
      <c r="B68" s="774" t="s">
        <v>287</v>
      </c>
      <c r="C68" s="415" t="s">
        <v>287</v>
      </c>
      <c r="D68" s="415" t="s">
        <v>327</v>
      </c>
      <c r="E68" s="415" t="s">
        <v>2648</v>
      </c>
      <c r="F68" s="415" t="s">
        <v>402</v>
      </c>
      <c r="G68" s="644" t="str">
        <f>VLOOKUP(WWWW[[#This Row],[Village  Name]],SiteDB6[[Site Name]:[Location Type]],8,FALSE)</f>
        <v>Village</v>
      </c>
      <c r="H68" s="415" t="s">
        <v>806</v>
      </c>
      <c r="I68" s="524">
        <v>160</v>
      </c>
      <c r="J68" s="524">
        <v>728</v>
      </c>
      <c r="K68" s="418">
        <v>43359</v>
      </c>
      <c r="L68" s="55">
        <v>44196</v>
      </c>
      <c r="M68" s="524">
        <v>177</v>
      </c>
      <c r="N68" s="524"/>
      <c r="O68" s="524"/>
      <c r="P68" s="524"/>
      <c r="Q68" s="524">
        <v>0</v>
      </c>
      <c r="R68" s="524"/>
      <c r="S68" s="524">
        <v>728</v>
      </c>
      <c r="T68" s="524">
        <v>0</v>
      </c>
      <c r="U68" s="551"/>
      <c r="V68" s="524">
        <v>10</v>
      </c>
      <c r="W68" s="524" t="s">
        <v>126</v>
      </c>
      <c r="X68" s="524">
        <v>2</v>
      </c>
      <c r="Y68" s="524">
        <v>11</v>
      </c>
      <c r="Z68" s="524"/>
      <c r="AA68" s="524"/>
      <c r="AB68" s="524"/>
      <c r="AC68" s="551"/>
      <c r="AD68" s="524"/>
      <c r="AE68" s="524"/>
      <c r="AF68" s="524"/>
      <c r="AG68" s="524"/>
      <c r="AH68" s="524"/>
      <c r="AI68" s="524"/>
      <c r="AJ68" s="524"/>
      <c r="AK68" s="524"/>
      <c r="AL68" s="524"/>
      <c r="AM68" s="524"/>
      <c r="AN68" s="551"/>
      <c r="AO68" s="477"/>
      <c r="AP68" s="477"/>
      <c r="AQ68" s="524"/>
      <c r="AR68" s="524"/>
      <c r="AS68" s="524"/>
      <c r="AT6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68" s="483">
        <f>WWWW[[#This Row],[%Equitable and continuous access to sufficient quantity of safe drinking water]]*WWWW[[#This Row],[Total PoP ]]</f>
        <v>0</v>
      </c>
      <c r="AV6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68" s="483">
        <f>WWWW[[#This Row],[% Access to unimproved water points]]*WWWW[[#This Row],[Total PoP ]]</f>
        <v>728</v>
      </c>
      <c r="AX6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6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728</v>
      </c>
      <c r="AZ68" s="483">
        <f>WWWW[[#This Row],[HRP1]]/250</f>
        <v>2.9119999999999999</v>
      </c>
      <c r="BA68" s="476">
        <f>1-WWWW[[#This Row],[% Equitable and continuous access to sufficient quantity of domestic water]]</f>
        <v>0</v>
      </c>
      <c r="BB68" s="483">
        <f>WWWW[[#This Row],[%equitable and continuous access to sufficient quantity of safe drinking and domestic water''s GAP]]*WWWW[[#This Row],[Total PoP ]]</f>
        <v>0</v>
      </c>
      <c r="BC68" s="478">
        <f>IF(WWWW[[#This Row],[Total required water points]]-WWWW[[#This Row],['#Water points coverage]]&lt;0,0,WWWW[[#This Row],[Total required water points]]-WWWW[[#This Row],['#Water points coverage]])</f>
        <v>8.8000000000000078E-2</v>
      </c>
      <c r="BD68" s="478">
        <f>ROUND(IF(WWWW[[#This Row],[Total PoP ]]&lt;250,1,WWWW[[#This Row],[Total PoP ]]/250),0)</f>
        <v>3</v>
      </c>
      <c r="BE6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8.2417582417582416E-2</v>
      </c>
      <c r="BF68" s="483">
        <f>WWWW[[#This Row],[% people access to functioning Latrine]]*WWWW[[#This Row],[Total PoP ]]</f>
        <v>60</v>
      </c>
      <c r="BG68" s="478">
        <f>WWWW[[#This Row],['#_of_Functioning_latrines_in_school]]*50</f>
        <v>100</v>
      </c>
      <c r="BH68" s="478">
        <f>ROUND((WWWW[[#This Row],[Total PoP ]]/6),0)</f>
        <v>121</v>
      </c>
      <c r="BI68" s="478">
        <f>IF(WWWW[[#This Row],[Total required Latrines]]-(WWWW[[#This Row],['#_of_sanitary_fly-proof_HH_latrines]])&lt;0,0,WWWW[[#This Row],[Total required Latrines]]-(WWWW[[#This Row],['#_of_sanitary_fly-proof_HH_latrines]]))</f>
        <v>111</v>
      </c>
      <c r="BJ68" s="479">
        <f>1-WWWW[[#This Row],[% people access to functioning Latrine]]</f>
        <v>0.91758241758241754</v>
      </c>
      <c r="BK6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68" s="483">
        <f>IF(WWWW[[#This Row],['#_of_functional_handwashing_facilities_at_HH_level]]*6&gt;WWWW[[#This Row],[Total PoP ]],WWWW[[#This Row],[Total PoP ]],WWWW[[#This Row],['#_of_functional_handwashing_facilities_at_HH_level]]*6)</f>
        <v>0</v>
      </c>
      <c r="BM68" s="478">
        <f>IF(WWWW[[#This Row],['# people reached by regular dedicated hygiene promotion]]&gt;WWWW[[#This Row],['# People received regular supply of hygiene items]],WWWW[[#This Row],['# people reached by regular dedicated hygiene promotion]],WWWW[[#This Row],['# People received regular supply of hygiene items]])</f>
        <v>0</v>
      </c>
      <c r="BN68" s="476">
        <f>IF(WWWW[[#This Row],[HRP3]]/WWWW[[#This Row],[Total PoP ]]&gt;100%,100%,WWWW[[#This Row],[HRP3]]/WWWW[[#This Row],[Total PoP ]])</f>
        <v>0</v>
      </c>
      <c r="BO68" s="479">
        <f>1-WWWW[[#This Row],[Hygiene Coverage%]]</f>
        <v>1</v>
      </c>
      <c r="BP68" s="477">
        <f>WWWW[[#This Row],['# people reached by regular dedicated hygiene promotion]]/WWWW[[#This Row],[Total PoP ]]</f>
        <v>0</v>
      </c>
      <c r="BQ6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68" s="478">
        <f>WWWW[[#This Row],['#_of_affected_women_and_girls_receiving_a_sufficient_quantity_of_sanitary_pads]]</f>
        <v>0</v>
      </c>
      <c r="BS68" s="524">
        <f>IF(WWWW[[#This Row],['# People with access to soap]]&gt;WWWW[[#This Row],['# People with access to Sanity Pads]],WWWW[[#This Row],['# People with access to soap]],WWWW[[#This Row],['# People with access to Sanity Pads]])</f>
        <v>0</v>
      </c>
      <c r="BT68" s="483" t="str">
        <f>IF(OR(WWWW[[#This Row],['#of students in school]]="",WWWW[[#This Row],['#of students in school]]=0),"No","Yes")</f>
        <v>Yes</v>
      </c>
      <c r="BU68" s="480" t="str">
        <f>VLOOKUP(WWWW[[#This Row],[Village  Name]],SiteDB6[[Site Name]:[Location Type 1]],9,FALSE)</f>
        <v>Village</v>
      </c>
      <c r="BV68" s="480" t="str">
        <f>VLOOKUP(WWWW[[#This Row],[Village  Name]],SiteDB6[[Site Name]:[Type of Accommodation]],10,FALSE)</f>
        <v>Village</v>
      </c>
      <c r="BW68" s="480">
        <f>VLOOKUP(WWWW[[#This Row],[Village  Name]],SiteDB6[[Site Name]:[Ethnic or GCA/NGCA]],11,FALSE)</f>
        <v>0</v>
      </c>
      <c r="BX68" s="480">
        <f>VLOOKUP(WWWW[[#This Row],[Village  Name]],SiteDB6[[Site Name]:[Lat]],12,FALSE)</f>
        <v>19.94882965</v>
      </c>
      <c r="BY68" s="480">
        <f>VLOOKUP(WWWW[[#This Row],[Village  Name]],SiteDB6[[Site Name]:[Long]],13,FALSE)</f>
        <v>92.978782649999999</v>
      </c>
      <c r="BZ68" s="480">
        <f>VLOOKUP(WWWW[[#This Row],[Village  Name]],SiteDB6[[Site Name]:[Pcode]],3,FALSE)</f>
        <v>197566</v>
      </c>
      <c r="CA68" s="480" t="str">
        <f t="shared" si="2"/>
        <v>Covered</v>
      </c>
      <c r="CB68" s="505"/>
    </row>
    <row r="69" spans="1:80">
      <c r="A69" s="774" t="s">
        <v>3150</v>
      </c>
      <c r="B69" s="774" t="s">
        <v>2269</v>
      </c>
      <c r="C69" s="415" t="s">
        <v>2269</v>
      </c>
      <c r="D69" s="415" t="s">
        <v>231</v>
      </c>
      <c r="E69" s="415" t="s">
        <v>2648</v>
      </c>
      <c r="F69" s="415" t="s">
        <v>357</v>
      </c>
      <c r="G69" s="644" t="str">
        <f>VLOOKUP(WWWW[[#This Row],[Village  Name]],SiteDB6[[Site Name]:[Location Type]],8,FALSE)</f>
        <v>Village</v>
      </c>
      <c r="H69" s="415" t="s">
        <v>2270</v>
      </c>
      <c r="I69" s="524">
        <v>65</v>
      </c>
      <c r="J69" s="524">
        <v>323</v>
      </c>
      <c r="K69" s="418">
        <v>43540</v>
      </c>
      <c r="L69" s="55">
        <v>43906</v>
      </c>
      <c r="M69" s="524">
        <v>48</v>
      </c>
      <c r="N69" s="524"/>
      <c r="O69" s="524">
        <v>0</v>
      </c>
      <c r="P69" s="524">
        <v>4</v>
      </c>
      <c r="Q69" s="524">
        <v>1</v>
      </c>
      <c r="R69" s="524"/>
      <c r="S69" s="524">
        <v>0</v>
      </c>
      <c r="T69" s="524">
        <v>0</v>
      </c>
      <c r="U69" s="551"/>
      <c r="V69" s="524">
        <v>65</v>
      </c>
      <c r="W69" s="524" t="s">
        <v>126</v>
      </c>
      <c r="X69" s="524">
        <v>0</v>
      </c>
      <c r="Y69" s="524">
        <v>0</v>
      </c>
      <c r="Z69" s="524">
        <v>0</v>
      </c>
      <c r="AA69" s="524">
        <v>0</v>
      </c>
      <c r="AB69" s="524">
        <v>0</v>
      </c>
      <c r="AC69" s="551"/>
      <c r="AD69" s="524">
        <v>0</v>
      </c>
      <c r="AE69" s="524">
        <v>0</v>
      </c>
      <c r="AF69" s="524">
        <v>0</v>
      </c>
      <c r="AG69" s="524">
        <v>0</v>
      </c>
      <c r="AH69" s="524">
        <v>0</v>
      </c>
      <c r="AI69" s="524">
        <v>0</v>
      </c>
      <c r="AJ69" s="524">
        <v>65</v>
      </c>
      <c r="AK69" s="524">
        <v>0</v>
      </c>
      <c r="AL69" s="524"/>
      <c r="AM69" s="524"/>
      <c r="AN69" s="551"/>
      <c r="AO69" s="477"/>
      <c r="AP69" s="477"/>
      <c r="AQ69" s="524"/>
      <c r="AR69" s="524"/>
      <c r="AS69" s="524"/>
      <c r="AT6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69" s="483">
        <f>WWWW[[#This Row],[%Equitable and continuous access to sufficient quantity of safe drinking water]]*WWWW[[#This Row],[Total PoP ]]</f>
        <v>323</v>
      </c>
      <c r="AV6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69" s="483">
        <f>WWWW[[#This Row],[% Access to unimproved water points]]*WWWW[[#This Row],[Total PoP ]]</f>
        <v>323</v>
      </c>
      <c r="AX6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6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323</v>
      </c>
      <c r="AZ69" s="483">
        <f>WWWW[[#This Row],[HRP1]]/250</f>
        <v>1.292</v>
      </c>
      <c r="BA69" s="476">
        <f>1-WWWW[[#This Row],[% Equitable and continuous access to sufficient quantity of domestic water]]</f>
        <v>0</v>
      </c>
      <c r="BB69" s="483">
        <f>WWWW[[#This Row],[%equitable and continuous access to sufficient quantity of safe drinking and domestic water''s GAP]]*WWWW[[#This Row],[Total PoP ]]</f>
        <v>0</v>
      </c>
      <c r="BC69" s="478">
        <f>IF(WWWW[[#This Row],[Total required water points]]-WWWW[[#This Row],['#Water points coverage]]&lt;0,0,WWWW[[#This Row],[Total required water points]]-WWWW[[#This Row],['#Water points coverage]])</f>
        <v>0</v>
      </c>
      <c r="BD69" s="478">
        <f>ROUND(IF(WWWW[[#This Row],[Total PoP ]]&lt;250,1,WWWW[[#This Row],[Total PoP ]]/250),0)</f>
        <v>1</v>
      </c>
      <c r="BE6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69" s="483">
        <f>WWWW[[#This Row],[% people access to functioning Latrine]]*WWWW[[#This Row],[Total PoP ]]</f>
        <v>323</v>
      </c>
      <c r="BG69" s="478">
        <f>WWWW[[#This Row],['#_of_Functioning_latrines_in_school]]*50</f>
        <v>0</v>
      </c>
      <c r="BH69" s="478">
        <f>ROUND((WWWW[[#This Row],[Total PoP ]]/6),0)</f>
        <v>54</v>
      </c>
      <c r="BI69" s="478">
        <f>IF(WWWW[[#This Row],[Total required Latrines]]-(WWWW[[#This Row],['#_of_sanitary_fly-proof_HH_latrines]])&lt;0,0,WWWW[[#This Row],[Total required Latrines]]-(WWWW[[#This Row],['#_of_sanitary_fly-proof_HH_latrines]]))</f>
        <v>0</v>
      </c>
      <c r="BJ69" s="479">
        <f>1-WWWW[[#This Row],[% people access to functioning Latrine]]</f>
        <v>0</v>
      </c>
      <c r="BK6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69" s="483">
        <f>IF(WWWW[[#This Row],['#_of_functional_handwashing_facilities_at_HH_level]]*6&gt;WWWW[[#This Row],[Total PoP ]],WWWW[[#This Row],[Total PoP ]],WWWW[[#This Row],['#_of_functional_handwashing_facilities_at_HH_level]]*6)</f>
        <v>323</v>
      </c>
      <c r="BM69" s="478">
        <f>IF(WWWW[[#This Row],['# people reached by regular dedicated hygiene promotion]]&gt;WWWW[[#This Row],['# People received regular supply of hygiene items]],WWWW[[#This Row],['# people reached by regular dedicated hygiene promotion]],WWWW[[#This Row],['# People received regular supply of hygiene items]])</f>
        <v>0</v>
      </c>
      <c r="BN69" s="476">
        <f>IF(WWWW[[#This Row],[HRP3]]/WWWW[[#This Row],[Total PoP ]]&gt;100%,100%,WWWW[[#This Row],[HRP3]]/WWWW[[#This Row],[Total PoP ]])</f>
        <v>0</v>
      </c>
      <c r="BO69" s="479">
        <f>1-WWWW[[#This Row],[Hygiene Coverage%]]</f>
        <v>1</v>
      </c>
      <c r="BP69" s="477">
        <f>WWWW[[#This Row],['# people reached by regular dedicated hygiene promotion]]/WWWW[[#This Row],[Total PoP ]]</f>
        <v>0</v>
      </c>
      <c r="BQ6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69" s="478">
        <f>WWWW[[#This Row],['#_of_affected_women_and_girls_receiving_a_sufficient_quantity_of_sanitary_pads]]</f>
        <v>0</v>
      </c>
      <c r="BS69" s="524">
        <f>IF(WWWW[[#This Row],['# People with access to soap]]&gt;WWWW[[#This Row],['# People with access to Sanity Pads]],WWWW[[#This Row],['# People with access to soap]],WWWW[[#This Row],['# People with access to Sanity Pads]])</f>
        <v>0</v>
      </c>
      <c r="BT69" s="483" t="str">
        <f>IF(OR(WWWW[[#This Row],['#of students in school]]="",WWWW[[#This Row],['#of students in school]]=0),"No","Yes")</f>
        <v>Yes</v>
      </c>
      <c r="BU69" s="480" t="str">
        <f>VLOOKUP(WWWW[[#This Row],[Village  Name]],SiteDB6[[Site Name]:[Location Type 1]],9,FALSE)</f>
        <v>Village</v>
      </c>
      <c r="BV69" s="480" t="str">
        <f>VLOOKUP(WWWW[[#This Row],[Village  Name]],SiteDB6[[Site Name]:[Type of Accommodation]],10,FALSE)</f>
        <v>Village</v>
      </c>
      <c r="BW69" s="480" t="str">
        <f>VLOOKUP(WWWW[[#This Row],[Village  Name]],SiteDB6[[Site Name]:[Ethnic or GCA/NGCA]],11,FALSE)</f>
        <v>Rakhine</v>
      </c>
      <c r="BX69" s="480">
        <f>VLOOKUP(WWWW[[#This Row],[Village  Name]],SiteDB6[[Site Name]:[Lat]],12,FALSE)</f>
        <v>19.417640689999999</v>
      </c>
      <c r="BY69" s="480">
        <f>VLOOKUP(WWWW[[#This Row],[Village  Name]],SiteDB6[[Site Name]:[Long]],13,FALSE)</f>
        <v>93.565246579999993</v>
      </c>
      <c r="BZ69" s="480">
        <f>VLOOKUP(WWWW[[#This Row],[Village  Name]],SiteDB6[[Site Name]:[Pcode]],3,FALSE)</f>
        <v>198464</v>
      </c>
      <c r="CA69" s="480" t="str">
        <f t="shared" ref="CA69:CA73" si="3">IF(C69="none","Notcovered","Covered")</f>
        <v>Covered</v>
      </c>
      <c r="CB69" s="505"/>
    </row>
    <row r="70" spans="1:80">
      <c r="A70" s="774" t="s">
        <v>3150</v>
      </c>
      <c r="B70" s="774" t="s">
        <v>2269</v>
      </c>
      <c r="C70" s="415" t="s">
        <v>2269</v>
      </c>
      <c r="D70" s="415" t="s">
        <v>231</v>
      </c>
      <c r="E70" s="415" t="s">
        <v>2648</v>
      </c>
      <c r="F70" s="415" t="s">
        <v>357</v>
      </c>
      <c r="G70" s="644" t="str">
        <f>VLOOKUP(WWWW[[#This Row],[Village  Name]],SiteDB6[[Site Name]:[Location Type]],8,FALSE)</f>
        <v>Village</v>
      </c>
      <c r="H70" s="415" t="s">
        <v>3125</v>
      </c>
      <c r="I70" s="524">
        <v>275</v>
      </c>
      <c r="J70" s="524">
        <v>1018</v>
      </c>
      <c r="K70" s="418">
        <v>43540</v>
      </c>
      <c r="L70" s="55">
        <v>43906</v>
      </c>
      <c r="M70" s="524">
        <v>227</v>
      </c>
      <c r="N70" s="524"/>
      <c r="O70" s="524"/>
      <c r="P70" s="524"/>
      <c r="Q70" s="524"/>
      <c r="R70" s="524"/>
      <c r="S70" s="524"/>
      <c r="T70" s="524"/>
      <c r="U70" s="551"/>
      <c r="V70" s="524"/>
      <c r="W70" s="524" t="s">
        <v>40</v>
      </c>
      <c r="X70" s="524">
        <v>5</v>
      </c>
      <c r="Y70" s="524"/>
      <c r="Z70" s="524"/>
      <c r="AA70" s="524"/>
      <c r="AB70" s="524"/>
      <c r="AC70" s="551"/>
      <c r="AD70" s="524">
        <v>0</v>
      </c>
      <c r="AE70" s="524">
        <v>0</v>
      </c>
      <c r="AF70" s="524">
        <v>0</v>
      </c>
      <c r="AG70" s="524">
        <v>0</v>
      </c>
      <c r="AH70" s="524">
        <v>0</v>
      </c>
      <c r="AI70" s="524">
        <v>0</v>
      </c>
      <c r="AJ70" s="524">
        <v>0</v>
      </c>
      <c r="AK70" s="524">
        <v>0</v>
      </c>
      <c r="AL70" s="524"/>
      <c r="AM70" s="524"/>
      <c r="AN70" s="551"/>
      <c r="AO70" s="477"/>
      <c r="AP70" s="477"/>
      <c r="AQ70" s="524"/>
      <c r="AR70" s="524"/>
      <c r="AS70" s="524"/>
      <c r="AT7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70" s="483">
        <f>WWWW[[#This Row],[%Equitable and continuous access to sufficient quantity of safe drinking water]]*WWWW[[#This Row],[Total PoP ]]</f>
        <v>0</v>
      </c>
      <c r="AV7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70" s="483">
        <f>WWWW[[#This Row],[% Access to unimproved water points]]*WWWW[[#This Row],[Total PoP ]]</f>
        <v>0</v>
      </c>
      <c r="AX7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7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70" s="483">
        <f>WWWW[[#This Row],[HRP1]]/250</f>
        <v>0</v>
      </c>
      <c r="BA70" s="476">
        <f>1-WWWW[[#This Row],[% Equitable and continuous access to sufficient quantity of domestic water]]</f>
        <v>1</v>
      </c>
      <c r="BB70" s="483">
        <f>WWWW[[#This Row],[%equitable and continuous access to sufficient quantity of safe drinking and domestic water''s GAP]]*WWWW[[#This Row],[Total PoP ]]</f>
        <v>1018</v>
      </c>
      <c r="BC70" s="478">
        <f>IF(WWWW[[#This Row],[Total required water points]]-WWWW[[#This Row],['#Water points coverage]]&lt;0,0,WWWW[[#This Row],[Total required water points]]-WWWW[[#This Row],['#Water points coverage]])</f>
        <v>4</v>
      </c>
      <c r="BD70" s="478">
        <f>ROUND(IF(WWWW[[#This Row],[Total PoP ]]&lt;250,1,WWWW[[#This Row],[Total PoP ]]/250),0)</f>
        <v>4</v>
      </c>
      <c r="BE7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70" s="483">
        <f>WWWW[[#This Row],[% people access to functioning Latrine]]*WWWW[[#This Row],[Total PoP ]]</f>
        <v>0</v>
      </c>
      <c r="BG70" s="478">
        <f>WWWW[[#This Row],['#_of_Functioning_latrines_in_school]]*50</f>
        <v>250</v>
      </c>
      <c r="BH70" s="478">
        <f>ROUND((WWWW[[#This Row],[Total PoP ]]/6),0)</f>
        <v>170</v>
      </c>
      <c r="BI70" s="478">
        <f>IF(WWWW[[#This Row],[Total required Latrines]]-(WWWW[[#This Row],['#_of_sanitary_fly-proof_HH_latrines]])&lt;0,0,WWWW[[#This Row],[Total required Latrines]]-(WWWW[[#This Row],['#_of_sanitary_fly-proof_HH_latrines]]))</f>
        <v>170</v>
      </c>
      <c r="BJ70" s="479">
        <f>1-WWWW[[#This Row],[% people access to functioning Latrine]]</f>
        <v>1</v>
      </c>
      <c r="BK7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70" s="483">
        <f>IF(WWWW[[#This Row],['#_of_functional_handwashing_facilities_at_HH_level]]*6&gt;WWWW[[#This Row],[Total PoP ]],WWWW[[#This Row],[Total PoP ]],WWWW[[#This Row],['#_of_functional_handwashing_facilities_at_HH_level]]*6)</f>
        <v>0</v>
      </c>
      <c r="BM70" s="478">
        <f>IF(WWWW[[#This Row],['# people reached by regular dedicated hygiene promotion]]&gt;WWWW[[#This Row],['# People received regular supply of hygiene items]],WWWW[[#This Row],['# people reached by regular dedicated hygiene promotion]],WWWW[[#This Row],['# People received regular supply of hygiene items]])</f>
        <v>0</v>
      </c>
      <c r="BN70" s="476">
        <f>IF(WWWW[[#This Row],[HRP3]]/WWWW[[#This Row],[Total PoP ]]&gt;100%,100%,WWWW[[#This Row],[HRP3]]/WWWW[[#This Row],[Total PoP ]])</f>
        <v>0</v>
      </c>
      <c r="BO70" s="479">
        <f>1-WWWW[[#This Row],[Hygiene Coverage%]]</f>
        <v>1</v>
      </c>
      <c r="BP70" s="477">
        <f>WWWW[[#This Row],['# people reached by regular dedicated hygiene promotion]]/WWWW[[#This Row],[Total PoP ]]</f>
        <v>0</v>
      </c>
      <c r="BQ7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0" s="478">
        <f>WWWW[[#This Row],['#_of_affected_women_and_girls_receiving_a_sufficient_quantity_of_sanitary_pads]]</f>
        <v>0</v>
      </c>
      <c r="BS70" s="524">
        <f>IF(WWWW[[#This Row],['# People with access to soap]]&gt;WWWW[[#This Row],['# People with access to Sanity Pads]],WWWW[[#This Row],['# People with access to soap]],WWWW[[#This Row],['# People with access to Sanity Pads]])</f>
        <v>0</v>
      </c>
      <c r="BT70" s="483" t="str">
        <f>IF(OR(WWWW[[#This Row],['#of students in school]]="",WWWW[[#This Row],['#of students in school]]=0),"No","Yes")</f>
        <v>Yes</v>
      </c>
      <c r="BU70" s="480" t="str">
        <f>VLOOKUP(WWWW[[#This Row],[Village  Name]],SiteDB6[[Site Name]:[Location Type 1]],9,FALSE)</f>
        <v>Village</v>
      </c>
      <c r="BV70" s="480" t="str">
        <f>VLOOKUP(WWWW[[#This Row],[Village  Name]],SiteDB6[[Site Name]:[Type of Accommodation]],10,FALSE)</f>
        <v>Village</v>
      </c>
      <c r="BW70" s="480" t="str">
        <f>VLOOKUP(WWWW[[#This Row],[Village  Name]],SiteDB6[[Site Name]:[Ethnic or GCA/NGCA]],11,FALSE)</f>
        <v>Rakhine</v>
      </c>
      <c r="BX70" s="480">
        <f>VLOOKUP(WWWW[[#This Row],[Village  Name]],SiteDB6[[Site Name]:[Lat]],12,FALSE)</f>
        <v>19.4781608581543</v>
      </c>
      <c r="BY70" s="480">
        <f>VLOOKUP(WWWW[[#This Row],[Village  Name]],SiteDB6[[Site Name]:[Long]],13,FALSE)</f>
        <v>93.622062683105497</v>
      </c>
      <c r="BZ70" s="480">
        <f>VLOOKUP(WWWW[[#This Row],[Village  Name]],SiteDB6[[Site Name]:[Pcode]],3,FALSE)</f>
        <v>198475</v>
      </c>
      <c r="CA70" s="480" t="str">
        <f t="shared" si="3"/>
        <v>Covered</v>
      </c>
      <c r="CB70" s="505"/>
    </row>
    <row r="71" spans="1:80">
      <c r="A71" s="774" t="s">
        <v>3150</v>
      </c>
      <c r="B71" s="774" t="s">
        <v>2269</v>
      </c>
      <c r="C71" s="415" t="s">
        <v>2269</v>
      </c>
      <c r="D71" s="415" t="s">
        <v>231</v>
      </c>
      <c r="E71" s="415" t="s">
        <v>2648</v>
      </c>
      <c r="F71" s="415" t="s">
        <v>357</v>
      </c>
      <c r="G71" s="644" t="str">
        <f>VLOOKUP(WWWW[[#This Row],[Village  Name]],SiteDB6[[Site Name]:[Location Type]],8,FALSE)</f>
        <v>Village</v>
      </c>
      <c r="H71" s="415" t="s">
        <v>3126</v>
      </c>
      <c r="I71" s="524">
        <v>76</v>
      </c>
      <c r="J71" s="524">
        <v>276</v>
      </c>
      <c r="K71" s="418">
        <v>43540</v>
      </c>
      <c r="L71" s="55">
        <v>43906</v>
      </c>
      <c r="M71" s="524">
        <v>69</v>
      </c>
      <c r="N71" s="524"/>
      <c r="O71" s="524"/>
      <c r="P71" s="524"/>
      <c r="Q71" s="524"/>
      <c r="R71" s="524"/>
      <c r="S71" s="524"/>
      <c r="T71" s="524"/>
      <c r="U71" s="551"/>
      <c r="V71" s="524"/>
      <c r="W71" s="524" t="s">
        <v>40</v>
      </c>
      <c r="X71" s="524">
        <v>2</v>
      </c>
      <c r="Y71" s="524"/>
      <c r="Z71" s="524"/>
      <c r="AA71" s="524"/>
      <c r="AB71" s="524"/>
      <c r="AC71" s="551"/>
      <c r="AD71" s="524">
        <v>0</v>
      </c>
      <c r="AE71" s="524">
        <v>0</v>
      </c>
      <c r="AF71" s="524">
        <v>0</v>
      </c>
      <c r="AG71" s="524">
        <v>0</v>
      </c>
      <c r="AH71" s="524">
        <v>0</v>
      </c>
      <c r="AI71" s="524">
        <v>0</v>
      </c>
      <c r="AJ71" s="524">
        <v>0</v>
      </c>
      <c r="AK71" s="524">
        <v>0</v>
      </c>
      <c r="AL71" s="524"/>
      <c r="AM71" s="524"/>
      <c r="AN71" s="551"/>
      <c r="AO71" s="477"/>
      <c r="AP71" s="477"/>
      <c r="AQ71" s="524"/>
      <c r="AR71" s="524"/>
      <c r="AS71" s="524"/>
      <c r="AT7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71" s="483">
        <f>WWWW[[#This Row],[%Equitable and continuous access to sufficient quantity of safe drinking water]]*WWWW[[#This Row],[Total PoP ]]</f>
        <v>0</v>
      </c>
      <c r="AV7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71" s="483">
        <f>WWWW[[#This Row],[% Access to unimproved water points]]*WWWW[[#This Row],[Total PoP ]]</f>
        <v>0</v>
      </c>
      <c r="AX7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7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71" s="483">
        <f>WWWW[[#This Row],[HRP1]]/250</f>
        <v>0</v>
      </c>
      <c r="BA71" s="476">
        <f>1-WWWW[[#This Row],[% Equitable and continuous access to sufficient quantity of domestic water]]</f>
        <v>1</v>
      </c>
      <c r="BB71" s="483">
        <f>WWWW[[#This Row],[%equitable and continuous access to sufficient quantity of safe drinking and domestic water''s GAP]]*WWWW[[#This Row],[Total PoP ]]</f>
        <v>276</v>
      </c>
      <c r="BC71" s="478">
        <f>IF(WWWW[[#This Row],[Total required water points]]-WWWW[[#This Row],['#Water points coverage]]&lt;0,0,WWWW[[#This Row],[Total required water points]]-WWWW[[#This Row],['#Water points coverage]])</f>
        <v>1</v>
      </c>
      <c r="BD71" s="478">
        <f>ROUND(IF(WWWW[[#This Row],[Total PoP ]]&lt;250,1,WWWW[[#This Row],[Total PoP ]]/250),0)</f>
        <v>1</v>
      </c>
      <c r="BE7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71" s="483">
        <f>WWWW[[#This Row],[% people access to functioning Latrine]]*WWWW[[#This Row],[Total PoP ]]</f>
        <v>0</v>
      </c>
      <c r="BG71" s="478">
        <f>WWWW[[#This Row],['#_of_Functioning_latrines_in_school]]*50</f>
        <v>100</v>
      </c>
      <c r="BH71" s="478">
        <f>ROUND((WWWW[[#This Row],[Total PoP ]]/6),0)</f>
        <v>46</v>
      </c>
      <c r="BI71" s="478">
        <f>IF(WWWW[[#This Row],[Total required Latrines]]-(WWWW[[#This Row],['#_of_sanitary_fly-proof_HH_latrines]])&lt;0,0,WWWW[[#This Row],[Total required Latrines]]-(WWWW[[#This Row],['#_of_sanitary_fly-proof_HH_latrines]]))</f>
        <v>46</v>
      </c>
      <c r="BJ71" s="479">
        <f>1-WWWW[[#This Row],[% people access to functioning Latrine]]</f>
        <v>1</v>
      </c>
      <c r="BK7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71" s="483">
        <f>IF(WWWW[[#This Row],['#_of_functional_handwashing_facilities_at_HH_level]]*6&gt;WWWW[[#This Row],[Total PoP ]],WWWW[[#This Row],[Total PoP ]],WWWW[[#This Row],['#_of_functional_handwashing_facilities_at_HH_level]]*6)</f>
        <v>0</v>
      </c>
      <c r="BM71" s="478">
        <f>IF(WWWW[[#This Row],['# people reached by regular dedicated hygiene promotion]]&gt;WWWW[[#This Row],['# People received regular supply of hygiene items]],WWWW[[#This Row],['# people reached by regular dedicated hygiene promotion]],WWWW[[#This Row],['# People received regular supply of hygiene items]])</f>
        <v>0</v>
      </c>
      <c r="BN71" s="476">
        <f>IF(WWWW[[#This Row],[HRP3]]/WWWW[[#This Row],[Total PoP ]]&gt;100%,100%,WWWW[[#This Row],[HRP3]]/WWWW[[#This Row],[Total PoP ]])</f>
        <v>0</v>
      </c>
      <c r="BO71" s="479">
        <f>1-WWWW[[#This Row],[Hygiene Coverage%]]</f>
        <v>1</v>
      </c>
      <c r="BP71" s="477">
        <f>WWWW[[#This Row],['# people reached by regular dedicated hygiene promotion]]/WWWW[[#This Row],[Total PoP ]]</f>
        <v>0</v>
      </c>
      <c r="BQ7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1" s="478">
        <f>WWWW[[#This Row],['#_of_affected_women_and_girls_receiving_a_sufficient_quantity_of_sanitary_pads]]</f>
        <v>0</v>
      </c>
      <c r="BS71" s="524">
        <f>IF(WWWW[[#This Row],['# People with access to soap]]&gt;WWWW[[#This Row],['# People with access to Sanity Pads]],WWWW[[#This Row],['# People with access to soap]],WWWW[[#This Row],['# People with access to Sanity Pads]])</f>
        <v>0</v>
      </c>
      <c r="BT71" s="483" t="str">
        <f>IF(OR(WWWW[[#This Row],['#of students in school]]="",WWWW[[#This Row],['#of students in school]]=0),"No","Yes")</f>
        <v>Yes</v>
      </c>
      <c r="BU71" s="480" t="str">
        <f>VLOOKUP(WWWW[[#This Row],[Village  Name]],SiteDB6[[Site Name]:[Location Type 1]],9,FALSE)</f>
        <v>Village</v>
      </c>
      <c r="BV71" s="480" t="str">
        <f>VLOOKUP(WWWW[[#This Row],[Village  Name]],SiteDB6[[Site Name]:[Type of Accommodation]],10,FALSE)</f>
        <v>Village</v>
      </c>
      <c r="BW71" s="480" t="str">
        <f>VLOOKUP(WWWW[[#This Row],[Village  Name]],SiteDB6[[Site Name]:[Ethnic or GCA/NGCA]],11,FALSE)</f>
        <v>Rakhine</v>
      </c>
      <c r="BX71" s="480">
        <f>VLOOKUP(WWWW[[#This Row],[Village  Name]],SiteDB6[[Site Name]:[Lat]],12,FALSE)</f>
        <v>19.483570098876999</v>
      </c>
      <c r="BY71" s="480">
        <f>VLOOKUP(WWWW[[#This Row],[Village  Name]],SiteDB6[[Site Name]:[Long]],13,FALSE)</f>
        <v>93.639602661132798</v>
      </c>
      <c r="BZ71" s="480">
        <f>VLOOKUP(WWWW[[#This Row],[Village  Name]],SiteDB6[[Site Name]:[Pcode]],3,FALSE)</f>
        <v>198476</v>
      </c>
      <c r="CA71" s="480" t="str">
        <f t="shared" si="3"/>
        <v>Covered</v>
      </c>
      <c r="CB71" s="505"/>
    </row>
    <row r="72" spans="1:80">
      <c r="A72" s="774" t="s">
        <v>3150</v>
      </c>
      <c r="B72" s="774" t="s">
        <v>2269</v>
      </c>
      <c r="C72" s="415" t="s">
        <v>2269</v>
      </c>
      <c r="D72" s="415" t="s">
        <v>231</v>
      </c>
      <c r="E72" s="415" t="s">
        <v>2648</v>
      </c>
      <c r="F72" s="415" t="s">
        <v>357</v>
      </c>
      <c r="G72" s="644" t="str">
        <f>VLOOKUP(WWWW[[#This Row],[Village  Name]],SiteDB6[[Site Name]:[Location Type]],8,FALSE)</f>
        <v>Village</v>
      </c>
      <c r="H72" s="415" t="s">
        <v>2547</v>
      </c>
      <c r="I72" s="524">
        <v>251</v>
      </c>
      <c r="J72" s="524">
        <v>970</v>
      </c>
      <c r="K72" s="418">
        <v>43540</v>
      </c>
      <c r="L72" s="55">
        <v>43906</v>
      </c>
      <c r="M72" s="524">
        <v>297</v>
      </c>
      <c r="N72" s="524"/>
      <c r="O72" s="524"/>
      <c r="P72" s="524"/>
      <c r="Q72" s="524"/>
      <c r="R72" s="524"/>
      <c r="S72" s="524"/>
      <c r="T72" s="524"/>
      <c r="U72" s="551"/>
      <c r="V72" s="524"/>
      <c r="W72" s="524" t="s">
        <v>40</v>
      </c>
      <c r="X72" s="524">
        <v>4</v>
      </c>
      <c r="Y72" s="524"/>
      <c r="Z72" s="524"/>
      <c r="AA72" s="524"/>
      <c r="AB72" s="524"/>
      <c r="AC72" s="551"/>
      <c r="AD72" s="524">
        <v>0</v>
      </c>
      <c r="AE72" s="524">
        <v>0</v>
      </c>
      <c r="AF72" s="524">
        <v>0</v>
      </c>
      <c r="AG72" s="524">
        <v>0</v>
      </c>
      <c r="AH72" s="524">
        <v>0</v>
      </c>
      <c r="AI72" s="524">
        <v>0</v>
      </c>
      <c r="AJ72" s="524">
        <v>0</v>
      </c>
      <c r="AK72" s="524">
        <v>0</v>
      </c>
      <c r="AL72" s="524"/>
      <c r="AM72" s="524"/>
      <c r="AN72" s="551"/>
      <c r="AO72" s="477"/>
      <c r="AP72" s="477"/>
      <c r="AQ72" s="524"/>
      <c r="AR72" s="524"/>
      <c r="AS72" s="524"/>
      <c r="AT7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72" s="483">
        <f>WWWW[[#This Row],[%Equitable and continuous access to sufficient quantity of safe drinking water]]*WWWW[[#This Row],[Total PoP ]]</f>
        <v>0</v>
      </c>
      <c r="AV7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72" s="483">
        <f>WWWW[[#This Row],[% Access to unimproved water points]]*WWWW[[#This Row],[Total PoP ]]</f>
        <v>0</v>
      </c>
      <c r="AX7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7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72" s="483">
        <f>WWWW[[#This Row],[HRP1]]/250</f>
        <v>0</v>
      </c>
      <c r="BA72" s="476">
        <f>1-WWWW[[#This Row],[% Equitable and continuous access to sufficient quantity of domestic water]]</f>
        <v>1</v>
      </c>
      <c r="BB72" s="483">
        <f>WWWW[[#This Row],[%equitable and continuous access to sufficient quantity of safe drinking and domestic water''s GAP]]*WWWW[[#This Row],[Total PoP ]]</f>
        <v>970</v>
      </c>
      <c r="BC72" s="478">
        <f>IF(WWWW[[#This Row],[Total required water points]]-WWWW[[#This Row],['#Water points coverage]]&lt;0,0,WWWW[[#This Row],[Total required water points]]-WWWW[[#This Row],['#Water points coverage]])</f>
        <v>4</v>
      </c>
      <c r="BD72" s="478">
        <f>ROUND(IF(WWWW[[#This Row],[Total PoP ]]&lt;250,1,WWWW[[#This Row],[Total PoP ]]/250),0)</f>
        <v>4</v>
      </c>
      <c r="BE7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72" s="483">
        <f>WWWW[[#This Row],[% people access to functioning Latrine]]*WWWW[[#This Row],[Total PoP ]]</f>
        <v>0</v>
      </c>
      <c r="BG72" s="478">
        <f>WWWW[[#This Row],['#_of_Functioning_latrines_in_school]]*50</f>
        <v>200</v>
      </c>
      <c r="BH72" s="478">
        <f>ROUND((WWWW[[#This Row],[Total PoP ]]/6),0)</f>
        <v>162</v>
      </c>
      <c r="BI72" s="478">
        <f>IF(WWWW[[#This Row],[Total required Latrines]]-(WWWW[[#This Row],['#_of_sanitary_fly-proof_HH_latrines]])&lt;0,0,WWWW[[#This Row],[Total required Latrines]]-(WWWW[[#This Row],['#_of_sanitary_fly-proof_HH_latrines]]))</f>
        <v>162</v>
      </c>
      <c r="BJ72" s="479">
        <f>1-WWWW[[#This Row],[% people access to functioning Latrine]]</f>
        <v>1</v>
      </c>
      <c r="BK7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72" s="483">
        <f>IF(WWWW[[#This Row],['#_of_functional_handwashing_facilities_at_HH_level]]*6&gt;WWWW[[#This Row],[Total PoP ]],WWWW[[#This Row],[Total PoP ]],WWWW[[#This Row],['#_of_functional_handwashing_facilities_at_HH_level]]*6)</f>
        <v>0</v>
      </c>
      <c r="BM72" s="478">
        <f>IF(WWWW[[#This Row],['# people reached by regular dedicated hygiene promotion]]&gt;WWWW[[#This Row],['# People received regular supply of hygiene items]],WWWW[[#This Row],['# people reached by regular dedicated hygiene promotion]],WWWW[[#This Row],['# People received regular supply of hygiene items]])</f>
        <v>0</v>
      </c>
      <c r="BN72" s="476">
        <f>IF(WWWW[[#This Row],[HRP3]]/WWWW[[#This Row],[Total PoP ]]&gt;100%,100%,WWWW[[#This Row],[HRP3]]/WWWW[[#This Row],[Total PoP ]])</f>
        <v>0</v>
      </c>
      <c r="BO72" s="479">
        <f>1-WWWW[[#This Row],[Hygiene Coverage%]]</f>
        <v>1</v>
      </c>
      <c r="BP72" s="477">
        <f>WWWW[[#This Row],['# people reached by regular dedicated hygiene promotion]]/WWWW[[#This Row],[Total PoP ]]</f>
        <v>0</v>
      </c>
      <c r="BQ7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2" s="478">
        <f>WWWW[[#This Row],['#_of_affected_women_and_girls_receiving_a_sufficient_quantity_of_sanitary_pads]]</f>
        <v>0</v>
      </c>
      <c r="BS72" s="524">
        <f>IF(WWWW[[#This Row],['# People with access to soap]]&gt;WWWW[[#This Row],['# People with access to Sanity Pads]],WWWW[[#This Row],['# People with access to soap]],WWWW[[#This Row],['# People with access to Sanity Pads]])</f>
        <v>0</v>
      </c>
      <c r="BT72" s="483" t="str">
        <f>IF(OR(WWWW[[#This Row],['#of students in school]]="",WWWW[[#This Row],['#of students in school]]=0),"No","Yes")</f>
        <v>Yes</v>
      </c>
      <c r="BU72" s="480" t="str">
        <f>VLOOKUP(WWWW[[#This Row],[Village  Name]],SiteDB6[[Site Name]:[Location Type 1]],9,FALSE)</f>
        <v>Village</v>
      </c>
      <c r="BV72" s="480" t="str">
        <f>VLOOKUP(WWWW[[#This Row],[Village  Name]],SiteDB6[[Site Name]:[Type of Accommodation]],10,FALSE)</f>
        <v>Village</v>
      </c>
      <c r="BW72" s="480" t="str">
        <f>VLOOKUP(WWWW[[#This Row],[Village  Name]],SiteDB6[[Site Name]:[Ethnic or GCA/NGCA]],11,FALSE)</f>
        <v>Rakhine</v>
      </c>
      <c r="BX72" s="480">
        <f>VLOOKUP(WWWW[[#This Row],[Village  Name]],SiteDB6[[Site Name]:[Lat]],12,FALSE)</f>
        <v>19.378620147705099</v>
      </c>
      <c r="BY72" s="480">
        <f>VLOOKUP(WWWW[[#This Row],[Village  Name]],SiteDB6[[Site Name]:[Long]],13,FALSE)</f>
        <v>93.483879089355497</v>
      </c>
      <c r="BZ72" s="480">
        <f>VLOOKUP(WWWW[[#This Row],[Village  Name]],SiteDB6[[Site Name]:[Pcode]],3,FALSE)</f>
        <v>198508</v>
      </c>
      <c r="CA72" s="480" t="str">
        <f t="shared" si="3"/>
        <v>Covered</v>
      </c>
      <c r="CB72" s="505"/>
    </row>
    <row r="73" spans="1:80">
      <c r="A73" s="774" t="s">
        <v>3150</v>
      </c>
      <c r="B73" s="774" t="s">
        <v>2269</v>
      </c>
      <c r="C73" s="415" t="s">
        <v>2269</v>
      </c>
      <c r="D73" s="415" t="s">
        <v>231</v>
      </c>
      <c r="E73" s="415" t="s">
        <v>2648</v>
      </c>
      <c r="F73" s="415" t="s">
        <v>357</v>
      </c>
      <c r="G73" s="644" t="str">
        <f>VLOOKUP(WWWW[[#This Row],[Village  Name]],SiteDB6[[Site Name]:[Location Type]],8,FALSE)</f>
        <v>Village</v>
      </c>
      <c r="H73" s="415" t="s">
        <v>2548</v>
      </c>
      <c r="I73" s="524">
        <v>152</v>
      </c>
      <c r="J73" s="524">
        <v>864</v>
      </c>
      <c r="K73" s="418">
        <v>43540</v>
      </c>
      <c r="L73" s="55">
        <v>43906</v>
      </c>
      <c r="M73" s="524">
        <v>188</v>
      </c>
      <c r="N73" s="524"/>
      <c r="O73" s="524"/>
      <c r="P73" s="524"/>
      <c r="Q73" s="524"/>
      <c r="R73" s="524"/>
      <c r="S73" s="524"/>
      <c r="T73" s="524"/>
      <c r="U73" s="551"/>
      <c r="V73" s="524"/>
      <c r="W73" s="524" t="s">
        <v>40</v>
      </c>
      <c r="X73" s="524">
        <v>3</v>
      </c>
      <c r="Y73" s="524"/>
      <c r="Z73" s="524"/>
      <c r="AA73" s="524"/>
      <c r="AB73" s="524"/>
      <c r="AC73" s="551"/>
      <c r="AD73" s="524">
        <v>0</v>
      </c>
      <c r="AE73" s="524">
        <v>0</v>
      </c>
      <c r="AF73" s="524">
        <v>0</v>
      </c>
      <c r="AG73" s="524">
        <v>0</v>
      </c>
      <c r="AH73" s="524">
        <v>0</v>
      </c>
      <c r="AI73" s="524">
        <v>0</v>
      </c>
      <c r="AJ73" s="524">
        <v>0</v>
      </c>
      <c r="AK73" s="524">
        <v>0</v>
      </c>
      <c r="AL73" s="524"/>
      <c r="AM73" s="524"/>
      <c r="AN73" s="551"/>
      <c r="AO73" s="477"/>
      <c r="AP73" s="477"/>
      <c r="AQ73" s="524"/>
      <c r="AR73" s="524"/>
      <c r="AS73" s="524"/>
      <c r="AT7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73" s="483">
        <f>WWWW[[#This Row],[%Equitable and continuous access to sufficient quantity of safe drinking water]]*WWWW[[#This Row],[Total PoP ]]</f>
        <v>0</v>
      </c>
      <c r="AV7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73" s="483">
        <f>WWWW[[#This Row],[% Access to unimproved water points]]*WWWW[[#This Row],[Total PoP ]]</f>
        <v>0</v>
      </c>
      <c r="AX7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7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73" s="483">
        <f>WWWW[[#This Row],[HRP1]]/250</f>
        <v>0</v>
      </c>
      <c r="BA73" s="476">
        <f>1-WWWW[[#This Row],[% Equitable and continuous access to sufficient quantity of domestic water]]</f>
        <v>1</v>
      </c>
      <c r="BB73" s="483">
        <f>WWWW[[#This Row],[%equitable and continuous access to sufficient quantity of safe drinking and domestic water''s GAP]]*WWWW[[#This Row],[Total PoP ]]</f>
        <v>864</v>
      </c>
      <c r="BC73" s="478">
        <f>IF(WWWW[[#This Row],[Total required water points]]-WWWW[[#This Row],['#Water points coverage]]&lt;0,0,WWWW[[#This Row],[Total required water points]]-WWWW[[#This Row],['#Water points coverage]])</f>
        <v>3</v>
      </c>
      <c r="BD73" s="478">
        <f>ROUND(IF(WWWW[[#This Row],[Total PoP ]]&lt;250,1,WWWW[[#This Row],[Total PoP ]]/250),0)</f>
        <v>3</v>
      </c>
      <c r="BE7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73" s="483">
        <f>WWWW[[#This Row],[% people access to functioning Latrine]]*WWWW[[#This Row],[Total PoP ]]</f>
        <v>0</v>
      </c>
      <c r="BG73" s="478">
        <f>WWWW[[#This Row],['#_of_Functioning_latrines_in_school]]*50</f>
        <v>150</v>
      </c>
      <c r="BH73" s="478">
        <f>ROUND((WWWW[[#This Row],[Total PoP ]]/6),0)</f>
        <v>144</v>
      </c>
      <c r="BI73" s="478">
        <f>IF(WWWW[[#This Row],[Total required Latrines]]-(WWWW[[#This Row],['#_of_sanitary_fly-proof_HH_latrines]])&lt;0,0,WWWW[[#This Row],[Total required Latrines]]-(WWWW[[#This Row],['#_of_sanitary_fly-proof_HH_latrines]]))</f>
        <v>144</v>
      </c>
      <c r="BJ73" s="479">
        <f>1-WWWW[[#This Row],[% people access to functioning Latrine]]</f>
        <v>1</v>
      </c>
      <c r="BK7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73" s="483">
        <f>IF(WWWW[[#This Row],['#_of_functional_handwashing_facilities_at_HH_level]]*6&gt;WWWW[[#This Row],[Total PoP ]],WWWW[[#This Row],[Total PoP ]],WWWW[[#This Row],['#_of_functional_handwashing_facilities_at_HH_level]]*6)</f>
        <v>0</v>
      </c>
      <c r="BM73" s="478">
        <f>IF(WWWW[[#This Row],['# people reached by regular dedicated hygiene promotion]]&gt;WWWW[[#This Row],['# People received regular supply of hygiene items]],WWWW[[#This Row],['# people reached by regular dedicated hygiene promotion]],WWWW[[#This Row],['# People received regular supply of hygiene items]])</f>
        <v>0</v>
      </c>
      <c r="BN73" s="476">
        <f>IF(WWWW[[#This Row],[HRP3]]/WWWW[[#This Row],[Total PoP ]]&gt;100%,100%,WWWW[[#This Row],[HRP3]]/WWWW[[#This Row],[Total PoP ]])</f>
        <v>0</v>
      </c>
      <c r="BO73" s="479">
        <f>1-WWWW[[#This Row],[Hygiene Coverage%]]</f>
        <v>1</v>
      </c>
      <c r="BP73" s="477">
        <f>WWWW[[#This Row],['# people reached by regular dedicated hygiene promotion]]/WWWW[[#This Row],[Total PoP ]]</f>
        <v>0</v>
      </c>
      <c r="BQ7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3" s="478">
        <f>WWWW[[#This Row],['#_of_affected_women_and_girls_receiving_a_sufficient_quantity_of_sanitary_pads]]</f>
        <v>0</v>
      </c>
      <c r="BS73" s="524">
        <f>IF(WWWW[[#This Row],['# People with access to soap]]&gt;WWWW[[#This Row],['# People with access to Sanity Pads]],WWWW[[#This Row],['# People with access to soap]],WWWW[[#This Row],['# People with access to Sanity Pads]])</f>
        <v>0</v>
      </c>
      <c r="BT73" s="483" t="str">
        <f>IF(OR(WWWW[[#This Row],['#of students in school]]="",WWWW[[#This Row],['#of students in school]]=0),"No","Yes")</f>
        <v>Yes</v>
      </c>
      <c r="BU73" s="480" t="str">
        <f>VLOOKUP(WWWW[[#This Row],[Village  Name]],SiteDB6[[Site Name]:[Location Type 1]],9,FALSE)</f>
        <v>Village</v>
      </c>
      <c r="BV73" s="480" t="str">
        <f>VLOOKUP(WWWW[[#This Row],[Village  Name]],SiteDB6[[Site Name]:[Type of Accommodation]],10,FALSE)</f>
        <v>Village</v>
      </c>
      <c r="BW73" s="480" t="str">
        <f>VLOOKUP(WWWW[[#This Row],[Village  Name]],SiteDB6[[Site Name]:[Ethnic or GCA/NGCA]],11,FALSE)</f>
        <v>Rakhine</v>
      </c>
      <c r="BX73" s="480">
        <f>VLOOKUP(WWWW[[#This Row],[Village  Name]],SiteDB6[[Site Name]:[Lat]],12,FALSE)</f>
        <v>19.243989944458001</v>
      </c>
      <c r="BY73" s="480">
        <f>VLOOKUP(WWWW[[#This Row],[Village  Name]],SiteDB6[[Site Name]:[Long]],13,FALSE)</f>
        <v>93.714859008789105</v>
      </c>
      <c r="BZ73" s="480">
        <f>VLOOKUP(WWWW[[#This Row],[Village  Name]],SiteDB6[[Site Name]:[Pcode]],3,FALSE)</f>
        <v>198667</v>
      </c>
      <c r="CA73" s="480" t="str">
        <f t="shared" si="3"/>
        <v>Covered</v>
      </c>
      <c r="CB73" s="505"/>
    </row>
    <row r="74" spans="1:80">
      <c r="A74" s="774" t="s">
        <v>3150</v>
      </c>
      <c r="B74" s="774" t="s">
        <v>314</v>
      </c>
      <c r="C74" s="415" t="s">
        <v>314</v>
      </c>
      <c r="D74" s="415" t="s">
        <v>327</v>
      </c>
      <c r="E74" s="415" t="s">
        <v>2648</v>
      </c>
      <c r="F74" s="415" t="s">
        <v>295</v>
      </c>
      <c r="G74" s="644" t="str">
        <f>VLOOKUP(WWWW[[#This Row],[Village  Name]],SiteDB6[[Site Name]:[Location Type]],8,FALSE)</f>
        <v>Village</v>
      </c>
      <c r="H74" s="415" t="s">
        <v>2577</v>
      </c>
      <c r="I74" s="524">
        <v>192</v>
      </c>
      <c r="J74" s="524">
        <v>1083</v>
      </c>
      <c r="K74" s="418">
        <v>42736</v>
      </c>
      <c r="L74" s="55">
        <v>44551</v>
      </c>
      <c r="M74" s="524"/>
      <c r="N74" s="524"/>
      <c r="O74" s="524">
        <v>2</v>
      </c>
      <c r="P74" s="524">
        <v>52</v>
      </c>
      <c r="Q74" s="524">
        <v>3</v>
      </c>
      <c r="R74" s="524">
        <v>53</v>
      </c>
      <c r="S74" s="524"/>
      <c r="T74" s="524"/>
      <c r="U74" s="551"/>
      <c r="V74" s="524">
        <v>112</v>
      </c>
      <c r="W74" s="524" t="s">
        <v>130</v>
      </c>
      <c r="X74" s="524"/>
      <c r="Y74" s="524"/>
      <c r="Z74" s="524"/>
      <c r="AA74" s="524"/>
      <c r="AB74" s="524"/>
      <c r="AC74" s="551"/>
      <c r="AD74" s="524">
        <v>90</v>
      </c>
      <c r="AE74" s="524">
        <v>671</v>
      </c>
      <c r="AF74" s="524">
        <v>43</v>
      </c>
      <c r="AG74" s="524">
        <v>76</v>
      </c>
      <c r="AH74" s="524"/>
      <c r="AI74" s="524"/>
      <c r="AJ74" s="524"/>
      <c r="AK74" s="524"/>
      <c r="AL74" s="524"/>
      <c r="AM74" s="524"/>
      <c r="AN74" s="551"/>
      <c r="AO74" s="477"/>
      <c r="AP74" s="477"/>
      <c r="AQ74" s="524"/>
      <c r="AR74" s="524"/>
      <c r="AS74" s="524"/>
      <c r="AT7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74" s="483">
        <f>WWWW[[#This Row],[%Equitable and continuous access to sufficient quantity of safe drinking water]]*WWWW[[#This Row],[Total PoP ]]</f>
        <v>1083</v>
      </c>
      <c r="AV7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74" s="483">
        <f>WWWW[[#This Row],[% Access to unimproved water points]]*WWWW[[#This Row],[Total PoP ]]</f>
        <v>1083</v>
      </c>
      <c r="AX7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7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1083</v>
      </c>
      <c r="AZ74" s="483">
        <f>WWWW[[#This Row],[HRP1]]/250</f>
        <v>4.3319999999999999</v>
      </c>
      <c r="BA74" s="476">
        <f>1-WWWW[[#This Row],[% Equitable and continuous access to sufficient quantity of domestic water]]</f>
        <v>0</v>
      </c>
      <c r="BB74" s="483">
        <f>WWWW[[#This Row],[%equitable and continuous access to sufficient quantity of safe drinking and domestic water''s GAP]]*WWWW[[#This Row],[Total PoP ]]</f>
        <v>0</v>
      </c>
      <c r="BC74" s="478">
        <f>IF(WWWW[[#This Row],[Total required water points]]-WWWW[[#This Row],['#Water points coverage]]&lt;0,0,WWWW[[#This Row],[Total required water points]]-WWWW[[#This Row],['#Water points coverage]])</f>
        <v>0</v>
      </c>
      <c r="BD74" s="478">
        <f>ROUND(IF(WWWW[[#This Row],[Total PoP ]]&lt;250,1,WWWW[[#This Row],[Total PoP ]]/250),0)</f>
        <v>4</v>
      </c>
      <c r="BE7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0.62049861495844871</v>
      </c>
      <c r="BF74" s="483">
        <f>WWWW[[#This Row],[% people access to functioning Latrine]]*WWWW[[#This Row],[Total PoP ]]</f>
        <v>672</v>
      </c>
      <c r="BG74" s="478">
        <f>WWWW[[#This Row],['#_of_Functioning_latrines_in_school]]*50</f>
        <v>0</v>
      </c>
      <c r="BH74" s="478">
        <f>ROUND((WWWW[[#This Row],[Total PoP ]]/6),0)</f>
        <v>181</v>
      </c>
      <c r="BI74" s="478">
        <f>IF(WWWW[[#This Row],[Total required Latrines]]-(WWWW[[#This Row],['#_of_sanitary_fly-proof_HH_latrines]])&lt;0,0,WWWW[[#This Row],[Total required Latrines]]-(WWWW[[#This Row],['#_of_sanitary_fly-proof_HH_latrines]]))</f>
        <v>69</v>
      </c>
      <c r="BJ74" s="479">
        <f>1-WWWW[[#This Row],[% people access to functioning Latrine]]</f>
        <v>0.37950138504155129</v>
      </c>
      <c r="BK7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880</v>
      </c>
      <c r="BL74" s="483">
        <f>IF(WWWW[[#This Row],['#_of_functional_handwashing_facilities_at_HH_level]]*6&gt;WWWW[[#This Row],[Total PoP ]],WWWW[[#This Row],[Total PoP ]],WWWW[[#This Row],['#_of_functional_handwashing_facilities_at_HH_level]]*6)</f>
        <v>0</v>
      </c>
      <c r="BM74" s="478">
        <f>IF(WWWW[[#This Row],['# people reached by regular dedicated hygiene promotion]]&gt;WWWW[[#This Row],['# People received regular supply of hygiene items]],WWWW[[#This Row],['# people reached by regular dedicated hygiene promotion]],WWWW[[#This Row],['# People received regular supply of hygiene items]])</f>
        <v>880</v>
      </c>
      <c r="BN74" s="476">
        <f>IF(WWWW[[#This Row],[HRP3]]/WWWW[[#This Row],[Total PoP ]]&gt;100%,100%,WWWW[[#This Row],[HRP3]]/WWWW[[#This Row],[Total PoP ]])</f>
        <v>0.81255771006463529</v>
      </c>
      <c r="BO74" s="479">
        <f>1-WWWW[[#This Row],[Hygiene Coverage%]]</f>
        <v>0.18744228993536471</v>
      </c>
      <c r="BP74" s="477">
        <f>WWWW[[#This Row],['# people reached by regular dedicated hygiene promotion]]/WWWW[[#This Row],[Total PoP ]]</f>
        <v>0.81255771006463529</v>
      </c>
      <c r="BQ7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4" s="478">
        <f>WWWW[[#This Row],['#_of_affected_women_and_girls_receiving_a_sufficient_quantity_of_sanitary_pads]]</f>
        <v>0</v>
      </c>
      <c r="BS74" s="524">
        <f>IF(WWWW[[#This Row],['# People with access to soap]]&gt;WWWW[[#This Row],['# People with access to Sanity Pads]],WWWW[[#This Row],['# People with access to soap]],WWWW[[#This Row],['# People with access to Sanity Pads]])</f>
        <v>0</v>
      </c>
      <c r="BT74" s="483" t="str">
        <f>IF(OR(WWWW[[#This Row],['#of students in school]]="",WWWW[[#This Row],['#of students in school]]=0),"No","Yes")</f>
        <v>No</v>
      </c>
      <c r="BU74" s="480" t="str">
        <f>VLOOKUP(WWWW[[#This Row],[Village  Name]],SiteDB6[[Site Name]:[Location Type 1]],9,FALSE)</f>
        <v>Village</v>
      </c>
      <c r="BV74" s="480" t="str">
        <f>VLOOKUP(WWWW[[#This Row],[Village  Name]],SiteDB6[[Site Name]:[Type of Accommodation]],10,FALSE)</f>
        <v>Village</v>
      </c>
      <c r="BW74" s="480">
        <f>VLOOKUP(WWWW[[#This Row],[Village  Name]],SiteDB6[[Site Name]:[Ethnic or GCA/NGCA]],11,FALSE)</f>
        <v>0</v>
      </c>
      <c r="BX74" s="480">
        <f>VLOOKUP(WWWW[[#This Row],[Village  Name]],SiteDB6[[Site Name]:[Lat]],12,FALSE)</f>
        <v>20.2034397125244</v>
      </c>
      <c r="BY74" s="480">
        <f>VLOOKUP(WWWW[[#This Row],[Village  Name]],SiteDB6[[Site Name]:[Long]],13,FALSE)</f>
        <v>92.909606933593807</v>
      </c>
      <c r="BZ74" s="480">
        <f>VLOOKUP(WWWW[[#This Row],[Village  Name]],SiteDB6[[Site Name]:[Pcode]],3,FALSE)</f>
        <v>196132</v>
      </c>
      <c r="CA74" s="480" t="str">
        <f t="shared" ref="CA74:CA105" si="4">IF(C74="none","Notcovered","Covered")</f>
        <v>Covered</v>
      </c>
      <c r="CB74" s="505"/>
    </row>
    <row r="75" spans="1:80">
      <c r="A75" s="774" t="s">
        <v>3150</v>
      </c>
      <c r="B75" s="774" t="s">
        <v>314</v>
      </c>
      <c r="C75" s="415" t="s">
        <v>314</v>
      </c>
      <c r="D75" s="415" t="s">
        <v>327</v>
      </c>
      <c r="E75" s="415" t="s">
        <v>2648</v>
      </c>
      <c r="F75" s="415" t="s">
        <v>295</v>
      </c>
      <c r="G75" s="644" t="str">
        <f>VLOOKUP(WWWW[[#This Row],[Village  Name]],SiteDB6[[Site Name]:[Location Type]],8,FALSE)</f>
        <v>Village</v>
      </c>
      <c r="H75" s="415" t="s">
        <v>2578</v>
      </c>
      <c r="I75" s="524">
        <v>65</v>
      </c>
      <c r="J75" s="524">
        <v>373</v>
      </c>
      <c r="K75" s="418">
        <v>42736</v>
      </c>
      <c r="L75" s="55">
        <v>44551</v>
      </c>
      <c r="M75" s="524"/>
      <c r="N75" s="524"/>
      <c r="O75" s="524">
        <v>4</v>
      </c>
      <c r="P75" s="524">
        <v>31</v>
      </c>
      <c r="Q75" s="524">
        <v>1</v>
      </c>
      <c r="R75" s="524"/>
      <c r="S75" s="524"/>
      <c r="T75" s="524"/>
      <c r="U75" s="551"/>
      <c r="V75" s="524">
        <v>44</v>
      </c>
      <c r="W75" s="524" t="s">
        <v>130</v>
      </c>
      <c r="X75" s="524"/>
      <c r="Y75" s="524"/>
      <c r="Z75" s="524"/>
      <c r="AA75" s="524"/>
      <c r="AB75" s="524"/>
      <c r="AC75" s="551"/>
      <c r="AD75" s="524">
        <v>72</v>
      </c>
      <c r="AE75" s="524">
        <v>194</v>
      </c>
      <c r="AF75" s="524">
        <v>19</v>
      </c>
      <c r="AG75" s="524">
        <v>26</v>
      </c>
      <c r="AH75" s="524"/>
      <c r="AI75" s="524"/>
      <c r="AJ75" s="524"/>
      <c r="AK75" s="524"/>
      <c r="AL75" s="524"/>
      <c r="AM75" s="524"/>
      <c r="AN75" s="551"/>
      <c r="AO75" s="477"/>
      <c r="AP75" s="477"/>
      <c r="AQ75" s="524"/>
      <c r="AR75" s="524"/>
      <c r="AS75" s="524"/>
      <c r="AT7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75" s="483">
        <f>WWWW[[#This Row],[%Equitable and continuous access to sufficient quantity of safe drinking water]]*WWWW[[#This Row],[Total PoP ]]</f>
        <v>373</v>
      </c>
      <c r="AV7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75" s="483">
        <f>WWWW[[#This Row],[% Access to unimproved water points]]*WWWW[[#This Row],[Total PoP ]]</f>
        <v>373</v>
      </c>
      <c r="AX7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7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373</v>
      </c>
      <c r="AZ75" s="483">
        <f>WWWW[[#This Row],[HRP1]]/250</f>
        <v>1.492</v>
      </c>
      <c r="BA75" s="476">
        <f>1-WWWW[[#This Row],[% Equitable and continuous access to sufficient quantity of domestic water]]</f>
        <v>0</v>
      </c>
      <c r="BB75" s="483">
        <f>WWWW[[#This Row],[%equitable and continuous access to sufficient quantity of safe drinking and domestic water''s GAP]]*WWWW[[#This Row],[Total PoP ]]</f>
        <v>0</v>
      </c>
      <c r="BC75" s="478">
        <f>IF(WWWW[[#This Row],[Total required water points]]-WWWW[[#This Row],['#Water points coverage]]&lt;0,0,WWWW[[#This Row],[Total required water points]]-WWWW[[#This Row],['#Water points coverage]])</f>
        <v>0</v>
      </c>
      <c r="BD75" s="478">
        <f>ROUND(IF(WWWW[[#This Row],[Total PoP ]]&lt;250,1,WWWW[[#This Row],[Total PoP ]]/250),0)</f>
        <v>1</v>
      </c>
      <c r="BE7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0.70777479892761397</v>
      </c>
      <c r="BF75" s="483">
        <f>WWWW[[#This Row],[% people access to functioning Latrine]]*WWWW[[#This Row],[Total PoP ]]</f>
        <v>264</v>
      </c>
      <c r="BG75" s="478">
        <f>WWWW[[#This Row],['#_of_Functioning_latrines_in_school]]*50</f>
        <v>0</v>
      </c>
      <c r="BH75" s="478">
        <f>ROUND((WWWW[[#This Row],[Total PoP ]]/6),0)</f>
        <v>62</v>
      </c>
      <c r="BI75" s="478">
        <f>IF(WWWW[[#This Row],[Total required Latrines]]-(WWWW[[#This Row],['#_of_sanitary_fly-proof_HH_latrines]])&lt;0,0,WWWW[[#This Row],[Total required Latrines]]-(WWWW[[#This Row],['#_of_sanitary_fly-proof_HH_latrines]]))</f>
        <v>18</v>
      </c>
      <c r="BJ75" s="479">
        <f>1-WWWW[[#This Row],[% people access to functioning Latrine]]</f>
        <v>0.29222520107238603</v>
      </c>
      <c r="BK7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311</v>
      </c>
      <c r="BL75" s="483">
        <f>IF(WWWW[[#This Row],['#_of_functional_handwashing_facilities_at_HH_level]]*6&gt;WWWW[[#This Row],[Total PoP ]],WWWW[[#This Row],[Total PoP ]],WWWW[[#This Row],['#_of_functional_handwashing_facilities_at_HH_level]]*6)</f>
        <v>0</v>
      </c>
      <c r="BM75" s="478">
        <f>IF(WWWW[[#This Row],['# people reached by regular dedicated hygiene promotion]]&gt;WWWW[[#This Row],['# People received regular supply of hygiene items]],WWWW[[#This Row],['# people reached by regular dedicated hygiene promotion]],WWWW[[#This Row],['# People received regular supply of hygiene items]])</f>
        <v>311</v>
      </c>
      <c r="BN75" s="476">
        <f>IF(WWWW[[#This Row],[HRP3]]/WWWW[[#This Row],[Total PoP ]]&gt;100%,100%,WWWW[[#This Row],[HRP3]]/WWWW[[#This Row],[Total PoP ]])</f>
        <v>0.83378016085790885</v>
      </c>
      <c r="BO75" s="479">
        <f>1-WWWW[[#This Row],[Hygiene Coverage%]]</f>
        <v>0.16621983914209115</v>
      </c>
      <c r="BP75" s="477">
        <f>WWWW[[#This Row],['# people reached by regular dedicated hygiene promotion]]/WWWW[[#This Row],[Total PoP ]]</f>
        <v>0.83378016085790885</v>
      </c>
      <c r="BQ7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5" s="478">
        <f>WWWW[[#This Row],['#_of_affected_women_and_girls_receiving_a_sufficient_quantity_of_sanitary_pads]]</f>
        <v>0</v>
      </c>
      <c r="BS75" s="524">
        <f>IF(WWWW[[#This Row],['# People with access to soap]]&gt;WWWW[[#This Row],['# People with access to Sanity Pads]],WWWW[[#This Row],['# People with access to soap]],WWWW[[#This Row],['# People with access to Sanity Pads]])</f>
        <v>0</v>
      </c>
      <c r="BT75" s="483" t="str">
        <f>IF(OR(WWWW[[#This Row],['#of students in school]]="",WWWW[[#This Row],['#of students in school]]=0),"No","Yes")</f>
        <v>No</v>
      </c>
      <c r="BU75" s="480" t="str">
        <f>VLOOKUP(WWWW[[#This Row],[Village  Name]],SiteDB6[[Site Name]:[Location Type 1]],9,FALSE)</f>
        <v>Village</v>
      </c>
      <c r="BV75" s="480" t="str">
        <f>VLOOKUP(WWWW[[#This Row],[Village  Name]],SiteDB6[[Site Name]:[Type of Accommodation]],10,FALSE)</f>
        <v>Village</v>
      </c>
      <c r="BW75" s="480">
        <f>VLOOKUP(WWWW[[#This Row],[Village  Name]],SiteDB6[[Site Name]:[Ethnic or GCA/NGCA]],11,FALSE)</f>
        <v>0</v>
      </c>
      <c r="BX75" s="480">
        <f>VLOOKUP(WWWW[[#This Row],[Village  Name]],SiteDB6[[Site Name]:[Lat]],12,FALSE)</f>
        <v>20.191799163818398</v>
      </c>
      <c r="BY75" s="480">
        <f>VLOOKUP(WWWW[[#This Row],[Village  Name]],SiteDB6[[Site Name]:[Long]],13,FALSE)</f>
        <v>92.9066162109375</v>
      </c>
      <c r="BZ75" s="480">
        <f>VLOOKUP(WWWW[[#This Row],[Village  Name]],SiteDB6[[Site Name]:[Pcode]],3,FALSE)</f>
        <v>196135</v>
      </c>
      <c r="CA75" s="480" t="str">
        <f t="shared" si="4"/>
        <v>Covered</v>
      </c>
      <c r="CB75" s="505"/>
    </row>
    <row r="76" spans="1:80">
      <c r="A76" s="774" t="s">
        <v>3150</v>
      </c>
      <c r="B76" s="774" t="s">
        <v>314</v>
      </c>
      <c r="C76" s="415" t="s">
        <v>314</v>
      </c>
      <c r="D76" s="415" t="s">
        <v>327</v>
      </c>
      <c r="E76" s="415" t="s">
        <v>2648</v>
      </c>
      <c r="F76" s="415" t="s">
        <v>295</v>
      </c>
      <c r="G76" s="644" t="str">
        <f>VLOOKUP(WWWW[[#This Row],[Village  Name]],SiteDB6[[Site Name]:[Location Type]],8,FALSE)</f>
        <v>Village</v>
      </c>
      <c r="H76" s="415" t="s">
        <v>2579</v>
      </c>
      <c r="I76" s="524">
        <v>86</v>
      </c>
      <c r="J76" s="524">
        <v>481</v>
      </c>
      <c r="K76" s="418">
        <v>42736</v>
      </c>
      <c r="L76" s="55">
        <v>44551</v>
      </c>
      <c r="M76" s="524"/>
      <c r="N76" s="524"/>
      <c r="O76" s="524">
        <v>8</v>
      </c>
      <c r="P76" s="524">
        <v>34</v>
      </c>
      <c r="Q76" s="524">
        <v>2</v>
      </c>
      <c r="R76" s="524"/>
      <c r="S76" s="524"/>
      <c r="T76" s="524"/>
      <c r="U76" s="551"/>
      <c r="V76" s="524">
        <v>67</v>
      </c>
      <c r="W76" s="524" t="s">
        <v>130</v>
      </c>
      <c r="X76" s="524"/>
      <c r="Y76" s="524"/>
      <c r="Z76" s="524"/>
      <c r="AA76" s="524"/>
      <c r="AB76" s="524"/>
      <c r="AC76" s="551"/>
      <c r="AD76" s="524">
        <v>96</v>
      </c>
      <c r="AE76" s="524">
        <v>192</v>
      </c>
      <c r="AF76" s="524">
        <v>29</v>
      </c>
      <c r="AG76" s="524">
        <v>34</v>
      </c>
      <c r="AH76" s="524"/>
      <c r="AI76" s="524"/>
      <c r="AJ76" s="524"/>
      <c r="AK76" s="524"/>
      <c r="AL76" s="524"/>
      <c r="AM76" s="524"/>
      <c r="AN76" s="551"/>
      <c r="AO76" s="477"/>
      <c r="AP76" s="477"/>
      <c r="AQ76" s="524"/>
      <c r="AR76" s="524"/>
      <c r="AS76" s="524"/>
      <c r="AT7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76" s="483">
        <f>WWWW[[#This Row],[%Equitable and continuous access to sufficient quantity of safe drinking water]]*WWWW[[#This Row],[Total PoP ]]</f>
        <v>481</v>
      </c>
      <c r="AV7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76" s="483">
        <f>WWWW[[#This Row],[% Access to unimproved water points]]*WWWW[[#This Row],[Total PoP ]]</f>
        <v>481</v>
      </c>
      <c r="AX7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7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481</v>
      </c>
      <c r="AZ76" s="483">
        <f>WWWW[[#This Row],[HRP1]]/250</f>
        <v>1.9239999999999999</v>
      </c>
      <c r="BA76" s="476">
        <f>1-WWWW[[#This Row],[% Equitable and continuous access to sufficient quantity of domestic water]]</f>
        <v>0</v>
      </c>
      <c r="BB76" s="483">
        <f>WWWW[[#This Row],[%equitable and continuous access to sufficient quantity of safe drinking and domestic water''s GAP]]*WWWW[[#This Row],[Total PoP ]]</f>
        <v>0</v>
      </c>
      <c r="BC76" s="478">
        <f>IF(WWWW[[#This Row],[Total required water points]]-WWWW[[#This Row],['#Water points coverage]]&lt;0,0,WWWW[[#This Row],[Total required water points]]-WWWW[[#This Row],['#Water points coverage]])</f>
        <v>7.6000000000000068E-2</v>
      </c>
      <c r="BD76" s="478">
        <f>ROUND(IF(WWWW[[#This Row],[Total PoP ]]&lt;250,1,WWWW[[#This Row],[Total PoP ]]/250),0)</f>
        <v>2</v>
      </c>
      <c r="BE7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0.83575883575883581</v>
      </c>
      <c r="BF76" s="483">
        <f>WWWW[[#This Row],[% people access to functioning Latrine]]*WWWW[[#This Row],[Total PoP ]]</f>
        <v>402</v>
      </c>
      <c r="BG76" s="478">
        <f>WWWW[[#This Row],['#_of_Functioning_latrines_in_school]]*50</f>
        <v>0</v>
      </c>
      <c r="BH76" s="478">
        <f>ROUND((WWWW[[#This Row],[Total PoP ]]/6),0)</f>
        <v>80</v>
      </c>
      <c r="BI76" s="478">
        <f>IF(WWWW[[#This Row],[Total required Latrines]]-(WWWW[[#This Row],['#_of_sanitary_fly-proof_HH_latrines]])&lt;0,0,WWWW[[#This Row],[Total required Latrines]]-(WWWW[[#This Row],['#_of_sanitary_fly-proof_HH_latrines]]))</f>
        <v>13</v>
      </c>
      <c r="BJ76" s="479">
        <f>1-WWWW[[#This Row],[% people access to functioning Latrine]]</f>
        <v>0.16424116424116419</v>
      </c>
      <c r="BK7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351</v>
      </c>
      <c r="BL76" s="483">
        <f>IF(WWWW[[#This Row],['#_of_functional_handwashing_facilities_at_HH_level]]*6&gt;WWWW[[#This Row],[Total PoP ]],WWWW[[#This Row],[Total PoP ]],WWWW[[#This Row],['#_of_functional_handwashing_facilities_at_HH_level]]*6)</f>
        <v>0</v>
      </c>
      <c r="BM76" s="478">
        <f>IF(WWWW[[#This Row],['# people reached by regular dedicated hygiene promotion]]&gt;WWWW[[#This Row],['# People received regular supply of hygiene items]],WWWW[[#This Row],['# people reached by regular dedicated hygiene promotion]],WWWW[[#This Row],['# People received regular supply of hygiene items]])</f>
        <v>351</v>
      </c>
      <c r="BN76" s="476">
        <f>IF(WWWW[[#This Row],[HRP3]]/WWWW[[#This Row],[Total PoP ]]&gt;100%,100%,WWWW[[#This Row],[HRP3]]/WWWW[[#This Row],[Total PoP ]])</f>
        <v>0.72972972972972971</v>
      </c>
      <c r="BO76" s="479">
        <f>1-WWWW[[#This Row],[Hygiene Coverage%]]</f>
        <v>0.27027027027027029</v>
      </c>
      <c r="BP76" s="477">
        <f>WWWW[[#This Row],['# people reached by regular dedicated hygiene promotion]]/WWWW[[#This Row],[Total PoP ]]</f>
        <v>0.72972972972972971</v>
      </c>
      <c r="BQ7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6" s="478">
        <f>WWWW[[#This Row],['#_of_affected_women_and_girls_receiving_a_sufficient_quantity_of_sanitary_pads]]</f>
        <v>0</v>
      </c>
      <c r="BS76" s="524">
        <f>IF(WWWW[[#This Row],['# People with access to soap]]&gt;WWWW[[#This Row],['# People with access to Sanity Pads]],WWWW[[#This Row],['# People with access to soap]],WWWW[[#This Row],['# People with access to Sanity Pads]])</f>
        <v>0</v>
      </c>
      <c r="BT76" s="483" t="str">
        <f>IF(OR(WWWW[[#This Row],['#of students in school]]="",WWWW[[#This Row],['#of students in school]]=0),"No","Yes")</f>
        <v>No</v>
      </c>
      <c r="BU76" s="480" t="str">
        <f>VLOOKUP(WWWW[[#This Row],[Village  Name]],SiteDB6[[Site Name]:[Location Type 1]],9,FALSE)</f>
        <v>Village</v>
      </c>
      <c r="BV76" s="480" t="str">
        <f>VLOOKUP(WWWW[[#This Row],[Village  Name]],SiteDB6[[Site Name]:[Type of Accommodation]],10,FALSE)</f>
        <v>Village</v>
      </c>
      <c r="BW76" s="480">
        <f>VLOOKUP(WWWW[[#This Row],[Village  Name]],SiteDB6[[Site Name]:[Ethnic or GCA/NGCA]],11,FALSE)</f>
        <v>0</v>
      </c>
      <c r="BX76" s="480">
        <f>VLOOKUP(WWWW[[#This Row],[Village  Name]],SiteDB6[[Site Name]:[Lat]],12,FALSE)</f>
        <v>20.187860488891602</v>
      </c>
      <c r="BY76" s="480">
        <f>VLOOKUP(WWWW[[#This Row],[Village  Name]],SiteDB6[[Site Name]:[Long]],13,FALSE)</f>
        <v>92.903419494628906</v>
      </c>
      <c r="BZ76" s="480">
        <f>VLOOKUP(WWWW[[#This Row],[Village  Name]],SiteDB6[[Site Name]:[Pcode]],3,FALSE)</f>
        <v>196134</v>
      </c>
      <c r="CA76" s="480" t="str">
        <f t="shared" si="4"/>
        <v>Covered</v>
      </c>
      <c r="CB76" s="505"/>
    </row>
    <row r="77" spans="1:80">
      <c r="A77" s="774" t="s">
        <v>3150</v>
      </c>
      <c r="B77" s="774" t="s">
        <v>314</v>
      </c>
      <c r="C77" s="415" t="s">
        <v>314</v>
      </c>
      <c r="D77" s="415" t="s">
        <v>327</v>
      </c>
      <c r="E77" s="415" t="s">
        <v>2648</v>
      </c>
      <c r="F77" s="415" t="s">
        <v>295</v>
      </c>
      <c r="G77" s="644" t="str">
        <f>VLOOKUP(WWWW[[#This Row],[Village  Name]],SiteDB6[[Site Name]:[Location Type]],8,FALSE)</f>
        <v>Village</v>
      </c>
      <c r="H77" s="415" t="s">
        <v>2580</v>
      </c>
      <c r="I77" s="524">
        <v>88</v>
      </c>
      <c r="J77" s="524">
        <v>454</v>
      </c>
      <c r="K77" s="418">
        <v>42736</v>
      </c>
      <c r="L77" s="55">
        <v>44551</v>
      </c>
      <c r="M77" s="524"/>
      <c r="N77" s="524"/>
      <c r="O77" s="524">
        <v>6</v>
      </c>
      <c r="P77" s="524">
        <v>41</v>
      </c>
      <c r="Q77" s="524">
        <v>1</v>
      </c>
      <c r="R77" s="524"/>
      <c r="S77" s="524"/>
      <c r="T77" s="524"/>
      <c r="U77" s="551"/>
      <c r="V77" s="524">
        <v>76</v>
      </c>
      <c r="W77" s="524" t="s">
        <v>130</v>
      </c>
      <c r="X77" s="524"/>
      <c r="Y77" s="524"/>
      <c r="Z77" s="524"/>
      <c r="AA77" s="524"/>
      <c r="AB77" s="524"/>
      <c r="AC77" s="551"/>
      <c r="AD77" s="524">
        <v>58</v>
      </c>
      <c r="AE77" s="524">
        <v>292</v>
      </c>
      <c r="AF77" s="524">
        <v>27</v>
      </c>
      <c r="AG77" s="524">
        <v>22</v>
      </c>
      <c r="AH77" s="524"/>
      <c r="AI77" s="524"/>
      <c r="AJ77" s="524"/>
      <c r="AK77" s="524"/>
      <c r="AL77" s="524"/>
      <c r="AM77" s="524"/>
      <c r="AN77" s="551"/>
      <c r="AO77" s="477"/>
      <c r="AP77" s="477"/>
      <c r="AQ77" s="524"/>
      <c r="AR77" s="524"/>
      <c r="AS77" s="524"/>
      <c r="AT7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77" s="483">
        <f>WWWW[[#This Row],[%Equitable and continuous access to sufficient quantity of safe drinking water]]*WWWW[[#This Row],[Total PoP ]]</f>
        <v>454</v>
      </c>
      <c r="AV7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77" s="483">
        <f>WWWW[[#This Row],[% Access to unimproved water points]]*WWWW[[#This Row],[Total PoP ]]</f>
        <v>454</v>
      </c>
      <c r="AX7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7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454</v>
      </c>
      <c r="AZ77" s="483">
        <f>WWWW[[#This Row],[HRP1]]/250</f>
        <v>1.8160000000000001</v>
      </c>
      <c r="BA77" s="476">
        <f>1-WWWW[[#This Row],[% Equitable and continuous access to sufficient quantity of domestic water]]</f>
        <v>0</v>
      </c>
      <c r="BB77" s="483">
        <f>WWWW[[#This Row],[%equitable and continuous access to sufficient quantity of safe drinking and domestic water''s GAP]]*WWWW[[#This Row],[Total PoP ]]</f>
        <v>0</v>
      </c>
      <c r="BC77" s="478">
        <f>IF(WWWW[[#This Row],[Total required water points]]-WWWW[[#This Row],['#Water points coverage]]&lt;0,0,WWWW[[#This Row],[Total required water points]]-WWWW[[#This Row],['#Water points coverage]])</f>
        <v>0.18399999999999994</v>
      </c>
      <c r="BD77" s="478">
        <f>ROUND(IF(WWWW[[#This Row],[Total PoP ]]&lt;250,1,WWWW[[#This Row],[Total PoP ]]/250),0)</f>
        <v>2</v>
      </c>
      <c r="BE7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77" s="483">
        <f>WWWW[[#This Row],[% people access to functioning Latrine]]*WWWW[[#This Row],[Total PoP ]]</f>
        <v>454</v>
      </c>
      <c r="BG77" s="478">
        <f>WWWW[[#This Row],['#_of_Functioning_latrines_in_school]]*50</f>
        <v>0</v>
      </c>
      <c r="BH77" s="478">
        <f>ROUND((WWWW[[#This Row],[Total PoP ]]/6),0)</f>
        <v>76</v>
      </c>
      <c r="BI77" s="478">
        <f>IF(WWWW[[#This Row],[Total required Latrines]]-(WWWW[[#This Row],['#_of_sanitary_fly-proof_HH_latrines]])&lt;0,0,WWWW[[#This Row],[Total required Latrines]]-(WWWW[[#This Row],['#_of_sanitary_fly-proof_HH_latrines]]))</f>
        <v>0</v>
      </c>
      <c r="BJ77" s="479">
        <f>1-WWWW[[#This Row],[% people access to functioning Latrine]]</f>
        <v>0</v>
      </c>
      <c r="BK7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399</v>
      </c>
      <c r="BL77" s="483">
        <f>IF(WWWW[[#This Row],['#_of_functional_handwashing_facilities_at_HH_level]]*6&gt;WWWW[[#This Row],[Total PoP ]],WWWW[[#This Row],[Total PoP ]],WWWW[[#This Row],['#_of_functional_handwashing_facilities_at_HH_level]]*6)</f>
        <v>0</v>
      </c>
      <c r="BM77" s="478">
        <f>IF(WWWW[[#This Row],['# people reached by regular dedicated hygiene promotion]]&gt;WWWW[[#This Row],['# People received regular supply of hygiene items]],WWWW[[#This Row],['# people reached by regular dedicated hygiene promotion]],WWWW[[#This Row],['# People received regular supply of hygiene items]])</f>
        <v>399</v>
      </c>
      <c r="BN77" s="476">
        <f>IF(WWWW[[#This Row],[HRP3]]/WWWW[[#This Row],[Total PoP ]]&gt;100%,100%,WWWW[[#This Row],[HRP3]]/WWWW[[#This Row],[Total PoP ]])</f>
        <v>0.87885462555066074</v>
      </c>
      <c r="BO77" s="479">
        <f>1-WWWW[[#This Row],[Hygiene Coverage%]]</f>
        <v>0.12114537444933926</v>
      </c>
      <c r="BP77" s="477">
        <f>WWWW[[#This Row],['# people reached by regular dedicated hygiene promotion]]/WWWW[[#This Row],[Total PoP ]]</f>
        <v>0.87885462555066074</v>
      </c>
      <c r="BQ7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7" s="478">
        <f>WWWW[[#This Row],['#_of_affected_women_and_girls_receiving_a_sufficient_quantity_of_sanitary_pads]]</f>
        <v>0</v>
      </c>
      <c r="BS77" s="524">
        <f>IF(WWWW[[#This Row],['# People with access to soap]]&gt;WWWW[[#This Row],['# People with access to Sanity Pads]],WWWW[[#This Row],['# People with access to soap]],WWWW[[#This Row],['# People with access to Sanity Pads]])</f>
        <v>0</v>
      </c>
      <c r="BT77" s="483" t="str">
        <f>IF(OR(WWWW[[#This Row],['#of students in school]]="",WWWW[[#This Row],['#of students in school]]=0),"No","Yes")</f>
        <v>No</v>
      </c>
      <c r="BU77" s="480" t="str">
        <f>VLOOKUP(WWWW[[#This Row],[Village  Name]],SiteDB6[[Site Name]:[Location Type 1]],9,FALSE)</f>
        <v>Village</v>
      </c>
      <c r="BV77" s="480" t="str">
        <f>VLOOKUP(WWWW[[#This Row],[Village  Name]],SiteDB6[[Site Name]:[Type of Accommodation]],10,FALSE)</f>
        <v>Village</v>
      </c>
      <c r="BW77" s="480">
        <f>VLOOKUP(WWWW[[#This Row],[Village  Name]],SiteDB6[[Site Name]:[Ethnic or GCA/NGCA]],11,FALSE)</f>
        <v>0</v>
      </c>
      <c r="BX77" s="480">
        <f>VLOOKUP(WWWW[[#This Row],[Village  Name]],SiteDB6[[Site Name]:[Lat]],12,FALSE)</f>
        <v>20.1899604797363</v>
      </c>
      <c r="BY77" s="480">
        <f>VLOOKUP(WWWW[[#This Row],[Village  Name]],SiteDB6[[Site Name]:[Long]],13,FALSE)</f>
        <v>92.895767211914105</v>
      </c>
      <c r="BZ77" s="480">
        <f>VLOOKUP(WWWW[[#This Row],[Village  Name]],SiteDB6[[Site Name]:[Pcode]],3,FALSE)</f>
        <v>196136</v>
      </c>
      <c r="CA77" s="480" t="str">
        <f t="shared" si="4"/>
        <v>Covered</v>
      </c>
      <c r="CB77" s="505"/>
    </row>
    <row r="78" spans="1:80">
      <c r="A78" s="774" t="s">
        <v>3150</v>
      </c>
      <c r="B78" s="774" t="s">
        <v>314</v>
      </c>
      <c r="C78" s="415" t="s">
        <v>314</v>
      </c>
      <c r="D78" s="415" t="s">
        <v>307</v>
      </c>
      <c r="E78" s="415" t="s">
        <v>2648</v>
      </c>
      <c r="F78" s="415" t="s">
        <v>295</v>
      </c>
      <c r="G78" s="644" t="str">
        <f>VLOOKUP(WWWW[[#This Row],[Village  Name]],SiteDB6[[Site Name]:[Location Type]],8,FALSE)</f>
        <v>Village</v>
      </c>
      <c r="H78" s="415" t="s">
        <v>2581</v>
      </c>
      <c r="I78" s="524">
        <v>218</v>
      </c>
      <c r="J78" s="524">
        <v>978</v>
      </c>
      <c r="K78" s="418">
        <v>42736</v>
      </c>
      <c r="L78" s="55">
        <v>44551</v>
      </c>
      <c r="M78" s="524"/>
      <c r="N78" s="524"/>
      <c r="O78" s="524">
        <v>9</v>
      </c>
      <c r="P78" s="524">
        <v>76</v>
      </c>
      <c r="Q78" s="524">
        <v>3</v>
      </c>
      <c r="R78" s="524"/>
      <c r="S78" s="524"/>
      <c r="T78" s="524"/>
      <c r="U78" s="551"/>
      <c r="V78" s="524">
        <v>118</v>
      </c>
      <c r="W78" s="524" t="s">
        <v>130</v>
      </c>
      <c r="X78" s="524"/>
      <c r="Y78" s="524"/>
      <c r="Z78" s="524"/>
      <c r="AA78" s="524"/>
      <c r="AB78" s="524"/>
      <c r="AC78" s="551"/>
      <c r="AD78" s="524">
        <v>122</v>
      </c>
      <c r="AE78" s="524">
        <v>518</v>
      </c>
      <c r="AF78" s="524">
        <v>51</v>
      </c>
      <c r="AG78" s="524">
        <v>78</v>
      </c>
      <c r="AH78" s="524"/>
      <c r="AI78" s="524"/>
      <c r="AJ78" s="524"/>
      <c r="AK78" s="524"/>
      <c r="AL78" s="524"/>
      <c r="AM78" s="524"/>
      <c r="AN78" s="551"/>
      <c r="AO78" s="477"/>
      <c r="AP78" s="477"/>
      <c r="AQ78" s="524"/>
      <c r="AR78" s="524"/>
      <c r="AS78" s="524"/>
      <c r="AT7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78" s="483">
        <f>WWWW[[#This Row],[%Equitable and continuous access to sufficient quantity of safe drinking water]]*WWWW[[#This Row],[Total PoP ]]</f>
        <v>978</v>
      </c>
      <c r="AV7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78" s="483">
        <f>WWWW[[#This Row],[% Access to unimproved water points]]*WWWW[[#This Row],[Total PoP ]]</f>
        <v>978</v>
      </c>
      <c r="AX7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7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978</v>
      </c>
      <c r="AZ78" s="483">
        <f>WWWW[[#This Row],[HRP1]]/250</f>
        <v>3.9119999999999999</v>
      </c>
      <c r="BA78" s="476">
        <f>1-WWWW[[#This Row],[% Equitable and continuous access to sufficient quantity of domestic water]]</f>
        <v>0</v>
      </c>
      <c r="BB78" s="483">
        <f>WWWW[[#This Row],[%equitable and continuous access to sufficient quantity of safe drinking and domestic water''s GAP]]*WWWW[[#This Row],[Total PoP ]]</f>
        <v>0</v>
      </c>
      <c r="BC78" s="478">
        <f>IF(WWWW[[#This Row],[Total required water points]]-WWWW[[#This Row],['#Water points coverage]]&lt;0,0,WWWW[[#This Row],[Total required water points]]-WWWW[[#This Row],['#Water points coverage]])</f>
        <v>8.8000000000000078E-2</v>
      </c>
      <c r="BD78" s="478">
        <f>ROUND(IF(WWWW[[#This Row],[Total PoP ]]&lt;250,1,WWWW[[#This Row],[Total PoP ]]/250),0)</f>
        <v>4</v>
      </c>
      <c r="BE7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0.7239263803680982</v>
      </c>
      <c r="BF78" s="483">
        <f>WWWW[[#This Row],[% people access to functioning Latrine]]*WWWW[[#This Row],[Total PoP ]]</f>
        <v>708</v>
      </c>
      <c r="BG78" s="478">
        <f>WWWW[[#This Row],['#_of_Functioning_latrines_in_school]]*50</f>
        <v>0</v>
      </c>
      <c r="BH78" s="478">
        <f>ROUND((WWWW[[#This Row],[Total PoP ]]/6),0)</f>
        <v>163</v>
      </c>
      <c r="BI78" s="478">
        <f>IF(WWWW[[#This Row],[Total required Latrines]]-(WWWW[[#This Row],['#_of_sanitary_fly-proof_HH_latrines]])&lt;0,0,WWWW[[#This Row],[Total required Latrines]]-(WWWW[[#This Row],['#_of_sanitary_fly-proof_HH_latrines]]))</f>
        <v>45</v>
      </c>
      <c r="BJ78" s="479">
        <f>1-WWWW[[#This Row],[% people access to functioning Latrine]]</f>
        <v>0.2760736196319018</v>
      </c>
      <c r="BK7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769</v>
      </c>
      <c r="BL78" s="483">
        <f>IF(WWWW[[#This Row],['#_of_functional_handwashing_facilities_at_HH_level]]*6&gt;WWWW[[#This Row],[Total PoP ]],WWWW[[#This Row],[Total PoP ]],WWWW[[#This Row],['#_of_functional_handwashing_facilities_at_HH_level]]*6)</f>
        <v>0</v>
      </c>
      <c r="BM78" s="478">
        <f>IF(WWWW[[#This Row],['# people reached by regular dedicated hygiene promotion]]&gt;WWWW[[#This Row],['# People received regular supply of hygiene items]],WWWW[[#This Row],['# people reached by regular dedicated hygiene promotion]],WWWW[[#This Row],['# People received regular supply of hygiene items]])</f>
        <v>769</v>
      </c>
      <c r="BN78" s="476">
        <f>IF(WWWW[[#This Row],[HRP3]]/WWWW[[#This Row],[Total PoP ]]&gt;100%,100%,WWWW[[#This Row],[HRP3]]/WWWW[[#This Row],[Total PoP ]])</f>
        <v>0.78629856850715751</v>
      </c>
      <c r="BO78" s="479">
        <f>1-WWWW[[#This Row],[Hygiene Coverage%]]</f>
        <v>0.21370143149284249</v>
      </c>
      <c r="BP78" s="477">
        <f>WWWW[[#This Row],['# people reached by regular dedicated hygiene promotion]]/WWWW[[#This Row],[Total PoP ]]</f>
        <v>0.78629856850715751</v>
      </c>
      <c r="BQ7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8" s="478">
        <f>WWWW[[#This Row],['#_of_affected_women_and_girls_receiving_a_sufficient_quantity_of_sanitary_pads]]</f>
        <v>0</v>
      </c>
      <c r="BS78" s="524">
        <f>IF(WWWW[[#This Row],['# People with access to soap]]&gt;WWWW[[#This Row],['# People with access to Sanity Pads]],WWWW[[#This Row],['# People with access to soap]],WWWW[[#This Row],['# People with access to Sanity Pads]])</f>
        <v>0</v>
      </c>
      <c r="BT78" s="483" t="str">
        <f>IF(OR(WWWW[[#This Row],['#of students in school]]="",WWWW[[#This Row],['#of students in school]]=0),"No","Yes")</f>
        <v>No</v>
      </c>
      <c r="BU78" s="480" t="str">
        <f>VLOOKUP(WWWW[[#This Row],[Village  Name]],SiteDB6[[Site Name]:[Location Type 1]],9,FALSE)</f>
        <v>Village</v>
      </c>
      <c r="BV78" s="480" t="str">
        <f>VLOOKUP(WWWW[[#This Row],[Village  Name]],SiteDB6[[Site Name]:[Type of Accommodation]],10,FALSE)</f>
        <v>Village</v>
      </c>
      <c r="BW78" s="480">
        <f>VLOOKUP(WWWW[[#This Row],[Village  Name]],SiteDB6[[Site Name]:[Ethnic or GCA/NGCA]],11,FALSE)</f>
        <v>0</v>
      </c>
      <c r="BX78" s="480">
        <f>VLOOKUP(WWWW[[#This Row],[Village  Name]],SiteDB6[[Site Name]:[Lat]],12,FALSE)</f>
        <v>20.2630290985107</v>
      </c>
      <c r="BY78" s="480">
        <f>VLOOKUP(WWWW[[#This Row],[Village  Name]],SiteDB6[[Site Name]:[Long]],13,FALSE)</f>
        <v>92.858856201171903</v>
      </c>
      <c r="BZ78" s="480">
        <f>VLOOKUP(WWWW[[#This Row],[Village  Name]],SiteDB6[[Site Name]:[Pcode]],3,FALSE)</f>
        <v>196166</v>
      </c>
      <c r="CA78" s="480" t="str">
        <f t="shared" si="4"/>
        <v>Covered</v>
      </c>
      <c r="CB78" s="505"/>
    </row>
    <row r="79" spans="1:80">
      <c r="A79" s="774" t="s">
        <v>3150</v>
      </c>
      <c r="B79" s="774" t="s">
        <v>314</v>
      </c>
      <c r="C79" s="415" t="s">
        <v>314</v>
      </c>
      <c r="D79" s="415" t="s">
        <v>307</v>
      </c>
      <c r="E79" s="415" t="s">
        <v>2648</v>
      </c>
      <c r="F79" s="415" t="s">
        <v>295</v>
      </c>
      <c r="G79" s="644" t="str">
        <f>VLOOKUP(WWWW[[#This Row],[Village  Name]],SiteDB6[[Site Name]:[Location Type]],8,FALSE)</f>
        <v>Village</v>
      </c>
      <c r="H79" s="415" t="s">
        <v>2582</v>
      </c>
      <c r="I79" s="524">
        <v>147</v>
      </c>
      <c r="J79" s="524">
        <v>741</v>
      </c>
      <c r="K79" s="418">
        <v>42736</v>
      </c>
      <c r="L79" s="55">
        <v>44551</v>
      </c>
      <c r="M79" s="524"/>
      <c r="N79" s="524"/>
      <c r="O79" s="524">
        <v>4</v>
      </c>
      <c r="P79" s="524">
        <v>42</v>
      </c>
      <c r="Q79" s="524">
        <v>2</v>
      </c>
      <c r="R79" s="524"/>
      <c r="S79" s="524"/>
      <c r="T79" s="524"/>
      <c r="U79" s="551"/>
      <c r="V79" s="524">
        <v>123</v>
      </c>
      <c r="W79" s="524" t="s">
        <v>130</v>
      </c>
      <c r="X79" s="524"/>
      <c r="Y79" s="524"/>
      <c r="Z79" s="524"/>
      <c r="AA79" s="524"/>
      <c r="AB79" s="524"/>
      <c r="AC79" s="551"/>
      <c r="AD79" s="524">
        <v>79</v>
      </c>
      <c r="AE79" s="524">
        <v>413</v>
      </c>
      <c r="AF79" s="524">
        <v>63</v>
      </c>
      <c r="AG79" s="524">
        <v>44</v>
      </c>
      <c r="AH79" s="524"/>
      <c r="AI79" s="524"/>
      <c r="AJ79" s="524"/>
      <c r="AK79" s="524"/>
      <c r="AL79" s="524"/>
      <c r="AM79" s="524"/>
      <c r="AN79" s="551"/>
      <c r="AO79" s="477"/>
      <c r="AP79" s="477"/>
      <c r="AQ79" s="524"/>
      <c r="AR79" s="524"/>
      <c r="AS79" s="524"/>
      <c r="AT7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79" s="483">
        <f>WWWW[[#This Row],[%Equitable and continuous access to sufficient quantity of safe drinking water]]*WWWW[[#This Row],[Total PoP ]]</f>
        <v>741</v>
      </c>
      <c r="AV7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79" s="483">
        <f>WWWW[[#This Row],[% Access to unimproved water points]]*WWWW[[#This Row],[Total PoP ]]</f>
        <v>741</v>
      </c>
      <c r="AX7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7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741</v>
      </c>
      <c r="AZ79" s="483">
        <f>WWWW[[#This Row],[HRP1]]/250</f>
        <v>2.964</v>
      </c>
      <c r="BA79" s="476">
        <f>1-WWWW[[#This Row],[% Equitable and continuous access to sufficient quantity of domestic water]]</f>
        <v>0</v>
      </c>
      <c r="BB79" s="483">
        <f>WWWW[[#This Row],[%equitable and continuous access to sufficient quantity of safe drinking and domestic water''s GAP]]*WWWW[[#This Row],[Total PoP ]]</f>
        <v>0</v>
      </c>
      <c r="BC79" s="478">
        <f>IF(WWWW[[#This Row],[Total required water points]]-WWWW[[#This Row],['#Water points coverage]]&lt;0,0,WWWW[[#This Row],[Total required water points]]-WWWW[[#This Row],['#Water points coverage]])</f>
        <v>3.6000000000000032E-2</v>
      </c>
      <c r="BD79" s="478">
        <f>ROUND(IF(WWWW[[#This Row],[Total PoP ]]&lt;250,1,WWWW[[#This Row],[Total PoP ]]/250),0)</f>
        <v>3</v>
      </c>
      <c r="BE7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0.99595141700404854</v>
      </c>
      <c r="BF79" s="483">
        <f>WWWW[[#This Row],[% people access to functioning Latrine]]*WWWW[[#This Row],[Total PoP ]]</f>
        <v>738</v>
      </c>
      <c r="BG79" s="478">
        <f>WWWW[[#This Row],['#_of_Functioning_latrines_in_school]]*50</f>
        <v>0</v>
      </c>
      <c r="BH79" s="478">
        <f>ROUND((WWWW[[#This Row],[Total PoP ]]/6),0)</f>
        <v>124</v>
      </c>
      <c r="BI79" s="478">
        <f>IF(WWWW[[#This Row],[Total required Latrines]]-(WWWW[[#This Row],['#_of_sanitary_fly-proof_HH_latrines]])&lt;0,0,WWWW[[#This Row],[Total required Latrines]]-(WWWW[[#This Row],['#_of_sanitary_fly-proof_HH_latrines]]))</f>
        <v>1</v>
      </c>
      <c r="BJ79" s="479">
        <f>1-WWWW[[#This Row],[% people access to functioning Latrine]]</f>
        <v>4.0485829959514552E-3</v>
      </c>
      <c r="BK7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599</v>
      </c>
      <c r="BL79" s="483">
        <f>IF(WWWW[[#This Row],['#_of_functional_handwashing_facilities_at_HH_level]]*6&gt;WWWW[[#This Row],[Total PoP ]],WWWW[[#This Row],[Total PoP ]],WWWW[[#This Row],['#_of_functional_handwashing_facilities_at_HH_level]]*6)</f>
        <v>0</v>
      </c>
      <c r="BM79" s="478">
        <f>IF(WWWW[[#This Row],['# people reached by regular dedicated hygiene promotion]]&gt;WWWW[[#This Row],['# People received regular supply of hygiene items]],WWWW[[#This Row],['# people reached by regular dedicated hygiene promotion]],WWWW[[#This Row],['# People received regular supply of hygiene items]])</f>
        <v>599</v>
      </c>
      <c r="BN79" s="476">
        <f>IF(WWWW[[#This Row],[HRP3]]/WWWW[[#This Row],[Total PoP ]]&gt;100%,100%,WWWW[[#This Row],[HRP3]]/WWWW[[#This Row],[Total PoP ]])</f>
        <v>0.80836707152496623</v>
      </c>
      <c r="BO79" s="479">
        <f>1-WWWW[[#This Row],[Hygiene Coverage%]]</f>
        <v>0.19163292847503377</v>
      </c>
      <c r="BP79" s="477">
        <f>WWWW[[#This Row],['# people reached by regular dedicated hygiene promotion]]/WWWW[[#This Row],[Total PoP ]]</f>
        <v>0.80836707152496623</v>
      </c>
      <c r="BQ7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79" s="478">
        <f>WWWW[[#This Row],['#_of_affected_women_and_girls_receiving_a_sufficient_quantity_of_sanitary_pads]]</f>
        <v>0</v>
      </c>
      <c r="BS79" s="524">
        <f>IF(WWWW[[#This Row],['# People with access to soap]]&gt;WWWW[[#This Row],['# People with access to Sanity Pads]],WWWW[[#This Row],['# People with access to soap]],WWWW[[#This Row],['# People with access to Sanity Pads]])</f>
        <v>0</v>
      </c>
      <c r="BT79" s="483" t="str">
        <f>IF(OR(WWWW[[#This Row],['#of students in school]]="",WWWW[[#This Row],['#of students in school]]=0),"No","Yes")</f>
        <v>No</v>
      </c>
      <c r="BU79" s="480" t="str">
        <f>VLOOKUP(WWWW[[#This Row],[Village  Name]],SiteDB6[[Site Name]:[Location Type 1]],9,FALSE)</f>
        <v>Village</v>
      </c>
      <c r="BV79" s="480" t="str">
        <f>VLOOKUP(WWWW[[#This Row],[Village  Name]],SiteDB6[[Site Name]:[Type of Accommodation]],10,FALSE)</f>
        <v>Village</v>
      </c>
      <c r="BW79" s="480">
        <f>VLOOKUP(WWWW[[#This Row],[Village  Name]],SiteDB6[[Site Name]:[Ethnic or GCA/NGCA]],11,FALSE)</f>
        <v>0</v>
      </c>
      <c r="BX79" s="480">
        <f>VLOOKUP(WWWW[[#This Row],[Village  Name]],SiteDB6[[Site Name]:[Lat]],12,FALSE)</f>
        <v>20.248519897460898</v>
      </c>
      <c r="BY79" s="480">
        <f>VLOOKUP(WWWW[[#This Row],[Village  Name]],SiteDB6[[Site Name]:[Long]],13,FALSE)</f>
        <v>92.8621826171875</v>
      </c>
      <c r="BZ79" s="480">
        <f>VLOOKUP(WWWW[[#This Row],[Village  Name]],SiteDB6[[Site Name]:[Pcode]],3,FALSE)</f>
        <v>196170</v>
      </c>
      <c r="CA79" s="480" t="str">
        <f t="shared" si="4"/>
        <v>Covered</v>
      </c>
      <c r="CB79" s="505"/>
    </row>
    <row r="80" spans="1:80">
      <c r="A80" s="774" t="s">
        <v>3150</v>
      </c>
      <c r="B80" s="774" t="s">
        <v>314</v>
      </c>
      <c r="C80" s="415" t="s">
        <v>314</v>
      </c>
      <c r="D80" s="415" t="s">
        <v>307</v>
      </c>
      <c r="E80" s="415" t="s">
        <v>2648</v>
      </c>
      <c r="F80" s="415" t="s">
        <v>295</v>
      </c>
      <c r="G80" s="644" t="str">
        <f>VLOOKUP(WWWW[[#This Row],[Village  Name]],SiteDB6[[Site Name]:[Location Type]],8,FALSE)</f>
        <v>Village</v>
      </c>
      <c r="H80" s="415" t="s">
        <v>2583</v>
      </c>
      <c r="I80" s="524">
        <v>235</v>
      </c>
      <c r="J80" s="524">
        <v>1117</v>
      </c>
      <c r="K80" s="418">
        <v>42736</v>
      </c>
      <c r="L80" s="55">
        <v>44551</v>
      </c>
      <c r="M80" s="524"/>
      <c r="N80" s="524"/>
      <c r="O80" s="524">
        <v>2</v>
      </c>
      <c r="P80" s="524">
        <v>132</v>
      </c>
      <c r="Q80" s="524">
        <v>3</v>
      </c>
      <c r="R80" s="524"/>
      <c r="S80" s="524"/>
      <c r="T80" s="524"/>
      <c r="U80" s="551"/>
      <c r="V80" s="524">
        <v>216</v>
      </c>
      <c r="W80" s="524" t="s">
        <v>130</v>
      </c>
      <c r="X80" s="524"/>
      <c r="Y80" s="524"/>
      <c r="Z80" s="524"/>
      <c r="AA80" s="524"/>
      <c r="AB80" s="524"/>
      <c r="AC80" s="551"/>
      <c r="AD80" s="524">
        <v>136</v>
      </c>
      <c r="AE80" s="524">
        <v>609</v>
      </c>
      <c r="AF80" s="524">
        <v>57</v>
      </c>
      <c r="AG80" s="524">
        <v>59</v>
      </c>
      <c r="AH80" s="524"/>
      <c r="AI80" s="524"/>
      <c r="AJ80" s="524"/>
      <c r="AK80" s="524"/>
      <c r="AL80" s="524"/>
      <c r="AM80" s="524"/>
      <c r="AN80" s="551"/>
      <c r="AO80" s="477"/>
      <c r="AP80" s="477"/>
      <c r="AQ80" s="524"/>
      <c r="AR80" s="524"/>
      <c r="AS80" s="524"/>
      <c r="AT8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80" s="483">
        <f>WWWW[[#This Row],[%Equitable and continuous access to sufficient quantity of safe drinking water]]*WWWW[[#This Row],[Total PoP ]]</f>
        <v>1117</v>
      </c>
      <c r="AV8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80" s="483">
        <f>WWWW[[#This Row],[% Access to unimproved water points]]*WWWW[[#This Row],[Total PoP ]]</f>
        <v>1117</v>
      </c>
      <c r="AX8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8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1117</v>
      </c>
      <c r="AZ80" s="483">
        <f>WWWW[[#This Row],[HRP1]]/250</f>
        <v>4.468</v>
      </c>
      <c r="BA80" s="476">
        <f>1-WWWW[[#This Row],[% Equitable and continuous access to sufficient quantity of domestic water]]</f>
        <v>0</v>
      </c>
      <c r="BB80" s="483">
        <f>WWWW[[#This Row],[%equitable and continuous access to sufficient quantity of safe drinking and domestic water''s GAP]]*WWWW[[#This Row],[Total PoP ]]</f>
        <v>0</v>
      </c>
      <c r="BC80" s="478">
        <f>IF(WWWW[[#This Row],[Total required water points]]-WWWW[[#This Row],['#Water points coverage]]&lt;0,0,WWWW[[#This Row],[Total required water points]]-WWWW[[#This Row],['#Water points coverage]])</f>
        <v>0</v>
      </c>
      <c r="BD80" s="478">
        <f>ROUND(IF(WWWW[[#This Row],[Total PoP ]]&lt;250,1,WWWW[[#This Row],[Total PoP ]]/250),0)</f>
        <v>4</v>
      </c>
      <c r="BE8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80" s="483">
        <f>WWWW[[#This Row],[% people access to functioning Latrine]]*WWWW[[#This Row],[Total PoP ]]</f>
        <v>1117</v>
      </c>
      <c r="BG80" s="478">
        <f>WWWW[[#This Row],['#_of_Functioning_latrines_in_school]]*50</f>
        <v>0</v>
      </c>
      <c r="BH80" s="478">
        <f>ROUND((WWWW[[#This Row],[Total PoP ]]/6),0)</f>
        <v>186</v>
      </c>
      <c r="BI80" s="478">
        <f>IF(WWWW[[#This Row],[Total required Latrines]]-(WWWW[[#This Row],['#_of_sanitary_fly-proof_HH_latrines]])&lt;0,0,WWWW[[#This Row],[Total required Latrines]]-(WWWW[[#This Row],['#_of_sanitary_fly-proof_HH_latrines]]))</f>
        <v>0</v>
      </c>
      <c r="BJ80" s="479">
        <f>1-WWWW[[#This Row],[% people access to functioning Latrine]]</f>
        <v>0</v>
      </c>
      <c r="BK8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861</v>
      </c>
      <c r="BL80" s="483">
        <f>IF(WWWW[[#This Row],['#_of_functional_handwashing_facilities_at_HH_level]]*6&gt;WWWW[[#This Row],[Total PoP ]],WWWW[[#This Row],[Total PoP ]],WWWW[[#This Row],['#_of_functional_handwashing_facilities_at_HH_level]]*6)</f>
        <v>0</v>
      </c>
      <c r="BM80" s="478">
        <f>IF(WWWW[[#This Row],['# people reached by regular dedicated hygiene promotion]]&gt;WWWW[[#This Row],['# People received regular supply of hygiene items]],WWWW[[#This Row],['# people reached by regular dedicated hygiene promotion]],WWWW[[#This Row],['# People received regular supply of hygiene items]])</f>
        <v>861</v>
      </c>
      <c r="BN80" s="476">
        <f>IF(WWWW[[#This Row],[HRP3]]/WWWW[[#This Row],[Total PoP ]]&gt;100%,100%,WWWW[[#This Row],[HRP3]]/WWWW[[#This Row],[Total PoP ]])</f>
        <v>0.77081468218442251</v>
      </c>
      <c r="BO80" s="479">
        <f>1-WWWW[[#This Row],[Hygiene Coverage%]]</f>
        <v>0.22918531781557749</v>
      </c>
      <c r="BP80" s="477">
        <f>WWWW[[#This Row],['# people reached by regular dedicated hygiene promotion]]/WWWW[[#This Row],[Total PoP ]]</f>
        <v>0.77081468218442251</v>
      </c>
      <c r="BQ8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0" s="478">
        <f>WWWW[[#This Row],['#_of_affected_women_and_girls_receiving_a_sufficient_quantity_of_sanitary_pads]]</f>
        <v>0</v>
      </c>
      <c r="BS80" s="524">
        <f>IF(WWWW[[#This Row],['# People with access to soap]]&gt;WWWW[[#This Row],['# People with access to Sanity Pads]],WWWW[[#This Row],['# People with access to soap]],WWWW[[#This Row],['# People with access to Sanity Pads]])</f>
        <v>0</v>
      </c>
      <c r="BT80" s="483" t="str">
        <f>IF(OR(WWWW[[#This Row],['#of students in school]]="",WWWW[[#This Row],['#of students in school]]=0),"No","Yes")</f>
        <v>No</v>
      </c>
      <c r="BU80" s="480" t="str">
        <f>VLOOKUP(WWWW[[#This Row],[Village  Name]],SiteDB6[[Site Name]:[Location Type 1]],9,FALSE)</f>
        <v>Village</v>
      </c>
      <c r="BV80" s="480" t="str">
        <f>VLOOKUP(WWWW[[#This Row],[Village  Name]],SiteDB6[[Site Name]:[Type of Accommodation]],10,FALSE)</f>
        <v>Village</v>
      </c>
      <c r="BW80" s="480">
        <f>VLOOKUP(WWWW[[#This Row],[Village  Name]],SiteDB6[[Site Name]:[Ethnic or GCA/NGCA]],11,FALSE)</f>
        <v>0</v>
      </c>
      <c r="BX80" s="480">
        <f>VLOOKUP(WWWW[[#This Row],[Village  Name]],SiteDB6[[Site Name]:[Lat]],12,FALSE)</f>
        <v>20.2375602722168</v>
      </c>
      <c r="BY80" s="480">
        <f>VLOOKUP(WWWW[[#This Row],[Village  Name]],SiteDB6[[Site Name]:[Long]],13,FALSE)</f>
        <v>92.861152648925795</v>
      </c>
      <c r="BZ80" s="480">
        <f>VLOOKUP(WWWW[[#This Row],[Village  Name]],SiteDB6[[Site Name]:[Pcode]],3,FALSE)</f>
        <v>196169</v>
      </c>
      <c r="CA80" s="480" t="str">
        <f t="shared" si="4"/>
        <v>Covered</v>
      </c>
      <c r="CB80" s="505"/>
    </row>
    <row r="81" spans="1:80">
      <c r="A81" s="774" t="s">
        <v>3150</v>
      </c>
      <c r="B81" s="774" t="s">
        <v>314</v>
      </c>
      <c r="C81" s="415" t="s">
        <v>314</v>
      </c>
      <c r="D81" s="415" t="s">
        <v>307</v>
      </c>
      <c r="E81" s="415" t="s">
        <v>2648</v>
      </c>
      <c r="F81" s="415" t="s">
        <v>295</v>
      </c>
      <c r="G81" s="644" t="str">
        <f>VLOOKUP(WWWW[[#This Row],[Village  Name]],SiteDB6[[Site Name]:[Location Type]],8,FALSE)</f>
        <v>Village</v>
      </c>
      <c r="H81" s="415" t="s">
        <v>446</v>
      </c>
      <c r="I81" s="524">
        <v>156</v>
      </c>
      <c r="J81" s="524">
        <v>658</v>
      </c>
      <c r="K81" s="418">
        <v>42736</v>
      </c>
      <c r="L81" s="55">
        <v>44551</v>
      </c>
      <c r="M81" s="524"/>
      <c r="N81" s="524"/>
      <c r="O81" s="524"/>
      <c r="P81" s="524">
        <v>88</v>
      </c>
      <c r="Q81" s="524">
        <v>2</v>
      </c>
      <c r="R81" s="524"/>
      <c r="S81" s="524"/>
      <c r="T81" s="524"/>
      <c r="U81" s="551"/>
      <c r="V81" s="524">
        <v>98</v>
      </c>
      <c r="W81" s="524" t="s">
        <v>130</v>
      </c>
      <c r="X81" s="524"/>
      <c r="Y81" s="524"/>
      <c r="Z81" s="524"/>
      <c r="AA81" s="524"/>
      <c r="AB81" s="524"/>
      <c r="AC81" s="551"/>
      <c r="AD81" s="524">
        <v>117</v>
      </c>
      <c r="AE81" s="524">
        <v>235</v>
      </c>
      <c r="AF81" s="524">
        <v>26</v>
      </c>
      <c r="AG81" s="524">
        <v>75</v>
      </c>
      <c r="AH81" s="524"/>
      <c r="AI81" s="524"/>
      <c r="AJ81" s="524"/>
      <c r="AK81" s="524"/>
      <c r="AL81" s="524"/>
      <c r="AM81" s="524"/>
      <c r="AN81" s="551"/>
      <c r="AO81" s="477"/>
      <c r="AP81" s="477"/>
      <c r="AQ81" s="524"/>
      <c r="AR81" s="524"/>
      <c r="AS81" s="524"/>
      <c r="AT8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81" s="483">
        <f>WWWW[[#This Row],[%Equitable and continuous access to sufficient quantity of safe drinking water]]*WWWW[[#This Row],[Total PoP ]]</f>
        <v>658</v>
      </c>
      <c r="AV8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81" s="483">
        <f>WWWW[[#This Row],[% Access to unimproved water points]]*WWWW[[#This Row],[Total PoP ]]</f>
        <v>658</v>
      </c>
      <c r="AX8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8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658</v>
      </c>
      <c r="AZ81" s="483">
        <f>WWWW[[#This Row],[HRP1]]/250</f>
        <v>2.6320000000000001</v>
      </c>
      <c r="BA81" s="476">
        <f>1-WWWW[[#This Row],[% Equitable and continuous access to sufficient quantity of domestic water]]</f>
        <v>0</v>
      </c>
      <c r="BB81" s="483">
        <f>WWWW[[#This Row],[%equitable and continuous access to sufficient quantity of safe drinking and domestic water''s GAP]]*WWWW[[#This Row],[Total PoP ]]</f>
        <v>0</v>
      </c>
      <c r="BC81" s="478">
        <f>IF(WWWW[[#This Row],[Total required water points]]-WWWW[[#This Row],['#Water points coverage]]&lt;0,0,WWWW[[#This Row],[Total required water points]]-WWWW[[#This Row],['#Water points coverage]])</f>
        <v>0.36799999999999988</v>
      </c>
      <c r="BD81" s="478">
        <f>ROUND(IF(WWWW[[#This Row],[Total PoP ]]&lt;250,1,WWWW[[#This Row],[Total PoP ]]/250),0)</f>
        <v>3</v>
      </c>
      <c r="BE8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0.8936170212765957</v>
      </c>
      <c r="BF81" s="483">
        <f>WWWW[[#This Row],[% people access to functioning Latrine]]*WWWW[[#This Row],[Total PoP ]]</f>
        <v>588</v>
      </c>
      <c r="BG81" s="478">
        <f>WWWW[[#This Row],['#_of_Functioning_latrines_in_school]]*50</f>
        <v>0</v>
      </c>
      <c r="BH81" s="478">
        <f>ROUND((WWWW[[#This Row],[Total PoP ]]/6),0)</f>
        <v>110</v>
      </c>
      <c r="BI81" s="478">
        <f>IF(WWWW[[#This Row],[Total required Latrines]]-(WWWW[[#This Row],['#_of_sanitary_fly-proof_HH_latrines]])&lt;0,0,WWWW[[#This Row],[Total required Latrines]]-(WWWW[[#This Row],['#_of_sanitary_fly-proof_HH_latrines]]))</f>
        <v>12</v>
      </c>
      <c r="BJ81" s="479">
        <f>1-WWWW[[#This Row],[% people access to functioning Latrine]]</f>
        <v>0.1063829787234043</v>
      </c>
      <c r="BK8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453</v>
      </c>
      <c r="BL81" s="483">
        <f>IF(WWWW[[#This Row],['#_of_functional_handwashing_facilities_at_HH_level]]*6&gt;WWWW[[#This Row],[Total PoP ]],WWWW[[#This Row],[Total PoP ]],WWWW[[#This Row],['#_of_functional_handwashing_facilities_at_HH_level]]*6)</f>
        <v>0</v>
      </c>
      <c r="BM81" s="478">
        <f>IF(WWWW[[#This Row],['# people reached by regular dedicated hygiene promotion]]&gt;WWWW[[#This Row],['# People received regular supply of hygiene items]],WWWW[[#This Row],['# people reached by regular dedicated hygiene promotion]],WWWW[[#This Row],['# People received regular supply of hygiene items]])</f>
        <v>453</v>
      </c>
      <c r="BN81" s="476">
        <f>IF(WWWW[[#This Row],[HRP3]]/WWWW[[#This Row],[Total PoP ]]&gt;100%,100%,WWWW[[#This Row],[HRP3]]/WWWW[[#This Row],[Total PoP ]])</f>
        <v>0.68844984802431608</v>
      </c>
      <c r="BO81" s="479">
        <f>1-WWWW[[#This Row],[Hygiene Coverage%]]</f>
        <v>0.31155015197568392</v>
      </c>
      <c r="BP81" s="477">
        <f>WWWW[[#This Row],['# people reached by regular dedicated hygiene promotion]]/WWWW[[#This Row],[Total PoP ]]</f>
        <v>0.68844984802431608</v>
      </c>
      <c r="BQ8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1" s="478">
        <f>WWWW[[#This Row],['#_of_affected_women_and_girls_receiving_a_sufficient_quantity_of_sanitary_pads]]</f>
        <v>0</v>
      </c>
      <c r="BS81" s="524">
        <f>IF(WWWW[[#This Row],['# People with access to soap]]&gt;WWWW[[#This Row],['# People with access to Sanity Pads]],WWWW[[#This Row],['# People with access to soap]],WWWW[[#This Row],['# People with access to Sanity Pads]])</f>
        <v>0</v>
      </c>
      <c r="BT81" s="483" t="str">
        <f>IF(OR(WWWW[[#This Row],['#of students in school]]="",WWWW[[#This Row],['#of students in school]]=0),"No","Yes")</f>
        <v>No</v>
      </c>
      <c r="BU81" s="480" t="str">
        <f>VLOOKUP(WWWW[[#This Row],[Village  Name]],SiteDB6[[Site Name]:[Location Type 1]],9,FALSE)</f>
        <v>Village</v>
      </c>
      <c r="BV81" s="480" t="str">
        <f>VLOOKUP(WWWW[[#This Row],[Village  Name]],SiteDB6[[Site Name]:[Type of Accommodation]],10,FALSE)</f>
        <v>Village</v>
      </c>
      <c r="BW81" s="480" t="str">
        <f>VLOOKUP(WWWW[[#This Row],[Village  Name]],SiteDB6[[Site Name]:[Ethnic or GCA/NGCA]],11,FALSE)</f>
        <v>Rakhine</v>
      </c>
      <c r="BX81" s="480">
        <f>VLOOKUP(WWWW[[#This Row],[Village  Name]],SiteDB6[[Site Name]:[Lat]],12,FALSE)</f>
        <v>20.22929001</v>
      </c>
      <c r="BY81" s="480">
        <f>VLOOKUP(WWWW[[#This Row],[Village  Name]],SiteDB6[[Site Name]:[Long]],13,FALSE)</f>
        <v>92.864669800000001</v>
      </c>
      <c r="BZ81" s="480">
        <f>VLOOKUP(WWWW[[#This Row],[Village  Name]],SiteDB6[[Site Name]:[Pcode]],3,FALSE)</f>
        <v>196167</v>
      </c>
      <c r="CA81" s="480" t="str">
        <f t="shared" si="4"/>
        <v>Covered</v>
      </c>
      <c r="CB81" s="505"/>
    </row>
    <row r="82" spans="1:80">
      <c r="A82" s="774" t="s">
        <v>3150</v>
      </c>
      <c r="B82" s="774" t="s">
        <v>314</v>
      </c>
      <c r="C82" s="415" t="s">
        <v>314</v>
      </c>
      <c r="D82" s="415" t="s">
        <v>307</v>
      </c>
      <c r="E82" s="415" t="s">
        <v>2648</v>
      </c>
      <c r="F82" s="415" t="s">
        <v>295</v>
      </c>
      <c r="G82" s="644" t="str">
        <f>VLOOKUP(WWWW[[#This Row],[Village  Name]],SiteDB6[[Site Name]:[Location Type]],8,FALSE)</f>
        <v>Village</v>
      </c>
      <c r="H82" s="415" t="s">
        <v>2002</v>
      </c>
      <c r="I82" s="524">
        <v>113</v>
      </c>
      <c r="J82" s="524">
        <v>656</v>
      </c>
      <c r="K82" s="418">
        <v>42736</v>
      </c>
      <c r="L82" s="55">
        <v>44551</v>
      </c>
      <c r="M82" s="524"/>
      <c r="N82" s="524"/>
      <c r="O82" s="524">
        <v>9</v>
      </c>
      <c r="P82" s="524">
        <v>41</v>
      </c>
      <c r="Q82" s="524">
        <v>3</v>
      </c>
      <c r="R82" s="524"/>
      <c r="S82" s="524"/>
      <c r="T82" s="524"/>
      <c r="U82" s="551"/>
      <c r="V82" s="524">
        <v>78</v>
      </c>
      <c r="W82" s="524" t="s">
        <v>130</v>
      </c>
      <c r="X82" s="524"/>
      <c r="Y82" s="524"/>
      <c r="Z82" s="524"/>
      <c r="AA82" s="524"/>
      <c r="AB82" s="524"/>
      <c r="AC82" s="551"/>
      <c r="AD82" s="524">
        <v>92</v>
      </c>
      <c r="AE82" s="524">
        <v>278</v>
      </c>
      <c r="AF82" s="524">
        <v>69</v>
      </c>
      <c r="AG82" s="524">
        <v>44</v>
      </c>
      <c r="AH82" s="524"/>
      <c r="AI82" s="524"/>
      <c r="AJ82" s="524"/>
      <c r="AK82" s="524"/>
      <c r="AL82" s="524"/>
      <c r="AM82" s="524"/>
      <c r="AN82" s="551"/>
      <c r="AO82" s="477"/>
      <c r="AP82" s="477"/>
      <c r="AQ82" s="524"/>
      <c r="AR82" s="524"/>
      <c r="AS82" s="524"/>
      <c r="AT8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82" s="483">
        <f>WWWW[[#This Row],[%Equitable and continuous access to sufficient quantity of safe drinking water]]*WWWW[[#This Row],[Total PoP ]]</f>
        <v>656</v>
      </c>
      <c r="AV8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82" s="483">
        <f>WWWW[[#This Row],[% Access to unimproved water points]]*WWWW[[#This Row],[Total PoP ]]</f>
        <v>656</v>
      </c>
      <c r="AX8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8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656</v>
      </c>
      <c r="AZ82" s="483">
        <f>WWWW[[#This Row],[HRP1]]/250</f>
        <v>2.6240000000000001</v>
      </c>
      <c r="BA82" s="476">
        <f>1-WWWW[[#This Row],[% Equitable and continuous access to sufficient quantity of domestic water]]</f>
        <v>0</v>
      </c>
      <c r="BB82" s="483">
        <f>WWWW[[#This Row],[%equitable and continuous access to sufficient quantity of safe drinking and domestic water''s GAP]]*WWWW[[#This Row],[Total PoP ]]</f>
        <v>0</v>
      </c>
      <c r="BC82" s="478">
        <f>IF(WWWW[[#This Row],[Total required water points]]-WWWW[[#This Row],['#Water points coverage]]&lt;0,0,WWWW[[#This Row],[Total required water points]]-WWWW[[#This Row],['#Water points coverage]])</f>
        <v>0.37599999999999989</v>
      </c>
      <c r="BD82" s="478">
        <f>ROUND(IF(WWWW[[#This Row],[Total PoP ]]&lt;250,1,WWWW[[#This Row],[Total PoP ]]/250),0)</f>
        <v>3</v>
      </c>
      <c r="BE8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0.71341463414634143</v>
      </c>
      <c r="BF82" s="483">
        <f>WWWW[[#This Row],[% people access to functioning Latrine]]*WWWW[[#This Row],[Total PoP ]]</f>
        <v>468</v>
      </c>
      <c r="BG82" s="478">
        <f>WWWW[[#This Row],['#_of_Functioning_latrines_in_school]]*50</f>
        <v>0</v>
      </c>
      <c r="BH82" s="478">
        <f>ROUND((WWWW[[#This Row],[Total PoP ]]/6),0)</f>
        <v>109</v>
      </c>
      <c r="BI82" s="478">
        <f>IF(WWWW[[#This Row],[Total required Latrines]]-(WWWW[[#This Row],['#_of_sanitary_fly-proof_HH_latrines]])&lt;0,0,WWWW[[#This Row],[Total required Latrines]]-(WWWW[[#This Row],['#_of_sanitary_fly-proof_HH_latrines]]))</f>
        <v>31</v>
      </c>
      <c r="BJ82" s="479">
        <f>1-WWWW[[#This Row],[% people access to functioning Latrine]]</f>
        <v>0.28658536585365857</v>
      </c>
      <c r="BK8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483</v>
      </c>
      <c r="BL82" s="483">
        <f>IF(WWWW[[#This Row],['#_of_functional_handwashing_facilities_at_HH_level]]*6&gt;WWWW[[#This Row],[Total PoP ]],WWWW[[#This Row],[Total PoP ]],WWWW[[#This Row],['#_of_functional_handwashing_facilities_at_HH_level]]*6)</f>
        <v>0</v>
      </c>
      <c r="BM82" s="478">
        <f>IF(WWWW[[#This Row],['# people reached by regular dedicated hygiene promotion]]&gt;WWWW[[#This Row],['# People received regular supply of hygiene items]],WWWW[[#This Row],['# people reached by regular dedicated hygiene promotion]],WWWW[[#This Row],['# People received regular supply of hygiene items]])</f>
        <v>483</v>
      </c>
      <c r="BN82" s="476">
        <f>IF(WWWW[[#This Row],[HRP3]]/WWWW[[#This Row],[Total PoP ]]&gt;100%,100%,WWWW[[#This Row],[HRP3]]/WWWW[[#This Row],[Total PoP ]])</f>
        <v>0.73628048780487809</v>
      </c>
      <c r="BO82" s="479">
        <f>1-WWWW[[#This Row],[Hygiene Coverage%]]</f>
        <v>0.26371951219512191</v>
      </c>
      <c r="BP82" s="477">
        <f>WWWW[[#This Row],['# people reached by regular dedicated hygiene promotion]]/WWWW[[#This Row],[Total PoP ]]</f>
        <v>0.73628048780487809</v>
      </c>
      <c r="BQ8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2" s="478">
        <f>WWWW[[#This Row],['#_of_affected_women_and_girls_receiving_a_sufficient_quantity_of_sanitary_pads]]</f>
        <v>0</v>
      </c>
      <c r="BS82" s="524">
        <f>IF(WWWW[[#This Row],['# People with access to soap]]&gt;WWWW[[#This Row],['# People with access to Sanity Pads]],WWWW[[#This Row],['# People with access to soap]],WWWW[[#This Row],['# People with access to Sanity Pads]])</f>
        <v>0</v>
      </c>
      <c r="BT82" s="483" t="str">
        <f>IF(OR(WWWW[[#This Row],['#of students in school]]="",WWWW[[#This Row],['#of students in school]]=0),"No","Yes")</f>
        <v>No</v>
      </c>
      <c r="BU82" s="480" t="str">
        <f>VLOOKUP(WWWW[[#This Row],[Village  Name]],SiteDB6[[Site Name]:[Location Type 1]],9,FALSE)</f>
        <v>Village</v>
      </c>
      <c r="BV82" s="480" t="str">
        <f>VLOOKUP(WWWW[[#This Row],[Village  Name]],SiteDB6[[Site Name]:[Type of Accommodation]],10,FALSE)</f>
        <v>Village</v>
      </c>
      <c r="BW82" s="480" t="str">
        <f>VLOOKUP(WWWW[[#This Row],[Village  Name]],SiteDB6[[Site Name]:[Ethnic or GCA/NGCA]],11,FALSE)</f>
        <v>rakhine</v>
      </c>
      <c r="BX82" s="480">
        <f>VLOOKUP(WWWW[[#This Row],[Village  Name]],SiteDB6[[Site Name]:[Lat]],12,FALSE)</f>
        <v>20.2315197</v>
      </c>
      <c r="BY82" s="480">
        <f>VLOOKUP(WWWW[[#This Row],[Village  Name]],SiteDB6[[Site Name]:[Long]],13,FALSE)</f>
        <v>92.876129149999997</v>
      </c>
      <c r="BZ82" s="480">
        <f>VLOOKUP(WWWW[[#This Row],[Village  Name]],SiteDB6[[Site Name]:[Pcode]],3,FALSE)</f>
        <v>196180</v>
      </c>
      <c r="CA82" s="480" t="str">
        <f t="shared" si="4"/>
        <v>Covered</v>
      </c>
      <c r="CB82" s="505"/>
    </row>
    <row r="83" spans="1:80">
      <c r="A83" s="774" t="s">
        <v>3150</v>
      </c>
      <c r="B83" s="774" t="s">
        <v>314</v>
      </c>
      <c r="C83" s="415" t="s">
        <v>314</v>
      </c>
      <c r="D83" s="415" t="s">
        <v>307</v>
      </c>
      <c r="E83" s="415" t="s">
        <v>2648</v>
      </c>
      <c r="F83" s="415" t="s">
        <v>295</v>
      </c>
      <c r="G83" s="644" t="str">
        <f>VLOOKUP(WWWW[[#This Row],[Village  Name]],SiteDB6[[Site Name]:[Location Type]],8,FALSE)</f>
        <v>Village</v>
      </c>
      <c r="H83" s="415" t="s">
        <v>1089</v>
      </c>
      <c r="I83" s="524">
        <v>172</v>
      </c>
      <c r="J83" s="524">
        <v>1435</v>
      </c>
      <c r="K83" s="418">
        <v>42736</v>
      </c>
      <c r="L83" s="55">
        <v>44551</v>
      </c>
      <c r="M83" s="524"/>
      <c r="N83" s="524"/>
      <c r="O83" s="524">
        <v>8</v>
      </c>
      <c r="P83" s="524">
        <v>97</v>
      </c>
      <c r="Q83" s="524">
        <v>3</v>
      </c>
      <c r="R83" s="524"/>
      <c r="S83" s="524"/>
      <c r="T83" s="524"/>
      <c r="U83" s="551"/>
      <c r="V83" s="524">
        <v>132</v>
      </c>
      <c r="W83" s="524" t="s">
        <v>130</v>
      </c>
      <c r="X83" s="524"/>
      <c r="Y83" s="524"/>
      <c r="Z83" s="524"/>
      <c r="AA83" s="524"/>
      <c r="AB83" s="524"/>
      <c r="AC83" s="551"/>
      <c r="AD83" s="524">
        <v>218</v>
      </c>
      <c r="AE83" s="524">
        <v>514</v>
      </c>
      <c r="AF83" s="524">
        <v>16</v>
      </c>
      <c r="AG83" s="524">
        <v>37</v>
      </c>
      <c r="AH83" s="524"/>
      <c r="AI83" s="524"/>
      <c r="AJ83" s="524"/>
      <c r="AK83" s="524"/>
      <c r="AL83" s="524"/>
      <c r="AM83" s="524"/>
      <c r="AN83" s="551"/>
      <c r="AO83" s="477"/>
      <c r="AP83" s="477"/>
      <c r="AQ83" s="524"/>
      <c r="AR83" s="524"/>
      <c r="AS83" s="524"/>
      <c r="AT8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83" s="483">
        <f>WWWW[[#This Row],[%Equitable and continuous access to sufficient quantity of safe drinking water]]*WWWW[[#This Row],[Total PoP ]]</f>
        <v>1435</v>
      </c>
      <c r="AV8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83" s="483">
        <f>WWWW[[#This Row],[% Access to unimproved water points]]*WWWW[[#This Row],[Total PoP ]]</f>
        <v>1435</v>
      </c>
      <c r="AX8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8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1435</v>
      </c>
      <c r="AZ83" s="483">
        <f>WWWW[[#This Row],[HRP1]]/250</f>
        <v>5.74</v>
      </c>
      <c r="BA83" s="476">
        <f>1-WWWW[[#This Row],[% Equitable and continuous access to sufficient quantity of domestic water]]</f>
        <v>0</v>
      </c>
      <c r="BB83" s="483">
        <f>WWWW[[#This Row],[%equitable and continuous access to sufficient quantity of safe drinking and domestic water''s GAP]]*WWWW[[#This Row],[Total PoP ]]</f>
        <v>0</v>
      </c>
      <c r="BC83" s="478">
        <f>IF(WWWW[[#This Row],[Total required water points]]-WWWW[[#This Row],['#Water points coverage]]&lt;0,0,WWWW[[#This Row],[Total required water points]]-WWWW[[#This Row],['#Water points coverage]])</f>
        <v>0.25999999999999979</v>
      </c>
      <c r="BD83" s="478">
        <f>ROUND(IF(WWWW[[#This Row],[Total PoP ]]&lt;250,1,WWWW[[#This Row],[Total PoP ]]/250),0)</f>
        <v>6</v>
      </c>
      <c r="BE8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0.55191637630662016</v>
      </c>
      <c r="BF83" s="483">
        <f>WWWW[[#This Row],[% people access to functioning Latrine]]*WWWW[[#This Row],[Total PoP ]]</f>
        <v>791.99999999999989</v>
      </c>
      <c r="BG83" s="478">
        <f>WWWW[[#This Row],['#_of_Functioning_latrines_in_school]]*50</f>
        <v>0</v>
      </c>
      <c r="BH83" s="478">
        <f>ROUND((WWWW[[#This Row],[Total PoP ]]/6),0)</f>
        <v>239</v>
      </c>
      <c r="BI83" s="478">
        <f>IF(WWWW[[#This Row],[Total required Latrines]]-(WWWW[[#This Row],['#_of_sanitary_fly-proof_HH_latrines]])&lt;0,0,WWWW[[#This Row],[Total required Latrines]]-(WWWW[[#This Row],['#_of_sanitary_fly-proof_HH_latrines]]))</f>
        <v>107</v>
      </c>
      <c r="BJ83" s="479">
        <f>1-WWWW[[#This Row],[% people access to functioning Latrine]]</f>
        <v>0.44808362369337984</v>
      </c>
      <c r="BK8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785</v>
      </c>
      <c r="BL83" s="483">
        <f>IF(WWWW[[#This Row],['#_of_functional_handwashing_facilities_at_HH_level]]*6&gt;WWWW[[#This Row],[Total PoP ]],WWWW[[#This Row],[Total PoP ]],WWWW[[#This Row],['#_of_functional_handwashing_facilities_at_HH_level]]*6)</f>
        <v>0</v>
      </c>
      <c r="BM83" s="478">
        <f>IF(WWWW[[#This Row],['# people reached by regular dedicated hygiene promotion]]&gt;WWWW[[#This Row],['# People received regular supply of hygiene items]],WWWW[[#This Row],['# people reached by regular dedicated hygiene promotion]],WWWW[[#This Row],['# People received regular supply of hygiene items]])</f>
        <v>785</v>
      </c>
      <c r="BN83" s="476">
        <f>IF(WWWW[[#This Row],[HRP3]]/WWWW[[#This Row],[Total PoP ]]&gt;100%,100%,WWWW[[#This Row],[HRP3]]/WWWW[[#This Row],[Total PoP ]])</f>
        <v>0.54703832752613235</v>
      </c>
      <c r="BO83" s="479">
        <f>1-WWWW[[#This Row],[Hygiene Coverage%]]</f>
        <v>0.45296167247386765</v>
      </c>
      <c r="BP83" s="477">
        <f>WWWW[[#This Row],['# people reached by regular dedicated hygiene promotion]]/WWWW[[#This Row],[Total PoP ]]</f>
        <v>0.54703832752613235</v>
      </c>
      <c r="BQ8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3" s="478">
        <f>WWWW[[#This Row],['#_of_affected_women_and_girls_receiving_a_sufficient_quantity_of_sanitary_pads]]</f>
        <v>0</v>
      </c>
      <c r="BS83" s="524">
        <f>IF(WWWW[[#This Row],['# People with access to soap]]&gt;WWWW[[#This Row],['# People with access to Sanity Pads]],WWWW[[#This Row],['# People with access to soap]],WWWW[[#This Row],['# People with access to Sanity Pads]])</f>
        <v>0</v>
      </c>
      <c r="BT83" s="483" t="str">
        <f>IF(OR(WWWW[[#This Row],['#of students in school]]="",WWWW[[#This Row],['#of students in school]]=0),"No","Yes")</f>
        <v>No</v>
      </c>
      <c r="BU83" s="480" t="str">
        <f>VLOOKUP(WWWW[[#This Row],[Village  Name]],SiteDB6[[Site Name]:[Location Type 1]],9,FALSE)</f>
        <v>Village</v>
      </c>
      <c r="BV83" s="480" t="str">
        <f>VLOOKUP(WWWW[[#This Row],[Village  Name]],SiteDB6[[Site Name]:[Type of Accommodation]],10,FALSE)</f>
        <v>Village</v>
      </c>
      <c r="BW83" s="480" t="str">
        <f>VLOOKUP(WWWW[[#This Row],[Village  Name]],SiteDB6[[Site Name]:[Ethnic or GCA/NGCA]],11,FALSE)</f>
        <v>Muslim</v>
      </c>
      <c r="BX83" s="480">
        <f>VLOOKUP(WWWW[[#This Row],[Village  Name]],SiteDB6[[Site Name]:[Lat]],12,FALSE)</f>
        <v>0</v>
      </c>
      <c r="BY83" s="480">
        <f>VLOOKUP(WWWW[[#This Row],[Village  Name]],SiteDB6[[Site Name]:[Long]],13,FALSE)</f>
        <v>0</v>
      </c>
      <c r="BZ83" s="480">
        <f>VLOOKUP(WWWW[[#This Row],[Village  Name]],SiteDB6[[Site Name]:[Pcode]],3,FALSE)</f>
        <v>0</v>
      </c>
      <c r="CA83" s="480" t="str">
        <f t="shared" si="4"/>
        <v>Covered</v>
      </c>
      <c r="CB83" s="505"/>
    </row>
    <row r="84" spans="1:80">
      <c r="A84" s="774" t="s">
        <v>3150</v>
      </c>
      <c r="B84" s="774" t="s">
        <v>314</v>
      </c>
      <c r="C84" s="415" t="s">
        <v>314</v>
      </c>
      <c r="D84" s="415" t="s">
        <v>307</v>
      </c>
      <c r="E84" s="415" t="s">
        <v>2648</v>
      </c>
      <c r="F84" s="415" t="s">
        <v>295</v>
      </c>
      <c r="G84" s="644" t="str">
        <f>VLOOKUP(WWWW[[#This Row],[Village  Name]],SiteDB6[[Site Name]:[Location Type]],8,FALSE)</f>
        <v>Village</v>
      </c>
      <c r="H84" s="415" t="s">
        <v>2586</v>
      </c>
      <c r="I84" s="524">
        <v>241</v>
      </c>
      <c r="J84" s="524">
        <v>1027</v>
      </c>
      <c r="K84" s="418">
        <v>42736</v>
      </c>
      <c r="L84" s="55">
        <v>44551</v>
      </c>
      <c r="M84" s="524"/>
      <c r="N84" s="524"/>
      <c r="O84" s="524">
        <v>26</v>
      </c>
      <c r="P84" s="524">
        <v>33</v>
      </c>
      <c r="Q84" s="524">
        <v>2</v>
      </c>
      <c r="R84" s="524"/>
      <c r="S84" s="524"/>
      <c r="T84" s="524"/>
      <c r="U84" s="551"/>
      <c r="V84" s="524">
        <v>66</v>
      </c>
      <c r="W84" s="524" t="s">
        <v>130</v>
      </c>
      <c r="X84" s="524"/>
      <c r="Y84" s="524"/>
      <c r="Z84" s="524"/>
      <c r="AA84" s="524"/>
      <c r="AB84" s="524"/>
      <c r="AC84" s="551"/>
      <c r="AD84" s="524">
        <v>47</v>
      </c>
      <c r="AE84" s="524">
        <v>98</v>
      </c>
      <c r="AF84" s="524">
        <v>28</v>
      </c>
      <c r="AG84" s="524">
        <v>32</v>
      </c>
      <c r="AH84" s="524"/>
      <c r="AI84" s="524"/>
      <c r="AJ84" s="524"/>
      <c r="AK84" s="524"/>
      <c r="AL84" s="524"/>
      <c r="AM84" s="524"/>
      <c r="AN84" s="551"/>
      <c r="AO84" s="477"/>
      <c r="AP84" s="477"/>
      <c r="AQ84" s="524"/>
      <c r="AR84" s="524"/>
      <c r="AS84" s="524"/>
      <c r="AT8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84" s="483">
        <f>WWWW[[#This Row],[%Equitable and continuous access to sufficient quantity of safe drinking water]]*WWWW[[#This Row],[Total PoP ]]</f>
        <v>1027</v>
      </c>
      <c r="AV8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84" s="483">
        <f>WWWW[[#This Row],[% Access to unimproved water points]]*WWWW[[#This Row],[Total PoP ]]</f>
        <v>1027</v>
      </c>
      <c r="AX8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8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1027</v>
      </c>
      <c r="AZ84" s="483">
        <f>WWWW[[#This Row],[HRP1]]/250</f>
        <v>4.1079999999999997</v>
      </c>
      <c r="BA84" s="476">
        <f>1-WWWW[[#This Row],[% Equitable and continuous access to sufficient quantity of domestic water]]</f>
        <v>0</v>
      </c>
      <c r="BB84" s="483">
        <f>WWWW[[#This Row],[%equitable and continuous access to sufficient quantity of safe drinking and domestic water''s GAP]]*WWWW[[#This Row],[Total PoP ]]</f>
        <v>0</v>
      </c>
      <c r="BC84" s="478">
        <f>IF(WWWW[[#This Row],[Total required water points]]-WWWW[[#This Row],['#Water points coverage]]&lt;0,0,WWWW[[#This Row],[Total required water points]]-WWWW[[#This Row],['#Water points coverage]])</f>
        <v>0</v>
      </c>
      <c r="BD84" s="478">
        <f>ROUND(IF(WWWW[[#This Row],[Total PoP ]]&lt;250,1,WWWW[[#This Row],[Total PoP ]]/250),0)</f>
        <v>4</v>
      </c>
      <c r="BE8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0.38558909444985395</v>
      </c>
      <c r="BF84" s="483">
        <f>WWWW[[#This Row],[% people access to functioning Latrine]]*WWWW[[#This Row],[Total PoP ]]</f>
        <v>396</v>
      </c>
      <c r="BG84" s="478">
        <f>WWWW[[#This Row],['#_of_Functioning_latrines_in_school]]*50</f>
        <v>0</v>
      </c>
      <c r="BH84" s="478">
        <f>ROUND((WWWW[[#This Row],[Total PoP ]]/6),0)</f>
        <v>171</v>
      </c>
      <c r="BI84" s="478">
        <f>IF(WWWW[[#This Row],[Total required Latrines]]-(WWWW[[#This Row],['#_of_sanitary_fly-proof_HH_latrines]])&lt;0,0,WWWW[[#This Row],[Total required Latrines]]-(WWWW[[#This Row],['#_of_sanitary_fly-proof_HH_latrines]]))</f>
        <v>105</v>
      </c>
      <c r="BJ84" s="479">
        <f>1-WWWW[[#This Row],[% people access to functioning Latrine]]</f>
        <v>0.6144109055501461</v>
      </c>
      <c r="BK8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205</v>
      </c>
      <c r="BL84" s="483">
        <f>IF(WWWW[[#This Row],['#_of_functional_handwashing_facilities_at_HH_level]]*6&gt;WWWW[[#This Row],[Total PoP ]],WWWW[[#This Row],[Total PoP ]],WWWW[[#This Row],['#_of_functional_handwashing_facilities_at_HH_level]]*6)</f>
        <v>0</v>
      </c>
      <c r="BM84" s="478">
        <f>IF(WWWW[[#This Row],['# people reached by regular dedicated hygiene promotion]]&gt;WWWW[[#This Row],['# People received regular supply of hygiene items]],WWWW[[#This Row],['# people reached by regular dedicated hygiene promotion]],WWWW[[#This Row],['# People received regular supply of hygiene items]])</f>
        <v>205</v>
      </c>
      <c r="BN84" s="476">
        <f>IF(WWWW[[#This Row],[HRP3]]/WWWW[[#This Row],[Total PoP ]]&gt;100%,100%,WWWW[[#This Row],[HRP3]]/WWWW[[#This Row],[Total PoP ]])</f>
        <v>0.19961051606621227</v>
      </c>
      <c r="BO84" s="479">
        <f>1-WWWW[[#This Row],[Hygiene Coverage%]]</f>
        <v>0.80038948393378773</v>
      </c>
      <c r="BP84" s="477">
        <f>WWWW[[#This Row],['# people reached by regular dedicated hygiene promotion]]/WWWW[[#This Row],[Total PoP ]]</f>
        <v>0.19961051606621227</v>
      </c>
      <c r="BQ8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4" s="478">
        <f>WWWW[[#This Row],['#_of_affected_women_and_girls_receiving_a_sufficient_quantity_of_sanitary_pads]]</f>
        <v>0</v>
      </c>
      <c r="BS84" s="524">
        <f>IF(WWWW[[#This Row],['# People with access to soap]]&gt;WWWW[[#This Row],['# People with access to Sanity Pads]],WWWW[[#This Row],['# People with access to soap]],WWWW[[#This Row],['# People with access to Sanity Pads]])</f>
        <v>0</v>
      </c>
      <c r="BT84" s="483" t="str">
        <f>IF(OR(WWWW[[#This Row],['#of students in school]]="",WWWW[[#This Row],['#of students in school]]=0),"No","Yes")</f>
        <v>No</v>
      </c>
      <c r="BU84" s="480" t="str">
        <f>VLOOKUP(WWWW[[#This Row],[Village  Name]],SiteDB6[[Site Name]:[Location Type 1]],9,FALSE)</f>
        <v>Village</v>
      </c>
      <c r="BV84" s="480" t="str">
        <f>VLOOKUP(WWWW[[#This Row],[Village  Name]],SiteDB6[[Site Name]:[Type of Accommodation]],10,FALSE)</f>
        <v>Village</v>
      </c>
      <c r="BW84" s="480">
        <f>VLOOKUP(WWWW[[#This Row],[Village  Name]],SiteDB6[[Site Name]:[Ethnic or GCA/NGCA]],11,FALSE)</f>
        <v>0</v>
      </c>
      <c r="BX84" s="480">
        <f>VLOOKUP(WWWW[[#This Row],[Village  Name]],SiteDB6[[Site Name]:[Lat]],12,FALSE)</f>
        <v>20.2105598449707</v>
      </c>
      <c r="BY84" s="480">
        <f>VLOOKUP(WWWW[[#This Row],[Village  Name]],SiteDB6[[Site Name]:[Long]],13,FALSE)</f>
        <v>92.836456298828097</v>
      </c>
      <c r="BZ84" s="480">
        <f>VLOOKUP(WWWW[[#This Row],[Village  Name]],SiteDB6[[Site Name]:[Pcode]],3,FALSE)</f>
        <v>196125</v>
      </c>
      <c r="CA84" s="480" t="str">
        <f t="shared" si="4"/>
        <v>Covered</v>
      </c>
      <c r="CB84" s="505"/>
    </row>
    <row r="85" spans="1:80">
      <c r="A85" s="774" t="s">
        <v>3150</v>
      </c>
      <c r="B85" s="774" t="s">
        <v>314</v>
      </c>
      <c r="C85" s="415" t="s">
        <v>314</v>
      </c>
      <c r="D85" s="415" t="s">
        <v>307</v>
      </c>
      <c r="E85" s="415" t="s">
        <v>2648</v>
      </c>
      <c r="F85" s="415" t="s">
        <v>295</v>
      </c>
      <c r="G85" s="644" t="str">
        <f>VLOOKUP(WWWW[[#This Row],[Village  Name]],SiteDB6[[Site Name]:[Location Type]],8,FALSE)</f>
        <v>Village</v>
      </c>
      <c r="H85" s="415" t="s">
        <v>2587</v>
      </c>
      <c r="I85" s="524">
        <v>77</v>
      </c>
      <c r="J85" s="524">
        <v>370</v>
      </c>
      <c r="K85" s="418">
        <v>42736</v>
      </c>
      <c r="L85" s="55">
        <v>44551</v>
      </c>
      <c r="M85" s="524"/>
      <c r="N85" s="524"/>
      <c r="O85" s="524">
        <v>14</v>
      </c>
      <c r="P85" s="524">
        <v>208</v>
      </c>
      <c r="Q85" s="524">
        <v>4</v>
      </c>
      <c r="R85" s="524"/>
      <c r="S85" s="524"/>
      <c r="T85" s="524"/>
      <c r="U85" s="551"/>
      <c r="V85" s="524">
        <v>201</v>
      </c>
      <c r="W85" s="524" t="s">
        <v>130</v>
      </c>
      <c r="X85" s="524"/>
      <c r="Y85" s="524"/>
      <c r="Z85" s="524"/>
      <c r="AA85" s="524"/>
      <c r="AB85" s="524"/>
      <c r="AC85" s="551"/>
      <c r="AD85" s="524">
        <v>147</v>
      </c>
      <c r="AE85" s="524">
        <v>279</v>
      </c>
      <c r="AF85" s="524">
        <v>58</v>
      </c>
      <c r="AG85" s="524">
        <v>82</v>
      </c>
      <c r="AH85" s="524"/>
      <c r="AI85" s="524"/>
      <c r="AJ85" s="524"/>
      <c r="AK85" s="524"/>
      <c r="AL85" s="524"/>
      <c r="AM85" s="524"/>
      <c r="AN85" s="551"/>
      <c r="AO85" s="477"/>
      <c r="AP85" s="477"/>
      <c r="AQ85" s="524"/>
      <c r="AR85" s="524"/>
      <c r="AS85" s="524"/>
      <c r="AT8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85" s="483">
        <f>WWWW[[#This Row],[%Equitable and continuous access to sufficient quantity of safe drinking water]]*WWWW[[#This Row],[Total PoP ]]</f>
        <v>370</v>
      </c>
      <c r="AV8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85" s="483">
        <f>WWWW[[#This Row],[% Access to unimproved water points]]*WWWW[[#This Row],[Total PoP ]]</f>
        <v>370</v>
      </c>
      <c r="AX8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8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370</v>
      </c>
      <c r="AZ85" s="483">
        <f>WWWW[[#This Row],[HRP1]]/250</f>
        <v>1.48</v>
      </c>
      <c r="BA85" s="476">
        <f>1-WWWW[[#This Row],[% Equitable and continuous access to sufficient quantity of domestic water]]</f>
        <v>0</v>
      </c>
      <c r="BB85" s="483">
        <f>WWWW[[#This Row],[%equitable and continuous access to sufficient quantity of safe drinking and domestic water''s GAP]]*WWWW[[#This Row],[Total PoP ]]</f>
        <v>0</v>
      </c>
      <c r="BC85" s="478">
        <f>IF(WWWW[[#This Row],[Total required water points]]-WWWW[[#This Row],['#Water points coverage]]&lt;0,0,WWWW[[#This Row],[Total required water points]]-WWWW[[#This Row],['#Water points coverage]])</f>
        <v>0</v>
      </c>
      <c r="BD85" s="478">
        <f>ROUND(IF(WWWW[[#This Row],[Total PoP ]]&lt;250,1,WWWW[[#This Row],[Total PoP ]]/250),0)</f>
        <v>1</v>
      </c>
      <c r="BE8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85" s="483">
        <f>WWWW[[#This Row],[% people access to functioning Latrine]]*WWWW[[#This Row],[Total PoP ]]</f>
        <v>370</v>
      </c>
      <c r="BG85" s="478">
        <f>WWWW[[#This Row],['#_of_Functioning_latrines_in_school]]*50</f>
        <v>0</v>
      </c>
      <c r="BH85" s="478">
        <f>ROUND((WWWW[[#This Row],[Total PoP ]]/6),0)</f>
        <v>62</v>
      </c>
      <c r="BI85" s="478">
        <f>IF(WWWW[[#This Row],[Total required Latrines]]-(WWWW[[#This Row],['#_of_sanitary_fly-proof_HH_latrines]])&lt;0,0,WWWW[[#This Row],[Total required Latrines]]-(WWWW[[#This Row],['#_of_sanitary_fly-proof_HH_latrines]]))</f>
        <v>0</v>
      </c>
      <c r="BJ85" s="479">
        <f>1-WWWW[[#This Row],[% people access to functioning Latrine]]</f>
        <v>0</v>
      </c>
      <c r="BK8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370</v>
      </c>
      <c r="BL85" s="483">
        <f>IF(WWWW[[#This Row],['#_of_functional_handwashing_facilities_at_HH_level]]*6&gt;WWWW[[#This Row],[Total PoP ]],WWWW[[#This Row],[Total PoP ]],WWWW[[#This Row],['#_of_functional_handwashing_facilities_at_HH_level]]*6)</f>
        <v>0</v>
      </c>
      <c r="BM85" s="478">
        <f>IF(WWWW[[#This Row],['# people reached by regular dedicated hygiene promotion]]&gt;WWWW[[#This Row],['# People received regular supply of hygiene items]],WWWW[[#This Row],['# people reached by regular dedicated hygiene promotion]],WWWW[[#This Row],['# People received regular supply of hygiene items]])</f>
        <v>370</v>
      </c>
      <c r="BN85" s="476">
        <f>IF(WWWW[[#This Row],[HRP3]]/WWWW[[#This Row],[Total PoP ]]&gt;100%,100%,WWWW[[#This Row],[HRP3]]/WWWW[[#This Row],[Total PoP ]])</f>
        <v>1</v>
      </c>
      <c r="BO85" s="479">
        <f>1-WWWW[[#This Row],[Hygiene Coverage%]]</f>
        <v>0</v>
      </c>
      <c r="BP85" s="477">
        <f>WWWW[[#This Row],['# people reached by regular dedicated hygiene promotion]]/WWWW[[#This Row],[Total PoP ]]</f>
        <v>1</v>
      </c>
      <c r="BQ8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5" s="478">
        <f>WWWW[[#This Row],['#_of_affected_women_and_girls_receiving_a_sufficient_quantity_of_sanitary_pads]]</f>
        <v>0</v>
      </c>
      <c r="BS85" s="524">
        <f>IF(WWWW[[#This Row],['# People with access to soap]]&gt;WWWW[[#This Row],['# People with access to Sanity Pads]],WWWW[[#This Row],['# People with access to soap]],WWWW[[#This Row],['# People with access to Sanity Pads]])</f>
        <v>0</v>
      </c>
      <c r="BT85" s="483" t="str">
        <f>IF(OR(WWWW[[#This Row],['#of students in school]]="",WWWW[[#This Row],['#of students in school]]=0),"No","Yes")</f>
        <v>No</v>
      </c>
      <c r="BU85" s="480" t="str">
        <f>VLOOKUP(WWWW[[#This Row],[Village  Name]],SiteDB6[[Site Name]:[Location Type 1]],9,FALSE)</f>
        <v>Village</v>
      </c>
      <c r="BV85" s="480" t="str">
        <f>VLOOKUP(WWWW[[#This Row],[Village  Name]],SiteDB6[[Site Name]:[Type of Accommodation]],10,FALSE)</f>
        <v>Village</v>
      </c>
      <c r="BW85" s="480" t="str">
        <f>VLOOKUP(WWWW[[#This Row],[Village  Name]],SiteDB6[[Site Name]:[Ethnic or GCA/NGCA]],11,FALSE)</f>
        <v>Rakhine</v>
      </c>
      <c r="BX85" s="480">
        <f>VLOOKUP(WWWW[[#This Row],[Village  Name]],SiteDB6[[Site Name]:[Lat]],12,FALSE)</f>
        <v>20.236940383911101</v>
      </c>
      <c r="BY85" s="480">
        <f>VLOOKUP(WWWW[[#This Row],[Village  Name]],SiteDB6[[Site Name]:[Long]],13,FALSE)</f>
        <v>92.833259582519503</v>
      </c>
      <c r="BZ85" s="480">
        <f>VLOOKUP(WWWW[[#This Row],[Village  Name]],SiteDB6[[Site Name]:[Pcode]],3,FALSE)</f>
        <v>196130</v>
      </c>
      <c r="CA85" s="480" t="str">
        <f t="shared" si="4"/>
        <v>Covered</v>
      </c>
      <c r="CB85" s="505"/>
    </row>
    <row r="86" spans="1:80">
      <c r="A86" s="774" t="s">
        <v>3150</v>
      </c>
      <c r="B86" s="774" t="s">
        <v>314</v>
      </c>
      <c r="C86" s="415" t="s">
        <v>314</v>
      </c>
      <c r="D86" s="415" t="s">
        <v>307</v>
      </c>
      <c r="E86" s="415" t="s">
        <v>2648</v>
      </c>
      <c r="F86" s="415" t="s">
        <v>295</v>
      </c>
      <c r="G86" s="644" t="str">
        <f>VLOOKUP(WWWW[[#This Row],[Village  Name]],SiteDB6[[Site Name]:[Location Type]],8,FALSE)</f>
        <v>village</v>
      </c>
      <c r="H86" s="415" t="s">
        <v>874</v>
      </c>
      <c r="I86" s="524">
        <v>509</v>
      </c>
      <c r="J86" s="524">
        <v>1574</v>
      </c>
      <c r="K86" s="418">
        <v>42736</v>
      </c>
      <c r="L86" s="55">
        <v>44551</v>
      </c>
      <c r="M86" s="524"/>
      <c r="N86" s="524"/>
      <c r="O86" s="524">
        <v>9</v>
      </c>
      <c r="P86" s="524">
        <v>94</v>
      </c>
      <c r="Q86" s="524">
        <v>2</v>
      </c>
      <c r="R86" s="524"/>
      <c r="S86" s="524"/>
      <c r="T86" s="524"/>
      <c r="U86" s="551"/>
      <c r="V86" s="524">
        <v>136</v>
      </c>
      <c r="W86" s="524" t="s">
        <v>130</v>
      </c>
      <c r="X86" s="524"/>
      <c r="Y86" s="524"/>
      <c r="Z86" s="524"/>
      <c r="AA86" s="524"/>
      <c r="AB86" s="524"/>
      <c r="AC86" s="551"/>
      <c r="AD86" s="524">
        <v>99</v>
      </c>
      <c r="AE86" s="524">
        <v>315</v>
      </c>
      <c r="AF86" s="524">
        <v>66</v>
      </c>
      <c r="AG86" s="524">
        <v>47</v>
      </c>
      <c r="AH86" s="524"/>
      <c r="AI86" s="524"/>
      <c r="AJ86" s="524"/>
      <c r="AK86" s="524"/>
      <c r="AL86" s="524"/>
      <c r="AM86" s="524"/>
      <c r="AN86" s="551"/>
      <c r="AO86" s="477"/>
      <c r="AP86" s="477"/>
      <c r="AQ86" s="524"/>
      <c r="AR86" s="524"/>
      <c r="AS86" s="524"/>
      <c r="AT8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86" s="483">
        <f>WWWW[[#This Row],[%Equitable and continuous access to sufficient quantity of safe drinking water]]*WWWW[[#This Row],[Total PoP ]]</f>
        <v>1574</v>
      </c>
      <c r="AV8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86" s="483">
        <f>WWWW[[#This Row],[% Access to unimproved water points]]*WWWW[[#This Row],[Total PoP ]]</f>
        <v>1574</v>
      </c>
      <c r="AX8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8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1574</v>
      </c>
      <c r="AZ86" s="483">
        <f>WWWW[[#This Row],[HRP1]]/250</f>
        <v>6.2960000000000003</v>
      </c>
      <c r="BA86" s="476">
        <f>1-WWWW[[#This Row],[% Equitable and continuous access to sufficient quantity of domestic water]]</f>
        <v>0</v>
      </c>
      <c r="BB86" s="483">
        <f>WWWW[[#This Row],[%equitable and continuous access to sufficient quantity of safe drinking and domestic water''s GAP]]*WWWW[[#This Row],[Total PoP ]]</f>
        <v>0</v>
      </c>
      <c r="BC86" s="478">
        <f>IF(WWWW[[#This Row],[Total required water points]]-WWWW[[#This Row],['#Water points coverage]]&lt;0,0,WWWW[[#This Row],[Total required water points]]-WWWW[[#This Row],['#Water points coverage]])</f>
        <v>0</v>
      </c>
      <c r="BD86" s="478">
        <f>ROUND(IF(WWWW[[#This Row],[Total PoP ]]&lt;250,1,WWWW[[#This Row],[Total PoP ]]/250),0)</f>
        <v>6</v>
      </c>
      <c r="BE8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0.51842439644218552</v>
      </c>
      <c r="BF86" s="483">
        <f>WWWW[[#This Row],[% people access to functioning Latrine]]*WWWW[[#This Row],[Total PoP ]]</f>
        <v>816</v>
      </c>
      <c r="BG86" s="478">
        <f>WWWW[[#This Row],['#_of_Functioning_latrines_in_school]]*50</f>
        <v>0</v>
      </c>
      <c r="BH86" s="478">
        <f>ROUND((WWWW[[#This Row],[Total PoP ]]/6),0)</f>
        <v>262</v>
      </c>
      <c r="BI86" s="478">
        <f>IF(WWWW[[#This Row],[Total required Latrines]]-(WWWW[[#This Row],['#_of_sanitary_fly-proof_HH_latrines]])&lt;0,0,WWWW[[#This Row],[Total required Latrines]]-(WWWW[[#This Row],['#_of_sanitary_fly-proof_HH_latrines]]))</f>
        <v>126</v>
      </c>
      <c r="BJ86" s="479">
        <f>1-WWWW[[#This Row],[% people access to functioning Latrine]]</f>
        <v>0.48157560355781448</v>
      </c>
      <c r="BK8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527</v>
      </c>
      <c r="BL86" s="483">
        <f>IF(WWWW[[#This Row],['#_of_functional_handwashing_facilities_at_HH_level]]*6&gt;WWWW[[#This Row],[Total PoP ]],WWWW[[#This Row],[Total PoP ]],WWWW[[#This Row],['#_of_functional_handwashing_facilities_at_HH_level]]*6)</f>
        <v>0</v>
      </c>
      <c r="BM86" s="478">
        <f>IF(WWWW[[#This Row],['# people reached by regular dedicated hygiene promotion]]&gt;WWWW[[#This Row],['# People received regular supply of hygiene items]],WWWW[[#This Row],['# people reached by regular dedicated hygiene promotion]],WWWW[[#This Row],['# People received regular supply of hygiene items]])</f>
        <v>527</v>
      </c>
      <c r="BN86" s="476">
        <f>IF(WWWW[[#This Row],[HRP3]]/WWWW[[#This Row],[Total PoP ]]&gt;100%,100%,WWWW[[#This Row],[HRP3]]/WWWW[[#This Row],[Total PoP ]])</f>
        <v>0.33481575603557817</v>
      </c>
      <c r="BO86" s="479">
        <f>1-WWWW[[#This Row],[Hygiene Coverage%]]</f>
        <v>0.66518424396442177</v>
      </c>
      <c r="BP86" s="477">
        <f>WWWW[[#This Row],['# people reached by regular dedicated hygiene promotion]]/WWWW[[#This Row],[Total PoP ]]</f>
        <v>0.33481575603557817</v>
      </c>
      <c r="BQ8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6" s="478">
        <f>WWWW[[#This Row],['#_of_affected_women_and_girls_receiving_a_sufficient_quantity_of_sanitary_pads]]</f>
        <v>0</v>
      </c>
      <c r="BS86" s="524">
        <f>IF(WWWW[[#This Row],['# People with access to soap]]&gt;WWWW[[#This Row],['# People with access to Sanity Pads]],WWWW[[#This Row],['# People with access to soap]],WWWW[[#This Row],['# People with access to Sanity Pads]])</f>
        <v>0</v>
      </c>
      <c r="BT86" s="483" t="str">
        <f>IF(OR(WWWW[[#This Row],['#of students in school]]="",WWWW[[#This Row],['#of students in school]]=0),"No","Yes")</f>
        <v>No</v>
      </c>
      <c r="BU86" s="480" t="str">
        <f>VLOOKUP(WWWW[[#This Row],[Village  Name]],SiteDB6[[Site Name]:[Location Type 1]],9,FALSE)</f>
        <v>Village</v>
      </c>
      <c r="BV86" s="480" t="str">
        <f>VLOOKUP(WWWW[[#This Row],[Village  Name]],SiteDB6[[Site Name]:[Type of Accommodation]],10,FALSE)</f>
        <v>village</v>
      </c>
      <c r="BW86" s="480" t="str">
        <f>VLOOKUP(WWWW[[#This Row],[Village  Name]],SiteDB6[[Site Name]:[Ethnic or GCA/NGCA]],11,FALSE)</f>
        <v>Rakhine</v>
      </c>
      <c r="BX86" s="480">
        <f>VLOOKUP(WWWW[[#This Row],[Village  Name]],SiteDB6[[Site Name]:[Lat]],12,FALSE)</f>
        <v>20.226730346679702</v>
      </c>
      <c r="BY86" s="480">
        <f>VLOOKUP(WWWW[[#This Row],[Village  Name]],SiteDB6[[Site Name]:[Long]],13,FALSE)</f>
        <v>92.836929321289105</v>
      </c>
      <c r="BZ86" s="480">
        <f>VLOOKUP(WWWW[[#This Row],[Village  Name]],SiteDB6[[Site Name]:[Pcode]],3,FALSE)</f>
        <v>196129</v>
      </c>
      <c r="CA86" s="480" t="str">
        <f t="shared" si="4"/>
        <v>Covered</v>
      </c>
      <c r="CB86" s="505"/>
    </row>
    <row r="87" spans="1:80">
      <c r="A87" s="774" t="s">
        <v>3150</v>
      </c>
      <c r="B87" s="774" t="s">
        <v>314</v>
      </c>
      <c r="C87" s="415" t="s">
        <v>314</v>
      </c>
      <c r="D87" s="415" t="s">
        <v>307</v>
      </c>
      <c r="E87" s="415" t="s">
        <v>2648</v>
      </c>
      <c r="F87" s="415" t="s">
        <v>295</v>
      </c>
      <c r="G87" s="644" t="str">
        <f>VLOOKUP(WWWW[[#This Row],[Village  Name]],SiteDB6[[Site Name]:[Location Type]],8,FALSE)</f>
        <v>Village</v>
      </c>
      <c r="H87" s="415" t="s">
        <v>2005</v>
      </c>
      <c r="I87" s="524">
        <v>301</v>
      </c>
      <c r="J87" s="524">
        <v>1529</v>
      </c>
      <c r="K87" s="418">
        <v>42736</v>
      </c>
      <c r="L87" s="55">
        <v>44551</v>
      </c>
      <c r="M87" s="524"/>
      <c r="N87" s="524"/>
      <c r="O87" s="524">
        <v>7</v>
      </c>
      <c r="P87" s="524">
        <v>117</v>
      </c>
      <c r="Q87" s="524">
        <v>3</v>
      </c>
      <c r="R87" s="524"/>
      <c r="S87" s="524"/>
      <c r="T87" s="524"/>
      <c r="U87" s="551"/>
      <c r="V87" s="524">
        <v>186</v>
      </c>
      <c r="W87" s="524" t="s">
        <v>130</v>
      </c>
      <c r="X87" s="524"/>
      <c r="Y87" s="524"/>
      <c r="Z87" s="524"/>
      <c r="AA87" s="524"/>
      <c r="AB87" s="524"/>
      <c r="AC87" s="551"/>
      <c r="AD87" s="524">
        <v>85</v>
      </c>
      <c r="AE87" s="524">
        <v>316</v>
      </c>
      <c r="AF87" s="524">
        <v>58</v>
      </c>
      <c r="AG87" s="524">
        <v>83</v>
      </c>
      <c r="AH87" s="524"/>
      <c r="AI87" s="524"/>
      <c r="AJ87" s="524"/>
      <c r="AK87" s="524"/>
      <c r="AL87" s="524"/>
      <c r="AM87" s="524"/>
      <c r="AN87" s="551"/>
      <c r="AO87" s="477"/>
      <c r="AP87" s="477"/>
      <c r="AQ87" s="524"/>
      <c r="AR87" s="524"/>
      <c r="AS87" s="524"/>
      <c r="AT8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87" s="483">
        <f>WWWW[[#This Row],[%Equitable and continuous access to sufficient quantity of safe drinking water]]*WWWW[[#This Row],[Total PoP ]]</f>
        <v>1529</v>
      </c>
      <c r="AV8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87" s="483">
        <f>WWWW[[#This Row],[% Access to unimproved water points]]*WWWW[[#This Row],[Total PoP ]]</f>
        <v>1529</v>
      </c>
      <c r="AX8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8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1529</v>
      </c>
      <c r="AZ87" s="483">
        <f>WWWW[[#This Row],[HRP1]]/250</f>
        <v>6.1159999999999997</v>
      </c>
      <c r="BA87" s="476">
        <f>1-WWWW[[#This Row],[% Equitable and continuous access to sufficient quantity of domestic water]]</f>
        <v>0</v>
      </c>
      <c r="BB87" s="483">
        <f>WWWW[[#This Row],[%equitable and continuous access to sufficient quantity of safe drinking and domestic water''s GAP]]*WWWW[[#This Row],[Total PoP ]]</f>
        <v>0</v>
      </c>
      <c r="BC87" s="478">
        <f>IF(WWWW[[#This Row],[Total required water points]]-WWWW[[#This Row],['#Water points coverage]]&lt;0,0,WWWW[[#This Row],[Total required water points]]-WWWW[[#This Row],['#Water points coverage]])</f>
        <v>0</v>
      </c>
      <c r="BD87" s="478">
        <f>ROUND(IF(WWWW[[#This Row],[Total PoP ]]&lt;250,1,WWWW[[#This Row],[Total PoP ]]/250),0)</f>
        <v>6</v>
      </c>
      <c r="BE8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0.72988881621975144</v>
      </c>
      <c r="BF87" s="483">
        <f>WWWW[[#This Row],[% people access to functioning Latrine]]*WWWW[[#This Row],[Total PoP ]]</f>
        <v>1116</v>
      </c>
      <c r="BG87" s="478">
        <f>WWWW[[#This Row],['#_of_Functioning_latrines_in_school]]*50</f>
        <v>0</v>
      </c>
      <c r="BH87" s="478">
        <f>ROUND((WWWW[[#This Row],[Total PoP ]]/6),0)</f>
        <v>255</v>
      </c>
      <c r="BI87" s="478">
        <f>IF(WWWW[[#This Row],[Total required Latrines]]-(WWWW[[#This Row],['#_of_sanitary_fly-proof_HH_latrines]])&lt;0,0,WWWW[[#This Row],[Total required Latrines]]-(WWWW[[#This Row],['#_of_sanitary_fly-proof_HH_latrines]]))</f>
        <v>69</v>
      </c>
      <c r="BJ87" s="479">
        <f>1-WWWW[[#This Row],[% people access to functioning Latrine]]</f>
        <v>0.27011118378024856</v>
      </c>
      <c r="BK8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542</v>
      </c>
      <c r="BL87" s="483">
        <f>IF(WWWW[[#This Row],['#_of_functional_handwashing_facilities_at_HH_level]]*6&gt;WWWW[[#This Row],[Total PoP ]],WWWW[[#This Row],[Total PoP ]],WWWW[[#This Row],['#_of_functional_handwashing_facilities_at_HH_level]]*6)</f>
        <v>0</v>
      </c>
      <c r="BM87" s="478">
        <f>IF(WWWW[[#This Row],['# people reached by regular dedicated hygiene promotion]]&gt;WWWW[[#This Row],['# People received regular supply of hygiene items]],WWWW[[#This Row],['# people reached by regular dedicated hygiene promotion]],WWWW[[#This Row],['# People received regular supply of hygiene items]])</f>
        <v>542</v>
      </c>
      <c r="BN87" s="476">
        <f>IF(WWWW[[#This Row],[HRP3]]/WWWW[[#This Row],[Total PoP ]]&gt;100%,100%,WWWW[[#This Row],[HRP3]]/WWWW[[#This Row],[Total PoP ]])</f>
        <v>0.35448005232177893</v>
      </c>
      <c r="BO87" s="479">
        <f>1-WWWW[[#This Row],[Hygiene Coverage%]]</f>
        <v>0.64551994767822107</v>
      </c>
      <c r="BP87" s="477">
        <f>WWWW[[#This Row],['# people reached by regular dedicated hygiene promotion]]/WWWW[[#This Row],[Total PoP ]]</f>
        <v>0.35448005232177893</v>
      </c>
      <c r="BQ8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7" s="478">
        <f>WWWW[[#This Row],['#_of_affected_women_and_girls_receiving_a_sufficient_quantity_of_sanitary_pads]]</f>
        <v>0</v>
      </c>
      <c r="BS87" s="524">
        <f>IF(WWWW[[#This Row],['# People with access to soap]]&gt;WWWW[[#This Row],['# People with access to Sanity Pads]],WWWW[[#This Row],['# People with access to soap]],WWWW[[#This Row],['# People with access to Sanity Pads]])</f>
        <v>0</v>
      </c>
      <c r="BT87" s="483" t="str">
        <f>IF(OR(WWWW[[#This Row],['#of students in school]]="",WWWW[[#This Row],['#of students in school]]=0),"No","Yes")</f>
        <v>No</v>
      </c>
      <c r="BU87" s="480" t="str">
        <f>VLOOKUP(WWWW[[#This Row],[Village  Name]],SiteDB6[[Site Name]:[Location Type 1]],9,FALSE)</f>
        <v>Village</v>
      </c>
      <c r="BV87" s="480" t="str">
        <f>VLOOKUP(WWWW[[#This Row],[Village  Name]],SiteDB6[[Site Name]:[Type of Accommodation]],10,FALSE)</f>
        <v>Village</v>
      </c>
      <c r="BW87" s="480" t="str">
        <f>VLOOKUP(WWWW[[#This Row],[Village  Name]],SiteDB6[[Site Name]:[Ethnic or GCA/NGCA]],11,FALSE)</f>
        <v>Rakhine</v>
      </c>
      <c r="BX87" s="480">
        <f>VLOOKUP(WWWW[[#This Row],[Village  Name]],SiteDB6[[Site Name]:[Lat]],12,FALSE)</f>
        <v>20.257850650000002</v>
      </c>
      <c r="BY87" s="480">
        <f>VLOOKUP(WWWW[[#This Row],[Village  Name]],SiteDB6[[Site Name]:[Long]],13,FALSE)</f>
        <v>92.811126709999996</v>
      </c>
      <c r="BZ87" s="480">
        <f>VLOOKUP(WWWW[[#This Row],[Village  Name]],SiteDB6[[Site Name]:[Pcode]],3,FALSE)</f>
        <v>196161</v>
      </c>
      <c r="CA87" s="480" t="str">
        <f t="shared" si="4"/>
        <v>Covered</v>
      </c>
      <c r="CB87" s="505"/>
    </row>
    <row r="88" spans="1:80">
      <c r="A88" s="774" t="s">
        <v>3150</v>
      </c>
      <c r="B88" s="774" t="s">
        <v>314</v>
      </c>
      <c r="C88" s="415" t="s">
        <v>314</v>
      </c>
      <c r="D88" s="415" t="s">
        <v>307</v>
      </c>
      <c r="E88" s="415" t="s">
        <v>2648</v>
      </c>
      <c r="F88" s="415" t="s">
        <v>295</v>
      </c>
      <c r="G88" s="644" t="str">
        <f>VLOOKUP(WWWW[[#This Row],[Village  Name]],SiteDB6[[Site Name]:[Location Type]],8,FALSE)</f>
        <v>Village</v>
      </c>
      <c r="H88" s="415" t="s">
        <v>2588</v>
      </c>
      <c r="I88" s="524">
        <v>85</v>
      </c>
      <c r="J88" s="524">
        <v>369</v>
      </c>
      <c r="K88" s="418">
        <v>42736</v>
      </c>
      <c r="L88" s="55">
        <v>44551</v>
      </c>
      <c r="M88" s="524"/>
      <c r="N88" s="524"/>
      <c r="O88" s="524">
        <v>2</v>
      </c>
      <c r="P88" s="524">
        <v>56</v>
      </c>
      <c r="Q88" s="524">
        <v>2</v>
      </c>
      <c r="R88" s="524"/>
      <c r="S88" s="524"/>
      <c r="T88" s="524"/>
      <c r="U88" s="551"/>
      <c r="V88" s="524">
        <v>58</v>
      </c>
      <c r="W88" s="524" t="s">
        <v>130</v>
      </c>
      <c r="X88" s="524"/>
      <c r="Y88" s="524"/>
      <c r="Z88" s="524"/>
      <c r="AA88" s="524"/>
      <c r="AB88" s="524"/>
      <c r="AC88" s="551"/>
      <c r="AD88" s="524">
        <v>26</v>
      </c>
      <c r="AE88" s="524">
        <v>190</v>
      </c>
      <c r="AF88" s="524">
        <v>14</v>
      </c>
      <c r="AG88" s="524">
        <v>32</v>
      </c>
      <c r="AH88" s="524"/>
      <c r="AI88" s="524"/>
      <c r="AJ88" s="524"/>
      <c r="AK88" s="524"/>
      <c r="AL88" s="524"/>
      <c r="AM88" s="524"/>
      <c r="AN88" s="551"/>
      <c r="AO88" s="477"/>
      <c r="AP88" s="477"/>
      <c r="AQ88" s="524"/>
      <c r="AR88" s="524"/>
      <c r="AS88" s="524"/>
      <c r="AT8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88" s="483">
        <f>WWWW[[#This Row],[%Equitable and continuous access to sufficient quantity of safe drinking water]]*WWWW[[#This Row],[Total PoP ]]</f>
        <v>369</v>
      </c>
      <c r="AV8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88" s="483">
        <f>WWWW[[#This Row],[% Access to unimproved water points]]*WWWW[[#This Row],[Total PoP ]]</f>
        <v>369</v>
      </c>
      <c r="AX8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8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369</v>
      </c>
      <c r="AZ88" s="483">
        <f>WWWW[[#This Row],[HRP1]]/250</f>
        <v>1.476</v>
      </c>
      <c r="BA88" s="476">
        <f>1-WWWW[[#This Row],[% Equitable and continuous access to sufficient quantity of domestic water]]</f>
        <v>0</v>
      </c>
      <c r="BB88" s="483">
        <f>WWWW[[#This Row],[%equitable and continuous access to sufficient quantity of safe drinking and domestic water''s GAP]]*WWWW[[#This Row],[Total PoP ]]</f>
        <v>0</v>
      </c>
      <c r="BC88" s="478">
        <f>IF(WWWW[[#This Row],[Total required water points]]-WWWW[[#This Row],['#Water points coverage]]&lt;0,0,WWWW[[#This Row],[Total required water points]]-WWWW[[#This Row],['#Water points coverage]])</f>
        <v>0</v>
      </c>
      <c r="BD88" s="478">
        <f>ROUND(IF(WWWW[[#This Row],[Total PoP ]]&lt;250,1,WWWW[[#This Row],[Total PoP ]]/250),0)</f>
        <v>1</v>
      </c>
      <c r="BE8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0.94308943089430897</v>
      </c>
      <c r="BF88" s="483">
        <f>WWWW[[#This Row],[% people access to functioning Latrine]]*WWWW[[#This Row],[Total PoP ]]</f>
        <v>348</v>
      </c>
      <c r="BG88" s="478">
        <f>WWWW[[#This Row],['#_of_Functioning_latrines_in_school]]*50</f>
        <v>0</v>
      </c>
      <c r="BH88" s="478">
        <f>ROUND((WWWW[[#This Row],[Total PoP ]]/6),0)</f>
        <v>62</v>
      </c>
      <c r="BI88" s="478">
        <f>IF(WWWW[[#This Row],[Total required Latrines]]-(WWWW[[#This Row],['#_of_sanitary_fly-proof_HH_latrines]])&lt;0,0,WWWW[[#This Row],[Total required Latrines]]-(WWWW[[#This Row],['#_of_sanitary_fly-proof_HH_latrines]]))</f>
        <v>4</v>
      </c>
      <c r="BJ88" s="479">
        <f>1-WWWW[[#This Row],[% people access to functioning Latrine]]</f>
        <v>5.6910569105691033E-2</v>
      </c>
      <c r="BK8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262</v>
      </c>
      <c r="BL88" s="483">
        <f>IF(WWWW[[#This Row],['#_of_functional_handwashing_facilities_at_HH_level]]*6&gt;WWWW[[#This Row],[Total PoP ]],WWWW[[#This Row],[Total PoP ]],WWWW[[#This Row],['#_of_functional_handwashing_facilities_at_HH_level]]*6)</f>
        <v>0</v>
      </c>
      <c r="BM88" s="478">
        <f>IF(WWWW[[#This Row],['# people reached by regular dedicated hygiene promotion]]&gt;WWWW[[#This Row],['# People received regular supply of hygiene items]],WWWW[[#This Row],['# people reached by regular dedicated hygiene promotion]],WWWW[[#This Row],['# People received regular supply of hygiene items]])</f>
        <v>262</v>
      </c>
      <c r="BN88" s="476">
        <f>IF(WWWW[[#This Row],[HRP3]]/WWWW[[#This Row],[Total PoP ]]&gt;100%,100%,WWWW[[#This Row],[HRP3]]/WWWW[[#This Row],[Total PoP ]])</f>
        <v>0.71002710027100269</v>
      </c>
      <c r="BO88" s="479">
        <f>1-WWWW[[#This Row],[Hygiene Coverage%]]</f>
        <v>0.28997289972899731</v>
      </c>
      <c r="BP88" s="477">
        <f>WWWW[[#This Row],['# people reached by regular dedicated hygiene promotion]]/WWWW[[#This Row],[Total PoP ]]</f>
        <v>0.71002710027100269</v>
      </c>
      <c r="BQ8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8" s="478">
        <f>WWWW[[#This Row],['#_of_affected_women_and_girls_receiving_a_sufficient_quantity_of_sanitary_pads]]</f>
        <v>0</v>
      </c>
      <c r="BS88" s="524">
        <f>IF(WWWW[[#This Row],['# People with access to soap]]&gt;WWWW[[#This Row],['# People with access to Sanity Pads]],WWWW[[#This Row],['# People with access to soap]],WWWW[[#This Row],['# People with access to Sanity Pads]])</f>
        <v>0</v>
      </c>
      <c r="BT88" s="483" t="str">
        <f>IF(OR(WWWW[[#This Row],['#of students in school]]="",WWWW[[#This Row],['#of students in school]]=0),"No","Yes")</f>
        <v>No</v>
      </c>
      <c r="BU88" s="480" t="str">
        <f>VLOOKUP(WWWW[[#This Row],[Village  Name]],SiteDB6[[Site Name]:[Location Type 1]],9,FALSE)</f>
        <v>Village</v>
      </c>
      <c r="BV88" s="480" t="str">
        <f>VLOOKUP(WWWW[[#This Row],[Village  Name]],SiteDB6[[Site Name]:[Type of Accommodation]],10,FALSE)</f>
        <v>Village</v>
      </c>
      <c r="BW88" s="480">
        <f>VLOOKUP(WWWW[[#This Row],[Village  Name]],SiteDB6[[Site Name]:[Ethnic or GCA/NGCA]],11,FALSE)</f>
        <v>0</v>
      </c>
      <c r="BX88" s="480">
        <f>VLOOKUP(WWWW[[#This Row],[Village  Name]],SiteDB6[[Site Name]:[Lat]],12,FALSE)</f>
        <v>20.261358000000001</v>
      </c>
      <c r="BY88" s="480">
        <f>VLOOKUP(WWWW[[#This Row],[Village  Name]],SiteDB6[[Site Name]:[Long]],13,FALSE)</f>
        <v>92.805672999999999</v>
      </c>
      <c r="BZ88" s="480">
        <f>VLOOKUP(WWWW[[#This Row],[Village  Name]],SiteDB6[[Site Name]:[Pcode]],3,FALSE)</f>
        <v>220593</v>
      </c>
      <c r="CA88" s="480" t="str">
        <f t="shared" si="4"/>
        <v>Covered</v>
      </c>
      <c r="CB88" s="505"/>
    </row>
    <row r="89" spans="1:80">
      <c r="A89" s="774" t="s">
        <v>3150</v>
      </c>
      <c r="B89" s="774" t="s">
        <v>314</v>
      </c>
      <c r="C89" s="415" t="s">
        <v>314</v>
      </c>
      <c r="D89" s="415" t="s">
        <v>307</v>
      </c>
      <c r="E89" s="415" t="s">
        <v>2648</v>
      </c>
      <c r="F89" s="415" t="s">
        <v>295</v>
      </c>
      <c r="G89" s="644" t="str">
        <f>VLOOKUP(WWWW[[#This Row],[Village  Name]],SiteDB6[[Site Name]:[Location Type]],8,FALSE)</f>
        <v>Village</v>
      </c>
      <c r="H89" s="415" t="s">
        <v>2006</v>
      </c>
      <c r="I89" s="524">
        <v>355</v>
      </c>
      <c r="J89" s="524">
        <v>2168</v>
      </c>
      <c r="K89" s="418">
        <v>42736</v>
      </c>
      <c r="L89" s="55">
        <v>44551</v>
      </c>
      <c r="M89" s="524"/>
      <c r="N89" s="524"/>
      <c r="O89" s="524">
        <v>23</v>
      </c>
      <c r="P89" s="524">
        <v>374</v>
      </c>
      <c r="Q89" s="524">
        <v>2</v>
      </c>
      <c r="R89" s="524"/>
      <c r="S89" s="524"/>
      <c r="T89" s="524"/>
      <c r="U89" s="551"/>
      <c r="V89" s="524">
        <v>216</v>
      </c>
      <c r="W89" s="524" t="s">
        <v>130</v>
      </c>
      <c r="X89" s="524"/>
      <c r="Y89" s="524"/>
      <c r="Z89" s="524"/>
      <c r="AA89" s="524"/>
      <c r="AB89" s="524"/>
      <c r="AC89" s="551"/>
      <c r="AD89" s="524">
        <v>112</v>
      </c>
      <c r="AE89" s="524">
        <v>423</v>
      </c>
      <c r="AF89" s="524">
        <v>58</v>
      </c>
      <c r="AG89" s="524">
        <v>65</v>
      </c>
      <c r="AH89" s="524"/>
      <c r="AI89" s="524"/>
      <c r="AJ89" s="524"/>
      <c r="AK89" s="524"/>
      <c r="AL89" s="524"/>
      <c r="AM89" s="524"/>
      <c r="AN89" s="551"/>
      <c r="AO89" s="477"/>
      <c r="AP89" s="477"/>
      <c r="AQ89" s="524"/>
      <c r="AR89" s="524"/>
      <c r="AS89" s="524"/>
      <c r="AT8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89" s="483">
        <f>WWWW[[#This Row],[%Equitable and continuous access to sufficient quantity of safe drinking water]]*WWWW[[#This Row],[Total PoP ]]</f>
        <v>2168</v>
      </c>
      <c r="AV8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89" s="483">
        <f>WWWW[[#This Row],[% Access to unimproved water points]]*WWWW[[#This Row],[Total PoP ]]</f>
        <v>2168</v>
      </c>
      <c r="AX8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8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2168</v>
      </c>
      <c r="AZ89" s="483">
        <f>WWWW[[#This Row],[HRP1]]/250</f>
        <v>8.6720000000000006</v>
      </c>
      <c r="BA89" s="476">
        <f>1-WWWW[[#This Row],[% Equitable and continuous access to sufficient quantity of domestic water]]</f>
        <v>0</v>
      </c>
      <c r="BB89" s="483">
        <f>WWWW[[#This Row],[%equitable and continuous access to sufficient quantity of safe drinking and domestic water''s GAP]]*WWWW[[#This Row],[Total PoP ]]</f>
        <v>0</v>
      </c>
      <c r="BC89" s="478">
        <f>IF(WWWW[[#This Row],[Total required water points]]-WWWW[[#This Row],['#Water points coverage]]&lt;0,0,WWWW[[#This Row],[Total required water points]]-WWWW[[#This Row],['#Water points coverage]])</f>
        <v>0.3279999999999994</v>
      </c>
      <c r="BD89" s="478">
        <f>ROUND(IF(WWWW[[#This Row],[Total PoP ]]&lt;250,1,WWWW[[#This Row],[Total PoP ]]/250),0)</f>
        <v>9</v>
      </c>
      <c r="BE8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0.59778597785977861</v>
      </c>
      <c r="BF89" s="483">
        <f>WWWW[[#This Row],[% people access to functioning Latrine]]*WWWW[[#This Row],[Total PoP ]]</f>
        <v>1296</v>
      </c>
      <c r="BG89" s="478">
        <f>WWWW[[#This Row],['#_of_Functioning_latrines_in_school]]*50</f>
        <v>0</v>
      </c>
      <c r="BH89" s="478">
        <f>ROUND((WWWW[[#This Row],[Total PoP ]]/6),0)</f>
        <v>361</v>
      </c>
      <c r="BI89" s="478">
        <f>IF(WWWW[[#This Row],[Total required Latrines]]-(WWWW[[#This Row],['#_of_sanitary_fly-proof_HH_latrines]])&lt;0,0,WWWW[[#This Row],[Total required Latrines]]-(WWWW[[#This Row],['#_of_sanitary_fly-proof_HH_latrines]]))</f>
        <v>145</v>
      </c>
      <c r="BJ89" s="479">
        <f>1-WWWW[[#This Row],[% people access to functioning Latrine]]</f>
        <v>0.40221402214022139</v>
      </c>
      <c r="BK8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658</v>
      </c>
      <c r="BL89" s="483">
        <f>IF(WWWW[[#This Row],['#_of_functional_handwashing_facilities_at_HH_level]]*6&gt;WWWW[[#This Row],[Total PoP ]],WWWW[[#This Row],[Total PoP ]],WWWW[[#This Row],['#_of_functional_handwashing_facilities_at_HH_level]]*6)</f>
        <v>0</v>
      </c>
      <c r="BM89" s="478">
        <f>IF(WWWW[[#This Row],['# people reached by regular dedicated hygiene promotion]]&gt;WWWW[[#This Row],['# People received regular supply of hygiene items]],WWWW[[#This Row],['# people reached by regular dedicated hygiene promotion]],WWWW[[#This Row],['# People received regular supply of hygiene items]])</f>
        <v>658</v>
      </c>
      <c r="BN89" s="476">
        <f>IF(WWWW[[#This Row],[HRP3]]/WWWW[[#This Row],[Total PoP ]]&gt;100%,100%,WWWW[[#This Row],[HRP3]]/WWWW[[#This Row],[Total PoP ]])</f>
        <v>0.30350553505535055</v>
      </c>
      <c r="BO89" s="479">
        <f>1-WWWW[[#This Row],[Hygiene Coverage%]]</f>
        <v>0.69649446494464939</v>
      </c>
      <c r="BP89" s="477">
        <f>WWWW[[#This Row],['# people reached by regular dedicated hygiene promotion]]/WWWW[[#This Row],[Total PoP ]]</f>
        <v>0.30350553505535055</v>
      </c>
      <c r="BQ8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89" s="478">
        <f>WWWW[[#This Row],['#_of_affected_women_and_girls_receiving_a_sufficient_quantity_of_sanitary_pads]]</f>
        <v>0</v>
      </c>
      <c r="BS89" s="524">
        <f>IF(WWWW[[#This Row],['# People with access to soap]]&gt;WWWW[[#This Row],['# People with access to Sanity Pads]],WWWW[[#This Row],['# People with access to soap]],WWWW[[#This Row],['# People with access to Sanity Pads]])</f>
        <v>0</v>
      </c>
      <c r="BT89" s="483" t="str">
        <f>IF(OR(WWWW[[#This Row],['#of students in school]]="",WWWW[[#This Row],['#of students in school]]=0),"No","Yes")</f>
        <v>No</v>
      </c>
      <c r="BU89" s="480" t="str">
        <f>VLOOKUP(WWWW[[#This Row],[Village  Name]],SiteDB6[[Site Name]:[Location Type 1]],9,FALSE)</f>
        <v>Village</v>
      </c>
      <c r="BV89" s="480" t="str">
        <f>VLOOKUP(WWWW[[#This Row],[Village  Name]],SiteDB6[[Site Name]:[Type of Accommodation]],10,FALSE)</f>
        <v>Village</v>
      </c>
      <c r="BW89" s="480">
        <f>VLOOKUP(WWWW[[#This Row],[Village  Name]],SiteDB6[[Site Name]:[Ethnic or GCA/NGCA]],11,FALSE)</f>
        <v>0</v>
      </c>
      <c r="BX89" s="480">
        <f>VLOOKUP(WWWW[[#This Row],[Village  Name]],SiteDB6[[Site Name]:[Lat]],12,FALSE)</f>
        <v>20.246250152587901</v>
      </c>
      <c r="BY89" s="480">
        <f>VLOOKUP(WWWW[[#This Row],[Village  Name]],SiteDB6[[Site Name]:[Long]],13,FALSE)</f>
        <v>92.822059631347699</v>
      </c>
      <c r="BZ89" s="480">
        <f>VLOOKUP(WWWW[[#This Row],[Village  Name]],SiteDB6[[Site Name]:[Pcode]],3,FALSE)</f>
        <v>196160</v>
      </c>
      <c r="CA89" s="480" t="str">
        <f t="shared" si="4"/>
        <v>Covered</v>
      </c>
      <c r="CB89" s="505"/>
    </row>
    <row r="90" spans="1:80">
      <c r="A90" s="774" t="s">
        <v>3150</v>
      </c>
      <c r="B90" s="774" t="s">
        <v>314</v>
      </c>
      <c r="C90" s="415" t="s">
        <v>314</v>
      </c>
      <c r="D90" s="415" t="s">
        <v>307</v>
      </c>
      <c r="E90" s="415" t="s">
        <v>2648</v>
      </c>
      <c r="F90" s="415" t="s">
        <v>295</v>
      </c>
      <c r="G90" s="644" t="str">
        <f>VLOOKUP(WWWW[[#This Row],[Village  Name]],SiteDB6[[Site Name]:[Location Type]],8,FALSE)</f>
        <v>Village</v>
      </c>
      <c r="H90" s="415" t="s">
        <v>2589</v>
      </c>
      <c r="I90" s="524">
        <v>300</v>
      </c>
      <c r="J90" s="524">
        <v>1369</v>
      </c>
      <c r="K90" s="418">
        <v>42736</v>
      </c>
      <c r="L90" s="55">
        <v>44551</v>
      </c>
      <c r="M90" s="524"/>
      <c r="N90" s="524"/>
      <c r="O90" s="524">
        <v>8</v>
      </c>
      <c r="P90" s="524">
        <v>191</v>
      </c>
      <c r="Q90" s="524">
        <v>4</v>
      </c>
      <c r="R90" s="524"/>
      <c r="S90" s="524"/>
      <c r="T90" s="524"/>
      <c r="U90" s="551"/>
      <c r="V90" s="524">
        <v>219</v>
      </c>
      <c r="W90" s="524" t="s">
        <v>130</v>
      </c>
      <c r="X90" s="524"/>
      <c r="Y90" s="524"/>
      <c r="Z90" s="524"/>
      <c r="AA90" s="524"/>
      <c r="AB90" s="524"/>
      <c r="AC90" s="551"/>
      <c r="AD90" s="524">
        <v>127</v>
      </c>
      <c r="AE90" s="524">
        <v>398</v>
      </c>
      <c r="AF90" s="524">
        <v>44</v>
      </c>
      <c r="AG90" s="524">
        <v>78</v>
      </c>
      <c r="AH90" s="524"/>
      <c r="AI90" s="524"/>
      <c r="AJ90" s="524"/>
      <c r="AK90" s="524"/>
      <c r="AL90" s="524"/>
      <c r="AM90" s="524"/>
      <c r="AN90" s="551"/>
      <c r="AO90" s="477"/>
      <c r="AP90" s="477"/>
      <c r="AQ90" s="524"/>
      <c r="AR90" s="524"/>
      <c r="AS90" s="524"/>
      <c r="AT9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90" s="483">
        <f>WWWW[[#This Row],[%Equitable and continuous access to sufficient quantity of safe drinking water]]*WWWW[[#This Row],[Total PoP ]]</f>
        <v>1369</v>
      </c>
      <c r="AV9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90" s="483">
        <f>WWWW[[#This Row],[% Access to unimproved water points]]*WWWW[[#This Row],[Total PoP ]]</f>
        <v>1369</v>
      </c>
      <c r="AX9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9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1369</v>
      </c>
      <c r="AZ90" s="483">
        <f>WWWW[[#This Row],[HRP1]]/250</f>
        <v>5.476</v>
      </c>
      <c r="BA90" s="476">
        <f>1-WWWW[[#This Row],[% Equitable and continuous access to sufficient quantity of domestic water]]</f>
        <v>0</v>
      </c>
      <c r="BB90" s="483">
        <f>WWWW[[#This Row],[%equitable and continuous access to sufficient quantity of safe drinking and domestic water''s GAP]]*WWWW[[#This Row],[Total PoP ]]</f>
        <v>0</v>
      </c>
      <c r="BC90" s="478">
        <f>IF(WWWW[[#This Row],[Total required water points]]-WWWW[[#This Row],['#Water points coverage]]&lt;0,0,WWWW[[#This Row],[Total required water points]]-WWWW[[#This Row],['#Water points coverage]])</f>
        <v>0</v>
      </c>
      <c r="BD90" s="478">
        <f>ROUND(IF(WWWW[[#This Row],[Total PoP ]]&lt;250,1,WWWW[[#This Row],[Total PoP ]]/250),0)</f>
        <v>5</v>
      </c>
      <c r="BE9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0.95982468955441924</v>
      </c>
      <c r="BF90" s="483">
        <f>WWWW[[#This Row],[% people access to functioning Latrine]]*WWWW[[#This Row],[Total PoP ]]</f>
        <v>1314</v>
      </c>
      <c r="BG90" s="478">
        <f>WWWW[[#This Row],['#_of_Functioning_latrines_in_school]]*50</f>
        <v>0</v>
      </c>
      <c r="BH90" s="478">
        <f>ROUND((WWWW[[#This Row],[Total PoP ]]/6),0)</f>
        <v>228</v>
      </c>
      <c r="BI90" s="478">
        <f>IF(WWWW[[#This Row],[Total required Latrines]]-(WWWW[[#This Row],['#_of_sanitary_fly-proof_HH_latrines]])&lt;0,0,WWWW[[#This Row],[Total required Latrines]]-(WWWW[[#This Row],['#_of_sanitary_fly-proof_HH_latrines]]))</f>
        <v>9</v>
      </c>
      <c r="BJ90" s="479">
        <f>1-WWWW[[#This Row],[% people access to functioning Latrine]]</f>
        <v>4.0175310445580759E-2</v>
      </c>
      <c r="BK9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647</v>
      </c>
      <c r="BL90" s="483">
        <f>IF(WWWW[[#This Row],['#_of_functional_handwashing_facilities_at_HH_level]]*6&gt;WWWW[[#This Row],[Total PoP ]],WWWW[[#This Row],[Total PoP ]],WWWW[[#This Row],['#_of_functional_handwashing_facilities_at_HH_level]]*6)</f>
        <v>0</v>
      </c>
      <c r="BM90" s="478">
        <f>IF(WWWW[[#This Row],['# people reached by regular dedicated hygiene promotion]]&gt;WWWW[[#This Row],['# People received regular supply of hygiene items]],WWWW[[#This Row],['# people reached by regular dedicated hygiene promotion]],WWWW[[#This Row],['# People received regular supply of hygiene items]])</f>
        <v>647</v>
      </c>
      <c r="BN90" s="476">
        <f>IF(WWWW[[#This Row],[HRP3]]/WWWW[[#This Row],[Total PoP ]]&gt;100%,100%,WWWW[[#This Row],[HRP3]]/WWWW[[#This Row],[Total PoP ]])</f>
        <v>0.47260774287801316</v>
      </c>
      <c r="BO90" s="479">
        <f>1-WWWW[[#This Row],[Hygiene Coverage%]]</f>
        <v>0.5273922571219869</v>
      </c>
      <c r="BP90" s="477">
        <f>WWWW[[#This Row],['# people reached by regular dedicated hygiene promotion]]/WWWW[[#This Row],[Total PoP ]]</f>
        <v>0.47260774287801316</v>
      </c>
      <c r="BQ9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0" s="478">
        <f>WWWW[[#This Row],['#_of_affected_women_and_girls_receiving_a_sufficient_quantity_of_sanitary_pads]]</f>
        <v>0</v>
      </c>
      <c r="BS90" s="524">
        <f>IF(WWWW[[#This Row],['# People with access to soap]]&gt;WWWW[[#This Row],['# People with access to Sanity Pads]],WWWW[[#This Row],['# People with access to soap]],WWWW[[#This Row],['# People with access to Sanity Pads]])</f>
        <v>0</v>
      </c>
      <c r="BT90" s="483" t="str">
        <f>IF(OR(WWWW[[#This Row],['#of students in school]]="",WWWW[[#This Row],['#of students in school]]=0),"No","Yes")</f>
        <v>No</v>
      </c>
      <c r="BU90" s="480" t="str">
        <f>VLOOKUP(WWWW[[#This Row],[Village  Name]],SiteDB6[[Site Name]:[Location Type 1]],9,FALSE)</f>
        <v>Village</v>
      </c>
      <c r="BV90" s="480" t="str">
        <f>VLOOKUP(WWWW[[#This Row],[Village  Name]],SiteDB6[[Site Name]:[Type of Accommodation]],10,FALSE)</f>
        <v>Village</v>
      </c>
      <c r="BW90" s="480">
        <f>VLOOKUP(WWWW[[#This Row],[Village  Name]],SiteDB6[[Site Name]:[Ethnic or GCA/NGCA]],11,FALSE)</f>
        <v>0</v>
      </c>
      <c r="BX90" s="480">
        <f>VLOOKUP(WWWW[[#This Row],[Village  Name]],SiteDB6[[Site Name]:[Lat]],12,FALSE)</f>
        <v>20.239799499511701</v>
      </c>
      <c r="BY90" s="480">
        <f>VLOOKUP(WWWW[[#This Row],[Village  Name]],SiteDB6[[Site Name]:[Long]],13,FALSE)</f>
        <v>92.825088500976605</v>
      </c>
      <c r="BZ90" s="480">
        <f>VLOOKUP(WWWW[[#This Row],[Village  Name]],SiteDB6[[Site Name]:[Pcode]],3,FALSE)</f>
        <v>196131</v>
      </c>
      <c r="CA90" s="480" t="str">
        <f t="shared" si="4"/>
        <v>Covered</v>
      </c>
      <c r="CB90" s="505"/>
    </row>
    <row r="91" spans="1:80">
      <c r="A91" s="774" t="s">
        <v>3150</v>
      </c>
      <c r="B91" s="774" t="s">
        <v>314</v>
      </c>
      <c r="C91" s="415" t="s">
        <v>314</v>
      </c>
      <c r="D91" s="415" t="s">
        <v>327</v>
      </c>
      <c r="E91" s="415" t="s">
        <v>2648</v>
      </c>
      <c r="F91" s="415" t="s">
        <v>295</v>
      </c>
      <c r="G91" s="644" t="str">
        <f>VLOOKUP(WWWW[[#This Row],[Village  Name]],SiteDB6[[Site Name]:[Location Type]],8,FALSE)</f>
        <v>Village</v>
      </c>
      <c r="H91" s="415" t="s">
        <v>669</v>
      </c>
      <c r="I91" s="524">
        <v>331</v>
      </c>
      <c r="J91" s="524">
        <v>1473</v>
      </c>
      <c r="K91" s="418">
        <v>42736</v>
      </c>
      <c r="L91" s="55">
        <v>44551</v>
      </c>
      <c r="M91" s="524"/>
      <c r="N91" s="524"/>
      <c r="O91" s="524">
        <v>2</v>
      </c>
      <c r="P91" s="524">
        <v>68</v>
      </c>
      <c r="Q91" s="524">
        <v>2</v>
      </c>
      <c r="R91" s="524"/>
      <c r="S91" s="524"/>
      <c r="T91" s="524"/>
      <c r="U91" s="551"/>
      <c r="V91" s="524">
        <v>79</v>
      </c>
      <c r="W91" s="524" t="s">
        <v>130</v>
      </c>
      <c r="X91" s="524"/>
      <c r="Y91" s="524"/>
      <c r="Z91" s="524"/>
      <c r="AA91" s="524"/>
      <c r="AB91" s="524"/>
      <c r="AC91" s="551"/>
      <c r="AD91" s="524">
        <v>72</v>
      </c>
      <c r="AE91" s="524">
        <v>113</v>
      </c>
      <c r="AF91" s="524">
        <v>34</v>
      </c>
      <c r="AG91" s="524">
        <v>36</v>
      </c>
      <c r="AH91" s="524"/>
      <c r="AI91" s="524"/>
      <c r="AJ91" s="524"/>
      <c r="AK91" s="524"/>
      <c r="AL91" s="524"/>
      <c r="AM91" s="524"/>
      <c r="AN91" s="551"/>
      <c r="AO91" s="477"/>
      <c r="AP91" s="477"/>
      <c r="AQ91" s="524"/>
      <c r="AR91" s="524"/>
      <c r="AS91" s="524"/>
      <c r="AT9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91" s="483">
        <f>WWWW[[#This Row],[%Equitable and continuous access to sufficient quantity of safe drinking water]]*WWWW[[#This Row],[Total PoP ]]</f>
        <v>1473</v>
      </c>
      <c r="AV9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91" s="483">
        <f>WWWW[[#This Row],[% Access to unimproved water points]]*WWWW[[#This Row],[Total PoP ]]</f>
        <v>1473</v>
      </c>
      <c r="AX9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9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1473</v>
      </c>
      <c r="AZ91" s="483">
        <f>WWWW[[#This Row],[HRP1]]/250</f>
        <v>5.8920000000000003</v>
      </c>
      <c r="BA91" s="476">
        <f>1-WWWW[[#This Row],[% Equitable and continuous access to sufficient quantity of domestic water]]</f>
        <v>0</v>
      </c>
      <c r="BB91" s="483">
        <f>WWWW[[#This Row],[%equitable and continuous access to sufficient quantity of safe drinking and domestic water''s GAP]]*WWWW[[#This Row],[Total PoP ]]</f>
        <v>0</v>
      </c>
      <c r="BC91" s="478">
        <f>IF(WWWW[[#This Row],[Total required water points]]-WWWW[[#This Row],['#Water points coverage]]&lt;0,0,WWWW[[#This Row],[Total required water points]]-WWWW[[#This Row],['#Water points coverage]])</f>
        <v>0.10799999999999965</v>
      </c>
      <c r="BD91" s="478">
        <f>ROUND(IF(WWWW[[#This Row],[Total PoP ]]&lt;250,1,WWWW[[#This Row],[Total PoP ]]/250),0)</f>
        <v>6</v>
      </c>
      <c r="BE9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0.32179226069246436</v>
      </c>
      <c r="BF91" s="483">
        <f>WWWW[[#This Row],[% people access to functioning Latrine]]*WWWW[[#This Row],[Total PoP ]]</f>
        <v>474</v>
      </c>
      <c r="BG91" s="478">
        <f>WWWW[[#This Row],['#_of_Functioning_latrines_in_school]]*50</f>
        <v>0</v>
      </c>
      <c r="BH91" s="478">
        <f>ROUND((WWWW[[#This Row],[Total PoP ]]/6),0)</f>
        <v>246</v>
      </c>
      <c r="BI91" s="478">
        <f>IF(WWWW[[#This Row],[Total required Latrines]]-(WWWW[[#This Row],['#_of_sanitary_fly-proof_HH_latrines]])&lt;0,0,WWWW[[#This Row],[Total required Latrines]]-(WWWW[[#This Row],['#_of_sanitary_fly-proof_HH_latrines]]))</f>
        <v>167</v>
      </c>
      <c r="BJ91" s="479">
        <f>1-WWWW[[#This Row],[% people access to functioning Latrine]]</f>
        <v>0.67820773930753564</v>
      </c>
      <c r="BK9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255</v>
      </c>
      <c r="BL91" s="483">
        <f>IF(WWWW[[#This Row],['#_of_functional_handwashing_facilities_at_HH_level]]*6&gt;WWWW[[#This Row],[Total PoP ]],WWWW[[#This Row],[Total PoP ]],WWWW[[#This Row],['#_of_functional_handwashing_facilities_at_HH_level]]*6)</f>
        <v>0</v>
      </c>
      <c r="BM91" s="478">
        <f>IF(WWWW[[#This Row],['# people reached by regular dedicated hygiene promotion]]&gt;WWWW[[#This Row],['# People received regular supply of hygiene items]],WWWW[[#This Row],['# people reached by regular dedicated hygiene promotion]],WWWW[[#This Row],['# People received regular supply of hygiene items]])</f>
        <v>255</v>
      </c>
      <c r="BN91" s="476">
        <f>IF(WWWW[[#This Row],[HRP3]]/WWWW[[#This Row],[Total PoP ]]&gt;100%,100%,WWWW[[#This Row],[HRP3]]/WWWW[[#This Row],[Total PoP ]])</f>
        <v>0.17311608961303462</v>
      </c>
      <c r="BO91" s="479">
        <f>1-WWWW[[#This Row],[Hygiene Coverage%]]</f>
        <v>0.8268839103869654</v>
      </c>
      <c r="BP91" s="477">
        <f>WWWW[[#This Row],['# people reached by regular dedicated hygiene promotion]]/WWWW[[#This Row],[Total PoP ]]</f>
        <v>0.17311608961303462</v>
      </c>
      <c r="BQ9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1" s="478">
        <f>WWWW[[#This Row],['#_of_affected_women_and_girls_receiving_a_sufficient_quantity_of_sanitary_pads]]</f>
        <v>0</v>
      </c>
      <c r="BS91" s="524">
        <f>IF(WWWW[[#This Row],['# People with access to soap]]&gt;WWWW[[#This Row],['# People with access to Sanity Pads]],WWWW[[#This Row],['# People with access to soap]],WWWW[[#This Row],['# People with access to Sanity Pads]])</f>
        <v>0</v>
      </c>
      <c r="BT91" s="483" t="str">
        <f>IF(OR(WWWW[[#This Row],['#of students in school]]="",WWWW[[#This Row],['#of students in school]]=0),"No","Yes")</f>
        <v>No</v>
      </c>
      <c r="BU91" s="480" t="str">
        <f>VLOOKUP(WWWW[[#This Row],[Village  Name]],SiteDB6[[Site Name]:[Location Type 1]],9,FALSE)</f>
        <v>Village</v>
      </c>
      <c r="BV91" s="480" t="str">
        <f>VLOOKUP(WWWW[[#This Row],[Village  Name]],SiteDB6[[Site Name]:[Type of Accommodation]],10,FALSE)</f>
        <v>Village</v>
      </c>
      <c r="BW91" s="480">
        <f>VLOOKUP(WWWW[[#This Row],[Village  Name]],SiteDB6[[Site Name]:[Ethnic or GCA/NGCA]],11,FALSE)</f>
        <v>0</v>
      </c>
      <c r="BX91" s="480">
        <f>VLOOKUP(WWWW[[#This Row],[Village  Name]],SiteDB6[[Site Name]:[Lat]],12,FALSE)</f>
        <v>20.128850936889599</v>
      </c>
      <c r="BY91" s="480">
        <f>VLOOKUP(WWWW[[#This Row],[Village  Name]],SiteDB6[[Site Name]:[Long]],13,FALSE)</f>
        <v>92.872497558593807</v>
      </c>
      <c r="BZ91" s="480">
        <f>VLOOKUP(WWWW[[#This Row],[Village  Name]],SiteDB6[[Site Name]:[Pcode]],3,FALSE)</f>
        <v>196208</v>
      </c>
      <c r="CA91" s="480" t="str">
        <f t="shared" si="4"/>
        <v>Covered</v>
      </c>
      <c r="CB91" s="505"/>
    </row>
    <row r="92" spans="1:80">
      <c r="A92" s="774" t="s">
        <v>3150</v>
      </c>
      <c r="B92" s="774" t="s">
        <v>2282</v>
      </c>
      <c r="C92" s="415" t="s">
        <v>2282</v>
      </c>
      <c r="D92" s="415" t="s">
        <v>39</v>
      </c>
      <c r="E92" s="415" t="s">
        <v>2648</v>
      </c>
      <c r="F92" s="415" t="s">
        <v>295</v>
      </c>
      <c r="G92" s="644" t="str">
        <f>VLOOKUP(WWWW[[#This Row],[Village  Name]],SiteDB6[[Site Name]:[Location Type]],8,FALSE)</f>
        <v>Village</v>
      </c>
      <c r="H92" s="415" t="s">
        <v>436</v>
      </c>
      <c r="I92" s="524">
        <v>200</v>
      </c>
      <c r="J92" s="524">
        <v>1065</v>
      </c>
      <c r="K92" s="418">
        <v>43009</v>
      </c>
      <c r="L92" s="55">
        <v>44104</v>
      </c>
      <c r="M92" s="524"/>
      <c r="N92" s="524">
        <v>0</v>
      </c>
      <c r="O92" s="524"/>
      <c r="P92" s="524"/>
      <c r="Q92" s="524"/>
      <c r="R92" s="524"/>
      <c r="S92" s="524"/>
      <c r="T92" s="524"/>
      <c r="U92" s="551"/>
      <c r="V92" s="524"/>
      <c r="W92" s="524"/>
      <c r="X92" s="524"/>
      <c r="Y92" s="524"/>
      <c r="Z92" s="524"/>
      <c r="AA92" s="524"/>
      <c r="AB92" s="524"/>
      <c r="AC92" s="551"/>
      <c r="AD92" s="524"/>
      <c r="AE92" s="524"/>
      <c r="AF92" s="524"/>
      <c r="AG92" s="524"/>
      <c r="AH92" s="524">
        <v>218</v>
      </c>
      <c r="AI92" s="524">
        <v>213</v>
      </c>
      <c r="AJ92" s="524"/>
      <c r="AK92" s="524"/>
      <c r="AL92" s="524"/>
      <c r="AM92" s="524"/>
      <c r="AN92" s="551"/>
      <c r="AO92" s="477"/>
      <c r="AP92" s="477"/>
      <c r="AQ92" s="524"/>
      <c r="AR92" s="524"/>
      <c r="AS92" s="524"/>
      <c r="AT9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92" s="483">
        <f>WWWW[[#This Row],[%Equitable and continuous access to sufficient quantity of safe drinking water]]*WWWW[[#This Row],[Total PoP ]]</f>
        <v>0</v>
      </c>
      <c r="AV9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92" s="483">
        <f>WWWW[[#This Row],[% Access to unimproved water points]]*WWWW[[#This Row],[Total PoP ]]</f>
        <v>0</v>
      </c>
      <c r="AX9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9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92" s="483">
        <f>WWWW[[#This Row],[HRP1]]/250</f>
        <v>0</v>
      </c>
      <c r="BA92" s="476">
        <f>1-WWWW[[#This Row],[% Equitable and continuous access to sufficient quantity of domestic water]]</f>
        <v>1</v>
      </c>
      <c r="BB92" s="483">
        <f>WWWW[[#This Row],[%equitable and continuous access to sufficient quantity of safe drinking and domestic water''s GAP]]*WWWW[[#This Row],[Total PoP ]]</f>
        <v>1065</v>
      </c>
      <c r="BC92" s="478">
        <f>IF(WWWW[[#This Row],[Total required water points]]-WWWW[[#This Row],['#Water points coverage]]&lt;0,0,WWWW[[#This Row],[Total required water points]]-WWWW[[#This Row],['#Water points coverage]])</f>
        <v>4</v>
      </c>
      <c r="BD92" s="478">
        <f>ROUND(IF(WWWW[[#This Row],[Total PoP ]]&lt;250,1,WWWW[[#This Row],[Total PoP ]]/250),0)</f>
        <v>4</v>
      </c>
      <c r="BE9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92" s="483">
        <f>WWWW[[#This Row],[% people access to functioning Latrine]]*WWWW[[#This Row],[Total PoP ]]</f>
        <v>0</v>
      </c>
      <c r="BG92" s="478">
        <f>WWWW[[#This Row],['#_of_Functioning_latrines_in_school]]*50</f>
        <v>0</v>
      </c>
      <c r="BH92" s="478">
        <f>ROUND((WWWW[[#This Row],[Total PoP ]]/6),0)</f>
        <v>178</v>
      </c>
      <c r="BI92" s="478">
        <f>IF(WWWW[[#This Row],[Total required Latrines]]-(WWWW[[#This Row],['#_of_sanitary_fly-proof_HH_latrines]])&lt;0,0,WWWW[[#This Row],[Total required Latrines]]-(WWWW[[#This Row],['#_of_sanitary_fly-proof_HH_latrines]]))</f>
        <v>178</v>
      </c>
      <c r="BJ92" s="479">
        <f>1-WWWW[[#This Row],[% people access to functioning Latrine]]</f>
        <v>1</v>
      </c>
      <c r="BK9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431</v>
      </c>
      <c r="BL92" s="483">
        <f>IF(WWWW[[#This Row],['#_of_functional_handwashing_facilities_at_HH_level]]*6&gt;WWWW[[#This Row],[Total PoP ]],WWWW[[#This Row],[Total PoP ]],WWWW[[#This Row],['#_of_functional_handwashing_facilities_at_HH_level]]*6)</f>
        <v>0</v>
      </c>
      <c r="BM92" s="478">
        <f>IF(WWWW[[#This Row],['# people reached by regular dedicated hygiene promotion]]&gt;WWWW[[#This Row],['# People received regular supply of hygiene items]],WWWW[[#This Row],['# people reached by regular dedicated hygiene promotion]],WWWW[[#This Row],['# People received regular supply of hygiene items]])</f>
        <v>431</v>
      </c>
      <c r="BN92" s="476">
        <f>IF(WWWW[[#This Row],[HRP3]]/WWWW[[#This Row],[Total PoP ]]&gt;100%,100%,WWWW[[#This Row],[HRP3]]/WWWW[[#This Row],[Total PoP ]])</f>
        <v>0.40469483568075115</v>
      </c>
      <c r="BO92" s="479">
        <f>1-WWWW[[#This Row],[Hygiene Coverage%]]</f>
        <v>0.59530516431924885</v>
      </c>
      <c r="BP92" s="477">
        <f>WWWW[[#This Row],['# people reached by regular dedicated hygiene promotion]]/WWWW[[#This Row],[Total PoP ]]</f>
        <v>0.40469483568075115</v>
      </c>
      <c r="BQ9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2" s="478">
        <f>WWWW[[#This Row],['#_of_affected_women_and_girls_receiving_a_sufficient_quantity_of_sanitary_pads]]</f>
        <v>0</v>
      </c>
      <c r="BS92" s="524">
        <f>IF(WWWW[[#This Row],['# People with access to soap]]&gt;WWWW[[#This Row],['# People with access to Sanity Pads]],WWWW[[#This Row],['# People with access to soap]],WWWW[[#This Row],['# People with access to Sanity Pads]])</f>
        <v>0</v>
      </c>
      <c r="BT92" s="483" t="str">
        <f>IF(OR(WWWW[[#This Row],['#of students in school]]="",WWWW[[#This Row],['#of students in school]]=0),"No","Yes")</f>
        <v>No</v>
      </c>
      <c r="BU92" s="480" t="str">
        <f>VLOOKUP(WWWW[[#This Row],[Village  Name]],SiteDB6[[Site Name]:[Location Type 1]],9,FALSE)</f>
        <v>Village</v>
      </c>
      <c r="BV92" s="480" t="str">
        <f>VLOOKUP(WWWW[[#This Row],[Village  Name]],SiteDB6[[Site Name]:[Type of Accommodation]],10,FALSE)</f>
        <v>Village</v>
      </c>
      <c r="BW92" s="480" t="str">
        <f>VLOOKUP(WWWW[[#This Row],[Village  Name]],SiteDB6[[Site Name]:[Ethnic or GCA/NGCA]],11,FALSE)</f>
        <v>Muslim</v>
      </c>
      <c r="BX92" s="480">
        <f>VLOOKUP(WWWW[[#This Row],[Village  Name]],SiteDB6[[Site Name]:[Lat]],12,FALSE)</f>
        <v>20.197549819999999</v>
      </c>
      <c r="BY92" s="480">
        <f>VLOOKUP(WWWW[[#This Row],[Village  Name]],SiteDB6[[Site Name]:[Long]],13,FALSE)</f>
        <v>92.785682679999994</v>
      </c>
      <c r="BZ92" s="480">
        <f>VLOOKUP(WWWW[[#This Row],[Village  Name]],SiteDB6[[Site Name]:[Pcode]],3,FALSE)</f>
        <v>196156</v>
      </c>
      <c r="CA92" s="480" t="str">
        <f t="shared" si="4"/>
        <v>Covered</v>
      </c>
      <c r="CB92" s="505"/>
    </row>
    <row r="93" spans="1:80">
      <c r="A93" s="774" t="s">
        <v>3150</v>
      </c>
      <c r="B93" s="774" t="s">
        <v>314</v>
      </c>
      <c r="C93" s="415" t="s">
        <v>314</v>
      </c>
      <c r="D93" s="415" t="s">
        <v>307</v>
      </c>
      <c r="E93" s="415" t="s">
        <v>2648</v>
      </c>
      <c r="F93" s="415" t="s">
        <v>295</v>
      </c>
      <c r="G93" s="644" t="str">
        <f>VLOOKUP(WWWW[[#This Row],[Village  Name]],SiteDB6[[Site Name]:[Location Type]],8,FALSE)</f>
        <v>Village</v>
      </c>
      <c r="H93" s="415" t="s">
        <v>2590</v>
      </c>
      <c r="I93" s="524">
        <v>326</v>
      </c>
      <c r="J93" s="524">
        <v>4476</v>
      </c>
      <c r="K93" s="418">
        <v>42736</v>
      </c>
      <c r="L93" s="55">
        <v>44551</v>
      </c>
      <c r="M93" s="524"/>
      <c r="N93" s="524"/>
      <c r="O93" s="524">
        <v>5</v>
      </c>
      <c r="P93" s="524">
        <v>153</v>
      </c>
      <c r="Q93" s="524">
        <v>5</v>
      </c>
      <c r="R93" s="524"/>
      <c r="S93" s="524"/>
      <c r="T93" s="524"/>
      <c r="U93" s="551"/>
      <c r="V93" s="524">
        <v>217</v>
      </c>
      <c r="W93" s="524" t="s">
        <v>130</v>
      </c>
      <c r="X93" s="524"/>
      <c r="Y93" s="524"/>
      <c r="Z93" s="524"/>
      <c r="AA93" s="524"/>
      <c r="AB93" s="524"/>
      <c r="AC93" s="551"/>
      <c r="AD93" s="524">
        <v>96</v>
      </c>
      <c r="AE93" s="524">
        <v>411</v>
      </c>
      <c r="AF93" s="524">
        <v>97</v>
      </c>
      <c r="AG93" s="524">
        <v>119</v>
      </c>
      <c r="AH93" s="524"/>
      <c r="AI93" s="524"/>
      <c r="AJ93" s="524"/>
      <c r="AK93" s="524"/>
      <c r="AL93" s="524"/>
      <c r="AM93" s="524"/>
      <c r="AN93" s="551"/>
      <c r="AO93" s="477"/>
      <c r="AP93" s="477"/>
      <c r="AQ93" s="524"/>
      <c r="AR93" s="524"/>
      <c r="AS93" s="524"/>
      <c r="AT9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93" s="483">
        <f>WWWW[[#This Row],[%Equitable and continuous access to sufficient quantity of safe drinking water]]*WWWW[[#This Row],[Total PoP ]]</f>
        <v>4476</v>
      </c>
      <c r="AV9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93" s="483">
        <f>WWWW[[#This Row],[% Access to unimproved water points]]*WWWW[[#This Row],[Total PoP ]]</f>
        <v>4476</v>
      </c>
      <c r="AX9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9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4476</v>
      </c>
      <c r="AZ93" s="483">
        <f>WWWW[[#This Row],[HRP1]]/250</f>
        <v>17.904</v>
      </c>
      <c r="BA93" s="476">
        <f>1-WWWW[[#This Row],[% Equitable and continuous access to sufficient quantity of domestic water]]</f>
        <v>0</v>
      </c>
      <c r="BB93" s="483">
        <f>WWWW[[#This Row],[%equitable and continuous access to sufficient quantity of safe drinking and domestic water''s GAP]]*WWWW[[#This Row],[Total PoP ]]</f>
        <v>0</v>
      </c>
      <c r="BC93" s="478">
        <f>IF(WWWW[[#This Row],[Total required water points]]-WWWW[[#This Row],['#Water points coverage]]&lt;0,0,WWWW[[#This Row],[Total required water points]]-WWWW[[#This Row],['#Water points coverage]])</f>
        <v>9.6000000000000085E-2</v>
      </c>
      <c r="BD93" s="478">
        <f>ROUND(IF(WWWW[[#This Row],[Total PoP ]]&lt;250,1,WWWW[[#This Row],[Total PoP ]]/250),0)</f>
        <v>18</v>
      </c>
      <c r="BE9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0.29088471849865954</v>
      </c>
      <c r="BF93" s="483">
        <f>WWWW[[#This Row],[% people access to functioning Latrine]]*WWWW[[#This Row],[Total PoP ]]</f>
        <v>1302.0000000000002</v>
      </c>
      <c r="BG93" s="478">
        <f>WWWW[[#This Row],['#_of_Functioning_latrines_in_school]]*50</f>
        <v>0</v>
      </c>
      <c r="BH93" s="478">
        <f>ROUND((WWWW[[#This Row],[Total PoP ]]/6),0)</f>
        <v>746</v>
      </c>
      <c r="BI93" s="478">
        <f>IF(WWWW[[#This Row],[Total required Latrines]]-(WWWW[[#This Row],['#_of_sanitary_fly-proof_HH_latrines]])&lt;0,0,WWWW[[#This Row],[Total required Latrines]]-(WWWW[[#This Row],['#_of_sanitary_fly-proof_HH_latrines]]))</f>
        <v>529</v>
      </c>
      <c r="BJ93" s="479">
        <f>1-WWWW[[#This Row],[% people access to functioning Latrine]]</f>
        <v>0.7091152815013404</v>
      </c>
      <c r="BK9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723</v>
      </c>
      <c r="BL93" s="483">
        <f>IF(WWWW[[#This Row],['#_of_functional_handwashing_facilities_at_HH_level]]*6&gt;WWWW[[#This Row],[Total PoP ]],WWWW[[#This Row],[Total PoP ]],WWWW[[#This Row],['#_of_functional_handwashing_facilities_at_HH_level]]*6)</f>
        <v>0</v>
      </c>
      <c r="BM93" s="478">
        <f>IF(WWWW[[#This Row],['# people reached by regular dedicated hygiene promotion]]&gt;WWWW[[#This Row],['# People received regular supply of hygiene items]],WWWW[[#This Row],['# people reached by regular dedicated hygiene promotion]],WWWW[[#This Row],['# People received regular supply of hygiene items]])</f>
        <v>723</v>
      </c>
      <c r="BN93" s="476">
        <f>IF(WWWW[[#This Row],[HRP3]]/WWWW[[#This Row],[Total PoP ]]&gt;100%,100%,WWWW[[#This Row],[HRP3]]/WWWW[[#This Row],[Total PoP ]])</f>
        <v>0.16152815013404825</v>
      </c>
      <c r="BO93" s="479">
        <f>1-WWWW[[#This Row],[Hygiene Coverage%]]</f>
        <v>0.8384718498659518</v>
      </c>
      <c r="BP93" s="477">
        <f>WWWW[[#This Row],['# people reached by regular dedicated hygiene promotion]]/WWWW[[#This Row],[Total PoP ]]</f>
        <v>0.16152815013404825</v>
      </c>
      <c r="BQ9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3" s="478">
        <f>WWWW[[#This Row],['#_of_affected_women_and_girls_receiving_a_sufficient_quantity_of_sanitary_pads]]</f>
        <v>0</v>
      </c>
      <c r="BS93" s="524">
        <f>IF(WWWW[[#This Row],['# People with access to soap]]&gt;WWWW[[#This Row],['# People with access to Sanity Pads]],WWWW[[#This Row],['# People with access to soap]],WWWW[[#This Row],['# People with access to Sanity Pads]])</f>
        <v>0</v>
      </c>
      <c r="BT93" s="483" t="str">
        <f>IF(OR(WWWW[[#This Row],['#of students in school]]="",WWWW[[#This Row],['#of students in school]]=0),"No","Yes")</f>
        <v>No</v>
      </c>
      <c r="BU93" s="480" t="str">
        <f>VLOOKUP(WWWW[[#This Row],[Village  Name]],SiteDB6[[Site Name]:[Location Type 1]],9,FALSE)</f>
        <v>Village</v>
      </c>
      <c r="BV93" s="480" t="str">
        <f>VLOOKUP(WWWW[[#This Row],[Village  Name]],SiteDB6[[Site Name]:[Type of Accommodation]],10,FALSE)</f>
        <v>Village</v>
      </c>
      <c r="BW93" s="480">
        <f>VLOOKUP(WWWW[[#This Row],[Village  Name]],SiteDB6[[Site Name]:[Ethnic or GCA/NGCA]],11,FALSE)</f>
        <v>0</v>
      </c>
      <c r="BX93" s="480">
        <f>VLOOKUP(WWWW[[#This Row],[Village  Name]],SiteDB6[[Site Name]:[Lat]],12,FALSE)</f>
        <v>20.142469406127901</v>
      </c>
      <c r="BY93" s="480">
        <f>VLOOKUP(WWWW[[#This Row],[Village  Name]],SiteDB6[[Site Name]:[Long]],13,FALSE)</f>
        <v>92.863967895507798</v>
      </c>
      <c r="BZ93" s="480">
        <f>VLOOKUP(WWWW[[#This Row],[Village  Name]],SiteDB6[[Site Name]:[Pcode]],3,FALSE)</f>
        <v>196203</v>
      </c>
      <c r="CA93" s="480" t="str">
        <f t="shared" si="4"/>
        <v>Covered</v>
      </c>
      <c r="CB93" s="505"/>
    </row>
    <row r="94" spans="1:80">
      <c r="A94" s="774" t="s">
        <v>3150</v>
      </c>
      <c r="B94" s="774" t="s">
        <v>314</v>
      </c>
      <c r="C94" s="415" t="s">
        <v>314</v>
      </c>
      <c r="D94" s="415" t="s">
        <v>307</v>
      </c>
      <c r="E94" s="415" t="s">
        <v>2648</v>
      </c>
      <c r="F94" s="415" t="s">
        <v>295</v>
      </c>
      <c r="G94" s="644" t="str">
        <f>VLOOKUP(WWWW[[#This Row],[Village  Name]],SiteDB6[[Site Name]:[Location Type]],8,FALSE)</f>
        <v>Village</v>
      </c>
      <c r="H94" s="415" t="s">
        <v>2591</v>
      </c>
      <c r="I94" s="524">
        <v>335</v>
      </c>
      <c r="J94" s="524">
        <v>1867</v>
      </c>
      <c r="K94" s="418">
        <v>42736</v>
      </c>
      <c r="L94" s="55">
        <v>44551</v>
      </c>
      <c r="M94" s="524"/>
      <c r="N94" s="524"/>
      <c r="O94" s="524">
        <v>14</v>
      </c>
      <c r="P94" s="524">
        <v>113</v>
      </c>
      <c r="Q94" s="524">
        <v>4</v>
      </c>
      <c r="R94" s="524"/>
      <c r="S94" s="524"/>
      <c r="T94" s="524"/>
      <c r="U94" s="551"/>
      <c r="V94" s="524">
        <v>210</v>
      </c>
      <c r="W94" s="524" t="s">
        <v>130</v>
      </c>
      <c r="X94" s="524"/>
      <c r="Y94" s="524"/>
      <c r="Z94" s="524"/>
      <c r="AA94" s="524"/>
      <c r="AB94" s="524"/>
      <c r="AC94" s="551"/>
      <c r="AD94" s="524">
        <v>217</v>
      </c>
      <c r="AE94" s="524">
        <v>299</v>
      </c>
      <c r="AF94" s="524">
        <v>89</v>
      </c>
      <c r="AG94" s="524">
        <v>87</v>
      </c>
      <c r="AH94" s="524"/>
      <c r="AI94" s="524"/>
      <c r="AJ94" s="524"/>
      <c r="AK94" s="524"/>
      <c r="AL94" s="524"/>
      <c r="AM94" s="524"/>
      <c r="AN94" s="551"/>
      <c r="AO94" s="477"/>
      <c r="AP94" s="477"/>
      <c r="AQ94" s="524"/>
      <c r="AR94" s="524"/>
      <c r="AS94" s="524"/>
      <c r="AT9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94" s="483">
        <f>WWWW[[#This Row],[%Equitable and continuous access to sufficient quantity of safe drinking water]]*WWWW[[#This Row],[Total PoP ]]</f>
        <v>1867</v>
      </c>
      <c r="AV9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94" s="483">
        <f>WWWW[[#This Row],[% Access to unimproved water points]]*WWWW[[#This Row],[Total PoP ]]</f>
        <v>1867</v>
      </c>
      <c r="AX9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9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1867</v>
      </c>
      <c r="AZ94" s="483">
        <f>WWWW[[#This Row],[HRP1]]/250</f>
        <v>7.468</v>
      </c>
      <c r="BA94" s="476">
        <f>1-WWWW[[#This Row],[% Equitable and continuous access to sufficient quantity of domestic water]]</f>
        <v>0</v>
      </c>
      <c r="BB94" s="483">
        <f>WWWW[[#This Row],[%equitable and continuous access to sufficient quantity of safe drinking and domestic water''s GAP]]*WWWW[[#This Row],[Total PoP ]]</f>
        <v>0</v>
      </c>
      <c r="BC94" s="478">
        <f>IF(WWWW[[#This Row],[Total required water points]]-WWWW[[#This Row],['#Water points coverage]]&lt;0,0,WWWW[[#This Row],[Total required water points]]-WWWW[[#This Row],['#Water points coverage]])</f>
        <v>0</v>
      </c>
      <c r="BD94" s="478">
        <f>ROUND(IF(WWWW[[#This Row],[Total PoP ]]&lt;250,1,WWWW[[#This Row],[Total PoP ]]/250),0)</f>
        <v>7</v>
      </c>
      <c r="BE9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0.67487948580610602</v>
      </c>
      <c r="BF94" s="483">
        <f>WWWW[[#This Row],[% people access to functioning Latrine]]*WWWW[[#This Row],[Total PoP ]]</f>
        <v>1260</v>
      </c>
      <c r="BG94" s="478">
        <f>WWWW[[#This Row],['#_of_Functioning_latrines_in_school]]*50</f>
        <v>0</v>
      </c>
      <c r="BH94" s="478">
        <f>ROUND((WWWW[[#This Row],[Total PoP ]]/6),0)</f>
        <v>311</v>
      </c>
      <c r="BI94" s="478">
        <f>IF(WWWW[[#This Row],[Total required Latrines]]-(WWWW[[#This Row],['#_of_sanitary_fly-proof_HH_latrines]])&lt;0,0,WWWW[[#This Row],[Total required Latrines]]-(WWWW[[#This Row],['#_of_sanitary_fly-proof_HH_latrines]]))</f>
        <v>101</v>
      </c>
      <c r="BJ94" s="479">
        <f>1-WWWW[[#This Row],[% people access to functioning Latrine]]</f>
        <v>0.32512051419389398</v>
      </c>
      <c r="BK9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692</v>
      </c>
      <c r="BL94" s="483">
        <f>IF(WWWW[[#This Row],['#_of_functional_handwashing_facilities_at_HH_level]]*6&gt;WWWW[[#This Row],[Total PoP ]],WWWW[[#This Row],[Total PoP ]],WWWW[[#This Row],['#_of_functional_handwashing_facilities_at_HH_level]]*6)</f>
        <v>0</v>
      </c>
      <c r="BM94" s="478">
        <f>IF(WWWW[[#This Row],['# people reached by regular dedicated hygiene promotion]]&gt;WWWW[[#This Row],['# People received regular supply of hygiene items]],WWWW[[#This Row],['# people reached by regular dedicated hygiene promotion]],WWWW[[#This Row],['# People received regular supply of hygiene items]])</f>
        <v>692</v>
      </c>
      <c r="BN94" s="476">
        <f>IF(WWWW[[#This Row],[HRP3]]/WWWW[[#This Row],[Total PoP ]]&gt;100%,100%,WWWW[[#This Row],[HRP3]]/WWWW[[#This Row],[Total PoP ]])</f>
        <v>0.37064809855382969</v>
      </c>
      <c r="BO94" s="479">
        <f>1-WWWW[[#This Row],[Hygiene Coverage%]]</f>
        <v>0.62935190144617037</v>
      </c>
      <c r="BP94" s="477">
        <f>WWWW[[#This Row],['# people reached by regular dedicated hygiene promotion]]/WWWW[[#This Row],[Total PoP ]]</f>
        <v>0.37064809855382969</v>
      </c>
      <c r="BQ9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4" s="478">
        <f>WWWW[[#This Row],['#_of_affected_women_and_girls_receiving_a_sufficient_quantity_of_sanitary_pads]]</f>
        <v>0</v>
      </c>
      <c r="BS94" s="524">
        <f>IF(WWWW[[#This Row],['# People with access to soap]]&gt;WWWW[[#This Row],['# People with access to Sanity Pads]],WWWW[[#This Row],['# People with access to soap]],WWWW[[#This Row],['# People with access to Sanity Pads]])</f>
        <v>0</v>
      </c>
      <c r="BT94" s="483" t="str">
        <f>IF(OR(WWWW[[#This Row],['#of students in school]]="",WWWW[[#This Row],['#of students in school]]=0),"No","Yes")</f>
        <v>No</v>
      </c>
      <c r="BU94" s="480" t="str">
        <f>VLOOKUP(WWWW[[#This Row],[Village  Name]],SiteDB6[[Site Name]:[Location Type 1]],9,FALSE)</f>
        <v>Village</v>
      </c>
      <c r="BV94" s="480" t="str">
        <f>VLOOKUP(WWWW[[#This Row],[Village  Name]],SiteDB6[[Site Name]:[Type of Accommodation]],10,FALSE)</f>
        <v>Village</v>
      </c>
      <c r="BW94" s="480">
        <f>VLOOKUP(WWWW[[#This Row],[Village  Name]],SiteDB6[[Site Name]:[Ethnic or GCA/NGCA]],11,FALSE)</f>
        <v>0</v>
      </c>
      <c r="BX94" s="480">
        <f>VLOOKUP(WWWW[[#This Row],[Village  Name]],SiteDB6[[Site Name]:[Lat]],12,FALSE)</f>
        <v>20.170469284057599</v>
      </c>
      <c r="BY94" s="480">
        <f>VLOOKUP(WWWW[[#This Row],[Village  Name]],SiteDB6[[Site Name]:[Long]],13,FALSE)</f>
        <v>92.8343505859375</v>
      </c>
      <c r="BZ94" s="480">
        <f>VLOOKUP(WWWW[[#This Row],[Village  Name]],SiteDB6[[Site Name]:[Pcode]],3,FALSE)</f>
        <v>196202</v>
      </c>
      <c r="CA94" s="480" t="str">
        <f t="shared" si="4"/>
        <v>Covered</v>
      </c>
      <c r="CB94" s="505"/>
    </row>
    <row r="95" spans="1:80">
      <c r="A95" s="774" t="s">
        <v>3150</v>
      </c>
      <c r="B95" s="774" t="s">
        <v>314</v>
      </c>
      <c r="C95" s="415" t="s">
        <v>314</v>
      </c>
      <c r="D95" s="415" t="s">
        <v>307</v>
      </c>
      <c r="E95" s="415" t="s">
        <v>2648</v>
      </c>
      <c r="F95" s="415" t="s">
        <v>295</v>
      </c>
      <c r="G95" s="644" t="str">
        <f>VLOOKUP(WWWW[[#This Row],[Village  Name]],SiteDB6[[Site Name]:[Location Type]],8,FALSE)</f>
        <v>Village</v>
      </c>
      <c r="H95" s="415" t="s">
        <v>1743</v>
      </c>
      <c r="I95" s="524">
        <v>863</v>
      </c>
      <c r="J95" s="524">
        <v>3768</v>
      </c>
      <c r="K95" s="418">
        <v>42736</v>
      </c>
      <c r="L95" s="55">
        <v>44551</v>
      </c>
      <c r="M95" s="524"/>
      <c r="N95" s="524"/>
      <c r="O95" s="524">
        <v>19</v>
      </c>
      <c r="P95" s="524">
        <v>128</v>
      </c>
      <c r="Q95" s="524">
        <v>6</v>
      </c>
      <c r="R95" s="524"/>
      <c r="S95" s="524"/>
      <c r="T95" s="524"/>
      <c r="U95" s="551"/>
      <c r="V95" s="524">
        <v>199</v>
      </c>
      <c r="W95" s="524" t="s">
        <v>130</v>
      </c>
      <c r="X95" s="524"/>
      <c r="Y95" s="524"/>
      <c r="Z95" s="524"/>
      <c r="AA95" s="524"/>
      <c r="AB95" s="524"/>
      <c r="AC95" s="551"/>
      <c r="AD95" s="524">
        <v>151</v>
      </c>
      <c r="AE95" s="524">
        <v>395</v>
      </c>
      <c r="AF95" s="524">
        <v>17</v>
      </c>
      <c r="AG95" s="524">
        <v>54</v>
      </c>
      <c r="AH95" s="524"/>
      <c r="AI95" s="524"/>
      <c r="AJ95" s="524"/>
      <c r="AK95" s="524"/>
      <c r="AL95" s="524"/>
      <c r="AM95" s="524"/>
      <c r="AN95" s="551"/>
      <c r="AO95" s="477"/>
      <c r="AP95" s="477"/>
      <c r="AQ95" s="524"/>
      <c r="AR95" s="524"/>
      <c r="AS95" s="524"/>
      <c r="AT9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95" s="483">
        <f>WWWW[[#This Row],[%Equitable and continuous access to sufficient quantity of safe drinking water]]*WWWW[[#This Row],[Total PoP ]]</f>
        <v>3768</v>
      </c>
      <c r="AV9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95" s="483">
        <f>WWWW[[#This Row],[% Access to unimproved water points]]*WWWW[[#This Row],[Total PoP ]]</f>
        <v>3768</v>
      </c>
      <c r="AX9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9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3768</v>
      </c>
      <c r="AZ95" s="483">
        <f>WWWW[[#This Row],[HRP1]]/250</f>
        <v>15.071999999999999</v>
      </c>
      <c r="BA95" s="476">
        <f>1-WWWW[[#This Row],[% Equitable and continuous access to sufficient quantity of domestic water]]</f>
        <v>0</v>
      </c>
      <c r="BB95" s="483">
        <f>WWWW[[#This Row],[%equitable and continuous access to sufficient quantity of safe drinking and domestic water''s GAP]]*WWWW[[#This Row],[Total PoP ]]</f>
        <v>0</v>
      </c>
      <c r="BC95" s="478">
        <f>IF(WWWW[[#This Row],[Total required water points]]-WWWW[[#This Row],['#Water points coverage]]&lt;0,0,WWWW[[#This Row],[Total required water points]]-WWWW[[#This Row],['#Water points coverage]])</f>
        <v>0</v>
      </c>
      <c r="BD95" s="478">
        <f>ROUND(IF(WWWW[[#This Row],[Total PoP ]]&lt;250,1,WWWW[[#This Row],[Total PoP ]]/250),0)</f>
        <v>15</v>
      </c>
      <c r="BE9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0.31687898089171973</v>
      </c>
      <c r="BF95" s="483">
        <f>WWWW[[#This Row],[% people access to functioning Latrine]]*WWWW[[#This Row],[Total PoP ]]</f>
        <v>1194</v>
      </c>
      <c r="BG95" s="478">
        <f>WWWW[[#This Row],['#_of_Functioning_latrines_in_school]]*50</f>
        <v>0</v>
      </c>
      <c r="BH95" s="478">
        <f>ROUND((WWWW[[#This Row],[Total PoP ]]/6),0)</f>
        <v>628</v>
      </c>
      <c r="BI95" s="478">
        <f>IF(WWWW[[#This Row],[Total required Latrines]]-(WWWW[[#This Row],['#_of_sanitary_fly-proof_HH_latrines]])&lt;0,0,WWWW[[#This Row],[Total required Latrines]]-(WWWW[[#This Row],['#_of_sanitary_fly-proof_HH_latrines]]))</f>
        <v>429</v>
      </c>
      <c r="BJ95" s="479">
        <f>1-WWWW[[#This Row],[% people access to functioning Latrine]]</f>
        <v>0.68312101910828027</v>
      </c>
      <c r="BK9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617</v>
      </c>
      <c r="BL95" s="483">
        <f>IF(WWWW[[#This Row],['#_of_functional_handwashing_facilities_at_HH_level]]*6&gt;WWWW[[#This Row],[Total PoP ]],WWWW[[#This Row],[Total PoP ]],WWWW[[#This Row],['#_of_functional_handwashing_facilities_at_HH_level]]*6)</f>
        <v>0</v>
      </c>
      <c r="BM95" s="478">
        <f>IF(WWWW[[#This Row],['# people reached by regular dedicated hygiene promotion]]&gt;WWWW[[#This Row],['# People received regular supply of hygiene items]],WWWW[[#This Row],['# people reached by regular dedicated hygiene promotion]],WWWW[[#This Row],['# People received regular supply of hygiene items]])</f>
        <v>617</v>
      </c>
      <c r="BN95" s="476">
        <f>IF(WWWW[[#This Row],[HRP3]]/WWWW[[#This Row],[Total PoP ]]&gt;100%,100%,WWWW[[#This Row],[HRP3]]/WWWW[[#This Row],[Total PoP ]])</f>
        <v>0.16374734607218683</v>
      </c>
      <c r="BO95" s="479">
        <f>1-WWWW[[#This Row],[Hygiene Coverage%]]</f>
        <v>0.83625265392781323</v>
      </c>
      <c r="BP95" s="477">
        <f>WWWW[[#This Row],['# people reached by regular dedicated hygiene promotion]]/WWWW[[#This Row],[Total PoP ]]</f>
        <v>0.16374734607218683</v>
      </c>
      <c r="BQ9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5" s="478">
        <f>WWWW[[#This Row],['#_of_affected_women_and_girls_receiving_a_sufficient_quantity_of_sanitary_pads]]</f>
        <v>0</v>
      </c>
      <c r="BS95" s="524">
        <f>IF(WWWW[[#This Row],['# People with access to soap]]&gt;WWWW[[#This Row],['# People with access to Sanity Pads]],WWWW[[#This Row],['# People with access to soap]],WWWW[[#This Row],['# People with access to Sanity Pads]])</f>
        <v>0</v>
      </c>
      <c r="BT95" s="483" t="str">
        <f>IF(OR(WWWW[[#This Row],['#of students in school]]="",WWWW[[#This Row],['#of students in school]]=0),"No","Yes")</f>
        <v>No</v>
      </c>
      <c r="BU95" s="480" t="str">
        <f>VLOOKUP(WWWW[[#This Row],[Village  Name]],SiteDB6[[Site Name]:[Location Type 1]],9,FALSE)</f>
        <v>Village</v>
      </c>
      <c r="BV95" s="480" t="str">
        <f>VLOOKUP(WWWW[[#This Row],[Village  Name]],SiteDB6[[Site Name]:[Type of Accommodation]],10,FALSE)</f>
        <v>Village</v>
      </c>
      <c r="BW95" s="480">
        <f>VLOOKUP(WWWW[[#This Row],[Village  Name]],SiteDB6[[Site Name]:[Ethnic or GCA/NGCA]],11,FALSE)</f>
        <v>0</v>
      </c>
      <c r="BX95" s="480">
        <f>VLOOKUP(WWWW[[#This Row],[Village  Name]],SiteDB6[[Site Name]:[Lat]],12,FALSE)</f>
        <v>20.168970108032202</v>
      </c>
      <c r="BY95" s="480">
        <f>VLOOKUP(WWWW[[#This Row],[Village  Name]],SiteDB6[[Site Name]:[Long]],13,FALSE)</f>
        <v>92.826896667480497</v>
      </c>
      <c r="BZ95" s="480">
        <f>VLOOKUP(WWWW[[#This Row],[Village  Name]],SiteDB6[[Site Name]:[Pcode]],3,FALSE)</f>
        <v>196206</v>
      </c>
      <c r="CA95" s="480" t="str">
        <f t="shared" si="4"/>
        <v>Covered</v>
      </c>
      <c r="CB95" s="505"/>
    </row>
    <row r="96" spans="1:80">
      <c r="A96" s="774" t="s">
        <v>3150</v>
      </c>
      <c r="B96" s="774" t="s">
        <v>314</v>
      </c>
      <c r="C96" s="415" t="s">
        <v>314</v>
      </c>
      <c r="D96" s="415" t="s">
        <v>307</v>
      </c>
      <c r="E96" s="415" t="s">
        <v>2648</v>
      </c>
      <c r="F96" s="415" t="s">
        <v>295</v>
      </c>
      <c r="G96" s="644" t="str">
        <f>VLOOKUP(WWWW[[#This Row],[Village  Name]],SiteDB6[[Site Name]:[Location Type]],8,FALSE)</f>
        <v>Village</v>
      </c>
      <c r="H96" s="415" t="s">
        <v>2592</v>
      </c>
      <c r="I96" s="524">
        <v>310</v>
      </c>
      <c r="J96" s="524">
        <v>1750</v>
      </c>
      <c r="K96" s="418">
        <v>42736</v>
      </c>
      <c r="L96" s="55">
        <v>44551</v>
      </c>
      <c r="M96" s="524"/>
      <c r="N96" s="524"/>
      <c r="O96" s="524">
        <v>193</v>
      </c>
      <c r="P96" s="524">
        <v>89</v>
      </c>
      <c r="Q96" s="524">
        <v>5</v>
      </c>
      <c r="R96" s="524"/>
      <c r="S96" s="524"/>
      <c r="T96" s="524"/>
      <c r="U96" s="551"/>
      <c r="V96" s="524">
        <v>198</v>
      </c>
      <c r="W96" s="524" t="s">
        <v>130</v>
      </c>
      <c r="X96" s="524"/>
      <c r="Y96" s="524"/>
      <c r="Z96" s="524"/>
      <c r="AA96" s="524"/>
      <c r="AB96" s="524"/>
      <c r="AC96" s="551"/>
      <c r="AD96" s="524">
        <v>114</v>
      </c>
      <c r="AE96" s="524">
        <v>289</v>
      </c>
      <c r="AF96" s="524">
        <v>118</v>
      </c>
      <c r="AG96" s="524">
        <v>183</v>
      </c>
      <c r="AH96" s="524"/>
      <c r="AI96" s="524"/>
      <c r="AJ96" s="524"/>
      <c r="AK96" s="524"/>
      <c r="AL96" s="524"/>
      <c r="AM96" s="524"/>
      <c r="AN96" s="551"/>
      <c r="AO96" s="477"/>
      <c r="AP96" s="477"/>
      <c r="AQ96" s="524"/>
      <c r="AR96" s="524"/>
      <c r="AS96" s="524"/>
      <c r="AT9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96" s="483">
        <f>WWWW[[#This Row],[%Equitable and continuous access to sufficient quantity of safe drinking water]]*WWWW[[#This Row],[Total PoP ]]</f>
        <v>1750</v>
      </c>
      <c r="AV9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96" s="483">
        <f>WWWW[[#This Row],[% Access to unimproved water points]]*WWWW[[#This Row],[Total PoP ]]</f>
        <v>1750</v>
      </c>
      <c r="AX9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9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1750</v>
      </c>
      <c r="AZ96" s="483">
        <f>WWWW[[#This Row],[HRP1]]/250</f>
        <v>7</v>
      </c>
      <c r="BA96" s="476">
        <f>1-WWWW[[#This Row],[% Equitable and continuous access to sufficient quantity of domestic water]]</f>
        <v>0</v>
      </c>
      <c r="BB96" s="483">
        <f>WWWW[[#This Row],[%equitable and continuous access to sufficient quantity of safe drinking and domestic water''s GAP]]*WWWW[[#This Row],[Total PoP ]]</f>
        <v>0</v>
      </c>
      <c r="BC96" s="478">
        <f>IF(WWWW[[#This Row],[Total required water points]]-WWWW[[#This Row],['#Water points coverage]]&lt;0,0,WWWW[[#This Row],[Total required water points]]-WWWW[[#This Row],['#Water points coverage]])</f>
        <v>0</v>
      </c>
      <c r="BD96" s="478">
        <f>ROUND(IF(WWWW[[#This Row],[Total PoP ]]&lt;250,1,WWWW[[#This Row],[Total PoP ]]/250),0)</f>
        <v>7</v>
      </c>
      <c r="BE9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0.67885714285714283</v>
      </c>
      <c r="BF96" s="483">
        <f>WWWW[[#This Row],[% people access to functioning Latrine]]*WWWW[[#This Row],[Total PoP ]]</f>
        <v>1188</v>
      </c>
      <c r="BG96" s="478">
        <f>WWWW[[#This Row],['#_of_Functioning_latrines_in_school]]*50</f>
        <v>0</v>
      </c>
      <c r="BH96" s="478">
        <f>ROUND((WWWW[[#This Row],[Total PoP ]]/6),0)</f>
        <v>292</v>
      </c>
      <c r="BI96" s="478">
        <f>IF(WWWW[[#This Row],[Total required Latrines]]-(WWWW[[#This Row],['#_of_sanitary_fly-proof_HH_latrines]])&lt;0,0,WWWW[[#This Row],[Total required Latrines]]-(WWWW[[#This Row],['#_of_sanitary_fly-proof_HH_latrines]]))</f>
        <v>94</v>
      </c>
      <c r="BJ96" s="479">
        <f>1-WWWW[[#This Row],[% people access to functioning Latrine]]</f>
        <v>0.32114285714285717</v>
      </c>
      <c r="BK9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704</v>
      </c>
      <c r="BL96" s="483">
        <f>IF(WWWW[[#This Row],['#_of_functional_handwashing_facilities_at_HH_level]]*6&gt;WWWW[[#This Row],[Total PoP ]],WWWW[[#This Row],[Total PoP ]],WWWW[[#This Row],['#_of_functional_handwashing_facilities_at_HH_level]]*6)</f>
        <v>0</v>
      </c>
      <c r="BM96" s="478">
        <f>IF(WWWW[[#This Row],['# people reached by regular dedicated hygiene promotion]]&gt;WWWW[[#This Row],['# People received regular supply of hygiene items]],WWWW[[#This Row],['# people reached by regular dedicated hygiene promotion]],WWWW[[#This Row],['# People received regular supply of hygiene items]])</f>
        <v>704</v>
      </c>
      <c r="BN96" s="476">
        <f>IF(WWWW[[#This Row],[HRP3]]/WWWW[[#This Row],[Total PoP ]]&gt;100%,100%,WWWW[[#This Row],[HRP3]]/WWWW[[#This Row],[Total PoP ]])</f>
        <v>0.4022857142857143</v>
      </c>
      <c r="BO96" s="479">
        <f>1-WWWW[[#This Row],[Hygiene Coverage%]]</f>
        <v>0.59771428571428564</v>
      </c>
      <c r="BP96" s="477">
        <f>WWWW[[#This Row],['# people reached by regular dedicated hygiene promotion]]/WWWW[[#This Row],[Total PoP ]]</f>
        <v>0.4022857142857143</v>
      </c>
      <c r="BQ9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6" s="478">
        <f>WWWW[[#This Row],['#_of_affected_women_and_girls_receiving_a_sufficient_quantity_of_sanitary_pads]]</f>
        <v>0</v>
      </c>
      <c r="BS96" s="524">
        <f>IF(WWWW[[#This Row],['# People with access to soap]]&gt;WWWW[[#This Row],['# People with access to Sanity Pads]],WWWW[[#This Row],['# People with access to soap]],WWWW[[#This Row],['# People with access to Sanity Pads]])</f>
        <v>0</v>
      </c>
      <c r="BT96" s="483" t="str">
        <f>IF(OR(WWWW[[#This Row],['#of students in school]]="",WWWW[[#This Row],['#of students in school]]=0),"No","Yes")</f>
        <v>No</v>
      </c>
      <c r="BU96" s="480" t="str">
        <f>VLOOKUP(WWWW[[#This Row],[Village  Name]],SiteDB6[[Site Name]:[Location Type 1]],9,FALSE)</f>
        <v>Village</v>
      </c>
      <c r="BV96" s="480" t="str">
        <f>VLOOKUP(WWWW[[#This Row],[Village  Name]],SiteDB6[[Site Name]:[Type of Accommodation]],10,FALSE)</f>
        <v>Village</v>
      </c>
      <c r="BW96" s="480">
        <f>VLOOKUP(WWWW[[#This Row],[Village  Name]],SiteDB6[[Site Name]:[Ethnic or GCA/NGCA]],11,FALSE)</f>
        <v>0</v>
      </c>
      <c r="BX96" s="480">
        <f>VLOOKUP(WWWW[[#This Row],[Village  Name]],SiteDB6[[Site Name]:[Lat]],12,FALSE)</f>
        <v>0</v>
      </c>
      <c r="BY96" s="480">
        <f>VLOOKUP(WWWW[[#This Row],[Village  Name]],SiteDB6[[Site Name]:[Long]],13,FALSE)</f>
        <v>0</v>
      </c>
      <c r="BZ96" s="480">
        <f>VLOOKUP(WWWW[[#This Row],[Village  Name]],SiteDB6[[Site Name]:[Pcode]],3,FALSE)</f>
        <v>0</v>
      </c>
      <c r="CA96" s="480" t="str">
        <f t="shared" si="4"/>
        <v>Covered</v>
      </c>
      <c r="CB96" s="505"/>
    </row>
    <row r="97" spans="1:80">
      <c r="A97" s="774" t="s">
        <v>3150</v>
      </c>
      <c r="B97" s="774" t="s">
        <v>314</v>
      </c>
      <c r="C97" s="415" t="s">
        <v>314</v>
      </c>
      <c r="D97" s="415" t="s">
        <v>307</v>
      </c>
      <c r="E97" s="415" t="s">
        <v>2648</v>
      </c>
      <c r="F97" s="415" t="s">
        <v>312</v>
      </c>
      <c r="G97" s="644" t="str">
        <f>VLOOKUP(WWWW[[#This Row],[Village  Name]],SiteDB6[[Site Name]:[Location Type]],8,FALSE)</f>
        <v>Village</v>
      </c>
      <c r="H97" s="415" t="s">
        <v>465</v>
      </c>
      <c r="I97" s="524">
        <v>125</v>
      </c>
      <c r="J97" s="524">
        <v>513</v>
      </c>
      <c r="K97" s="418">
        <v>42736</v>
      </c>
      <c r="L97" s="55">
        <v>44551</v>
      </c>
      <c r="M97" s="524"/>
      <c r="N97" s="524"/>
      <c r="O97" s="524">
        <v>16</v>
      </c>
      <c r="P97" s="524">
        <v>96</v>
      </c>
      <c r="Q97" s="524">
        <v>4</v>
      </c>
      <c r="R97" s="524"/>
      <c r="S97" s="524"/>
      <c r="T97" s="524"/>
      <c r="U97" s="551"/>
      <c r="V97" s="524">
        <v>300</v>
      </c>
      <c r="W97" s="524" t="s">
        <v>130</v>
      </c>
      <c r="X97" s="524"/>
      <c r="Y97" s="524"/>
      <c r="Z97" s="524"/>
      <c r="AA97" s="524"/>
      <c r="AB97" s="524"/>
      <c r="AC97" s="551"/>
      <c r="AD97" s="524">
        <v>94</v>
      </c>
      <c r="AE97" s="524">
        <v>416</v>
      </c>
      <c r="AF97" s="524">
        <v>61</v>
      </c>
      <c r="AG97" s="524">
        <v>96</v>
      </c>
      <c r="AH97" s="524"/>
      <c r="AI97" s="524"/>
      <c r="AJ97" s="524"/>
      <c r="AK97" s="524"/>
      <c r="AL97" s="524"/>
      <c r="AM97" s="524"/>
      <c r="AN97" s="551"/>
      <c r="AO97" s="477"/>
      <c r="AP97" s="477"/>
      <c r="AQ97" s="524"/>
      <c r="AR97" s="524"/>
      <c r="AS97" s="524"/>
      <c r="AT9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97" s="483">
        <f>WWWW[[#This Row],[%Equitable and continuous access to sufficient quantity of safe drinking water]]*WWWW[[#This Row],[Total PoP ]]</f>
        <v>513</v>
      </c>
      <c r="AV9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97" s="483">
        <f>WWWW[[#This Row],[% Access to unimproved water points]]*WWWW[[#This Row],[Total PoP ]]</f>
        <v>513</v>
      </c>
      <c r="AX9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9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513</v>
      </c>
      <c r="AZ97" s="483">
        <f>WWWW[[#This Row],[HRP1]]/250</f>
        <v>2.052</v>
      </c>
      <c r="BA97" s="476">
        <f>1-WWWW[[#This Row],[% Equitable and continuous access to sufficient quantity of domestic water]]</f>
        <v>0</v>
      </c>
      <c r="BB97" s="483">
        <f>WWWW[[#This Row],[%equitable and continuous access to sufficient quantity of safe drinking and domestic water''s GAP]]*WWWW[[#This Row],[Total PoP ]]</f>
        <v>0</v>
      </c>
      <c r="BC97" s="478">
        <f>IF(WWWW[[#This Row],[Total required water points]]-WWWW[[#This Row],['#Water points coverage]]&lt;0,0,WWWW[[#This Row],[Total required water points]]-WWWW[[#This Row],['#Water points coverage]])</f>
        <v>0</v>
      </c>
      <c r="BD97" s="478">
        <f>ROUND(IF(WWWW[[#This Row],[Total PoP ]]&lt;250,1,WWWW[[#This Row],[Total PoP ]]/250),0)</f>
        <v>2</v>
      </c>
      <c r="BE9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97" s="483">
        <f>WWWW[[#This Row],[% people access to functioning Latrine]]*WWWW[[#This Row],[Total PoP ]]</f>
        <v>513</v>
      </c>
      <c r="BG97" s="478">
        <f>WWWW[[#This Row],['#_of_Functioning_latrines_in_school]]*50</f>
        <v>0</v>
      </c>
      <c r="BH97" s="478">
        <f>ROUND((WWWW[[#This Row],[Total PoP ]]/6),0)</f>
        <v>86</v>
      </c>
      <c r="BI97" s="478">
        <f>IF(WWWW[[#This Row],[Total required Latrines]]-(WWWW[[#This Row],['#_of_sanitary_fly-proof_HH_latrines]])&lt;0,0,WWWW[[#This Row],[Total required Latrines]]-(WWWW[[#This Row],['#_of_sanitary_fly-proof_HH_latrines]]))</f>
        <v>0</v>
      </c>
      <c r="BJ97" s="479">
        <f>1-WWWW[[#This Row],[% people access to functioning Latrine]]</f>
        <v>0</v>
      </c>
      <c r="BK9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513</v>
      </c>
      <c r="BL97" s="483">
        <f>IF(WWWW[[#This Row],['#_of_functional_handwashing_facilities_at_HH_level]]*6&gt;WWWW[[#This Row],[Total PoP ]],WWWW[[#This Row],[Total PoP ]],WWWW[[#This Row],['#_of_functional_handwashing_facilities_at_HH_level]]*6)</f>
        <v>0</v>
      </c>
      <c r="BM97" s="478">
        <f>IF(WWWW[[#This Row],['# people reached by regular dedicated hygiene promotion]]&gt;WWWW[[#This Row],['# People received regular supply of hygiene items]],WWWW[[#This Row],['# people reached by regular dedicated hygiene promotion]],WWWW[[#This Row],['# People received regular supply of hygiene items]])</f>
        <v>513</v>
      </c>
      <c r="BN97" s="476">
        <f>IF(WWWW[[#This Row],[HRP3]]/WWWW[[#This Row],[Total PoP ]]&gt;100%,100%,WWWW[[#This Row],[HRP3]]/WWWW[[#This Row],[Total PoP ]])</f>
        <v>1</v>
      </c>
      <c r="BO97" s="479">
        <f>1-WWWW[[#This Row],[Hygiene Coverage%]]</f>
        <v>0</v>
      </c>
      <c r="BP97" s="477">
        <f>WWWW[[#This Row],['# people reached by regular dedicated hygiene promotion]]/WWWW[[#This Row],[Total PoP ]]</f>
        <v>1</v>
      </c>
      <c r="BQ9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7" s="478">
        <f>WWWW[[#This Row],['#_of_affected_women_and_girls_receiving_a_sufficient_quantity_of_sanitary_pads]]</f>
        <v>0</v>
      </c>
      <c r="BS97" s="524">
        <f>IF(WWWW[[#This Row],['# People with access to soap]]&gt;WWWW[[#This Row],['# People with access to Sanity Pads]],WWWW[[#This Row],['# People with access to soap]],WWWW[[#This Row],['# People with access to Sanity Pads]])</f>
        <v>0</v>
      </c>
      <c r="BT97" s="483" t="str">
        <f>IF(OR(WWWW[[#This Row],['#of students in school]]="",WWWW[[#This Row],['#of students in school]]=0),"No","Yes")</f>
        <v>No</v>
      </c>
      <c r="BU97" s="480" t="str">
        <f>VLOOKUP(WWWW[[#This Row],[Village  Name]],SiteDB6[[Site Name]:[Location Type 1]],9,FALSE)</f>
        <v>Village</v>
      </c>
      <c r="BV97" s="480" t="str">
        <f>VLOOKUP(WWWW[[#This Row],[Village  Name]],SiteDB6[[Site Name]:[Type of Accommodation]],10,FALSE)</f>
        <v>Returned</v>
      </c>
      <c r="BW97" s="480" t="str">
        <f>VLOOKUP(WWWW[[#This Row],[Village  Name]],SiteDB6[[Site Name]:[Ethnic or GCA/NGCA]],11,FALSE)</f>
        <v>Muslim</v>
      </c>
      <c r="BX97" s="480">
        <f>VLOOKUP(WWWW[[#This Row],[Village  Name]],SiteDB6[[Site Name]:[Lat]],12,FALSE)</f>
        <v>20.39902</v>
      </c>
      <c r="BY97" s="480">
        <f>VLOOKUP(WWWW[[#This Row],[Village  Name]],SiteDB6[[Site Name]:[Long]],13,FALSE)</f>
        <v>93.249669999999995</v>
      </c>
      <c r="BZ97" s="480" t="str">
        <f>VLOOKUP(WWWW[[#This Row],[Village  Name]],SiteDB6[[Site Name]:[Pcode]],3,FALSE)</f>
        <v>MMR012CMP003</v>
      </c>
      <c r="CA97" s="480" t="str">
        <f t="shared" si="4"/>
        <v>Covered</v>
      </c>
      <c r="CB97" s="505"/>
    </row>
    <row r="98" spans="1:80">
      <c r="A98" s="774" t="s">
        <v>3150</v>
      </c>
      <c r="B98" s="774" t="s">
        <v>314</v>
      </c>
      <c r="C98" s="415" t="s">
        <v>314</v>
      </c>
      <c r="D98" s="415" t="s">
        <v>327</v>
      </c>
      <c r="E98" s="415" t="s">
        <v>2648</v>
      </c>
      <c r="F98" s="415" t="s">
        <v>295</v>
      </c>
      <c r="G98" s="644" t="str">
        <f>VLOOKUP(WWWW[[#This Row],[Village  Name]],SiteDB6[[Site Name]:[Location Type]],8,FALSE)</f>
        <v>Village</v>
      </c>
      <c r="H98" s="415" t="s">
        <v>2593</v>
      </c>
      <c r="I98" s="524">
        <v>92</v>
      </c>
      <c r="J98" s="524">
        <v>715</v>
      </c>
      <c r="K98" s="418">
        <v>42736</v>
      </c>
      <c r="L98" s="55">
        <v>44551</v>
      </c>
      <c r="M98" s="524"/>
      <c r="N98" s="524"/>
      <c r="O98" s="524">
        <v>114</v>
      </c>
      <c r="P98" s="524">
        <v>348</v>
      </c>
      <c r="Q98" s="524">
        <v>4</v>
      </c>
      <c r="R98" s="524"/>
      <c r="S98" s="524"/>
      <c r="T98" s="524"/>
      <c r="U98" s="551"/>
      <c r="V98" s="524">
        <v>514</v>
      </c>
      <c r="W98" s="524" t="s">
        <v>130</v>
      </c>
      <c r="X98" s="524"/>
      <c r="Y98" s="524"/>
      <c r="Z98" s="524"/>
      <c r="AA98" s="524"/>
      <c r="AB98" s="524"/>
      <c r="AC98" s="551"/>
      <c r="AD98" s="524">
        <v>127</v>
      </c>
      <c r="AE98" s="524">
        <v>398</v>
      </c>
      <c r="AF98" s="524">
        <v>162</v>
      </c>
      <c r="AG98" s="524">
        <v>155</v>
      </c>
      <c r="AH98" s="524"/>
      <c r="AI98" s="524"/>
      <c r="AJ98" s="524"/>
      <c r="AK98" s="524"/>
      <c r="AL98" s="524"/>
      <c r="AM98" s="524"/>
      <c r="AN98" s="551"/>
      <c r="AO98" s="477"/>
      <c r="AP98" s="477"/>
      <c r="AQ98" s="524"/>
      <c r="AR98" s="524"/>
      <c r="AS98" s="524"/>
      <c r="AT9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98" s="483">
        <f>WWWW[[#This Row],[%Equitable and continuous access to sufficient quantity of safe drinking water]]*WWWW[[#This Row],[Total PoP ]]</f>
        <v>715</v>
      </c>
      <c r="AV9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98" s="483">
        <f>WWWW[[#This Row],[% Access to unimproved water points]]*WWWW[[#This Row],[Total PoP ]]</f>
        <v>715</v>
      </c>
      <c r="AX9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9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715</v>
      </c>
      <c r="AZ98" s="483">
        <f>WWWW[[#This Row],[HRP1]]/250</f>
        <v>2.86</v>
      </c>
      <c r="BA98" s="476">
        <f>1-WWWW[[#This Row],[% Equitable and continuous access to sufficient quantity of domestic water]]</f>
        <v>0</v>
      </c>
      <c r="BB98" s="483">
        <f>WWWW[[#This Row],[%equitable and continuous access to sufficient quantity of safe drinking and domestic water''s GAP]]*WWWW[[#This Row],[Total PoP ]]</f>
        <v>0</v>
      </c>
      <c r="BC98" s="478">
        <f>IF(WWWW[[#This Row],[Total required water points]]-WWWW[[#This Row],['#Water points coverage]]&lt;0,0,WWWW[[#This Row],[Total required water points]]-WWWW[[#This Row],['#Water points coverage]])</f>
        <v>0.14000000000000012</v>
      </c>
      <c r="BD98" s="478">
        <f>ROUND(IF(WWWW[[#This Row],[Total PoP ]]&lt;250,1,WWWW[[#This Row],[Total PoP ]]/250),0)</f>
        <v>3</v>
      </c>
      <c r="BE9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98" s="483">
        <f>WWWW[[#This Row],[% people access to functioning Latrine]]*WWWW[[#This Row],[Total PoP ]]</f>
        <v>715</v>
      </c>
      <c r="BG98" s="478">
        <f>WWWW[[#This Row],['#_of_Functioning_latrines_in_school]]*50</f>
        <v>0</v>
      </c>
      <c r="BH98" s="478">
        <f>ROUND((WWWW[[#This Row],[Total PoP ]]/6),0)</f>
        <v>119</v>
      </c>
      <c r="BI98" s="478">
        <f>IF(WWWW[[#This Row],[Total required Latrines]]-(WWWW[[#This Row],['#_of_sanitary_fly-proof_HH_latrines]])&lt;0,0,WWWW[[#This Row],[Total required Latrines]]-(WWWW[[#This Row],['#_of_sanitary_fly-proof_HH_latrines]]))</f>
        <v>0</v>
      </c>
      <c r="BJ98" s="479">
        <f>1-WWWW[[#This Row],[% people access to functioning Latrine]]</f>
        <v>0</v>
      </c>
      <c r="BK9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715</v>
      </c>
      <c r="BL98" s="483">
        <f>IF(WWWW[[#This Row],['#_of_functional_handwashing_facilities_at_HH_level]]*6&gt;WWWW[[#This Row],[Total PoP ]],WWWW[[#This Row],[Total PoP ]],WWWW[[#This Row],['#_of_functional_handwashing_facilities_at_HH_level]]*6)</f>
        <v>0</v>
      </c>
      <c r="BM98" s="478">
        <f>IF(WWWW[[#This Row],['# people reached by regular dedicated hygiene promotion]]&gt;WWWW[[#This Row],['# People received regular supply of hygiene items]],WWWW[[#This Row],['# people reached by regular dedicated hygiene promotion]],WWWW[[#This Row],['# People received regular supply of hygiene items]])</f>
        <v>715</v>
      </c>
      <c r="BN98" s="476">
        <f>IF(WWWW[[#This Row],[HRP3]]/WWWW[[#This Row],[Total PoP ]]&gt;100%,100%,WWWW[[#This Row],[HRP3]]/WWWW[[#This Row],[Total PoP ]])</f>
        <v>1</v>
      </c>
      <c r="BO98" s="479">
        <f>1-WWWW[[#This Row],[Hygiene Coverage%]]</f>
        <v>0</v>
      </c>
      <c r="BP98" s="477">
        <f>WWWW[[#This Row],['# people reached by regular dedicated hygiene promotion]]/WWWW[[#This Row],[Total PoP ]]</f>
        <v>1</v>
      </c>
      <c r="BQ9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8" s="478">
        <f>WWWW[[#This Row],['#_of_affected_women_and_girls_receiving_a_sufficient_quantity_of_sanitary_pads]]</f>
        <v>0</v>
      </c>
      <c r="BS98" s="524">
        <f>IF(WWWW[[#This Row],['# People with access to soap]]&gt;WWWW[[#This Row],['# People with access to Sanity Pads]],WWWW[[#This Row],['# People with access to soap]],WWWW[[#This Row],['# People with access to Sanity Pads]])</f>
        <v>0</v>
      </c>
      <c r="BT98" s="483" t="str">
        <f>IF(OR(WWWW[[#This Row],['#of students in school]]="",WWWW[[#This Row],['#of students in school]]=0),"No","Yes")</f>
        <v>No</v>
      </c>
      <c r="BU98" s="480" t="str">
        <f>VLOOKUP(WWWW[[#This Row],[Village  Name]],SiteDB6[[Site Name]:[Location Type 1]],9,FALSE)</f>
        <v>Village</v>
      </c>
      <c r="BV98" s="480" t="str">
        <f>VLOOKUP(WWWW[[#This Row],[Village  Name]],SiteDB6[[Site Name]:[Type of Accommodation]],10,FALSE)</f>
        <v>Village</v>
      </c>
      <c r="BW98" s="480">
        <f>VLOOKUP(WWWW[[#This Row],[Village  Name]],SiteDB6[[Site Name]:[Ethnic or GCA/NGCA]],11,FALSE)</f>
        <v>0</v>
      </c>
      <c r="BX98" s="480">
        <f>VLOOKUP(WWWW[[#This Row],[Village  Name]],SiteDB6[[Site Name]:[Lat]],12,FALSE)</f>
        <v>20.172649383544901</v>
      </c>
      <c r="BY98" s="480">
        <f>VLOOKUP(WWWW[[#This Row],[Village  Name]],SiteDB6[[Site Name]:[Long]],13,FALSE)</f>
        <v>92.874351501464801</v>
      </c>
      <c r="BZ98" s="480">
        <f>VLOOKUP(WWWW[[#This Row],[Village  Name]],SiteDB6[[Site Name]:[Pcode]],3,FALSE)</f>
        <v>196195</v>
      </c>
      <c r="CA98" s="480" t="str">
        <f t="shared" si="4"/>
        <v>Covered</v>
      </c>
      <c r="CB98" s="505"/>
    </row>
    <row r="99" spans="1:80">
      <c r="A99" s="774" t="s">
        <v>3150</v>
      </c>
      <c r="B99" s="774" t="s">
        <v>314</v>
      </c>
      <c r="C99" s="415" t="s">
        <v>314</v>
      </c>
      <c r="D99" s="415" t="s">
        <v>327</v>
      </c>
      <c r="E99" s="415" t="s">
        <v>2648</v>
      </c>
      <c r="F99" s="415" t="s">
        <v>295</v>
      </c>
      <c r="G99" s="644" t="str">
        <f>VLOOKUP(WWWW[[#This Row],[Village  Name]],SiteDB6[[Site Name]:[Location Type]],8,FALSE)</f>
        <v>Village</v>
      </c>
      <c r="H99" s="415" t="s">
        <v>2595</v>
      </c>
      <c r="I99" s="524">
        <v>2100</v>
      </c>
      <c r="J99" s="524">
        <v>12993</v>
      </c>
      <c r="K99" s="418">
        <v>42736</v>
      </c>
      <c r="L99" s="55">
        <v>44551</v>
      </c>
      <c r="M99" s="524"/>
      <c r="N99" s="524"/>
      <c r="O99" s="524">
        <v>12</v>
      </c>
      <c r="P99" s="524">
        <v>97</v>
      </c>
      <c r="Q99" s="524">
        <v>2</v>
      </c>
      <c r="R99" s="524"/>
      <c r="S99" s="524"/>
      <c r="T99" s="524"/>
      <c r="U99" s="551"/>
      <c r="V99" s="524">
        <v>218</v>
      </c>
      <c r="W99" s="524" t="s">
        <v>130</v>
      </c>
      <c r="X99" s="524"/>
      <c r="Y99" s="524"/>
      <c r="Z99" s="524"/>
      <c r="AA99" s="524"/>
      <c r="AB99" s="524"/>
      <c r="AC99" s="551"/>
      <c r="AD99" s="524">
        <v>246</v>
      </c>
      <c r="AE99" s="524">
        <v>217</v>
      </c>
      <c r="AF99" s="524">
        <v>78</v>
      </c>
      <c r="AG99" s="524">
        <v>127</v>
      </c>
      <c r="AH99" s="524"/>
      <c r="AI99" s="524"/>
      <c r="AJ99" s="524"/>
      <c r="AK99" s="524"/>
      <c r="AL99" s="524"/>
      <c r="AM99" s="524"/>
      <c r="AN99" s="551"/>
      <c r="AO99" s="477"/>
      <c r="AP99" s="477"/>
      <c r="AQ99" s="524"/>
      <c r="AR99" s="524"/>
      <c r="AS99" s="524"/>
      <c r="AT9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99" s="483">
        <f>WWWW[[#This Row],[%Equitable and continuous access to sufficient quantity of safe drinking water]]*WWWW[[#This Row],[Total PoP ]]</f>
        <v>12993</v>
      </c>
      <c r="AV9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99" s="483">
        <f>WWWW[[#This Row],[% Access to unimproved water points]]*WWWW[[#This Row],[Total PoP ]]</f>
        <v>12993</v>
      </c>
      <c r="AX9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9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12993</v>
      </c>
      <c r="AZ99" s="483">
        <f>WWWW[[#This Row],[HRP1]]/250</f>
        <v>51.972000000000001</v>
      </c>
      <c r="BA99" s="476">
        <f>1-WWWW[[#This Row],[% Equitable and continuous access to sufficient quantity of domestic water]]</f>
        <v>0</v>
      </c>
      <c r="BB99" s="483">
        <f>WWWW[[#This Row],[%equitable and continuous access to sufficient quantity of safe drinking and domestic water''s GAP]]*WWWW[[#This Row],[Total PoP ]]</f>
        <v>0</v>
      </c>
      <c r="BC99" s="478">
        <f>IF(WWWW[[#This Row],[Total required water points]]-WWWW[[#This Row],['#Water points coverage]]&lt;0,0,WWWW[[#This Row],[Total required water points]]-WWWW[[#This Row],['#Water points coverage]])</f>
        <v>2.7999999999998693E-2</v>
      </c>
      <c r="BD99" s="478">
        <f>ROUND(IF(WWWW[[#This Row],[Total PoP ]]&lt;250,1,WWWW[[#This Row],[Total PoP ]]/250),0)</f>
        <v>52</v>
      </c>
      <c r="BE9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0.10066959131840221</v>
      </c>
      <c r="BF99" s="483">
        <f>WWWW[[#This Row],[% people access to functioning Latrine]]*WWWW[[#This Row],[Total PoP ]]</f>
        <v>1308</v>
      </c>
      <c r="BG99" s="478">
        <f>WWWW[[#This Row],['#_of_Functioning_latrines_in_school]]*50</f>
        <v>0</v>
      </c>
      <c r="BH99" s="478">
        <f>ROUND((WWWW[[#This Row],[Total PoP ]]/6),0)</f>
        <v>2166</v>
      </c>
      <c r="BI99" s="478">
        <f>IF(WWWW[[#This Row],[Total required Latrines]]-(WWWW[[#This Row],['#_of_sanitary_fly-proof_HH_latrines]])&lt;0,0,WWWW[[#This Row],[Total required Latrines]]-(WWWW[[#This Row],['#_of_sanitary_fly-proof_HH_latrines]]))</f>
        <v>1948</v>
      </c>
      <c r="BJ99" s="479">
        <f>1-WWWW[[#This Row],[% people access to functioning Latrine]]</f>
        <v>0.89933040868159775</v>
      </c>
      <c r="BK9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668</v>
      </c>
      <c r="BL99" s="483">
        <f>IF(WWWW[[#This Row],['#_of_functional_handwashing_facilities_at_HH_level]]*6&gt;WWWW[[#This Row],[Total PoP ]],WWWW[[#This Row],[Total PoP ]],WWWW[[#This Row],['#_of_functional_handwashing_facilities_at_HH_level]]*6)</f>
        <v>0</v>
      </c>
      <c r="BM99" s="478">
        <f>IF(WWWW[[#This Row],['# people reached by regular dedicated hygiene promotion]]&gt;WWWW[[#This Row],['# People received regular supply of hygiene items]],WWWW[[#This Row],['# people reached by regular dedicated hygiene promotion]],WWWW[[#This Row],['# People received regular supply of hygiene items]])</f>
        <v>668</v>
      </c>
      <c r="BN99" s="476">
        <f>IF(WWWW[[#This Row],[HRP3]]/WWWW[[#This Row],[Total PoP ]]&gt;100%,100%,WWWW[[#This Row],[HRP3]]/WWWW[[#This Row],[Total PoP ]])</f>
        <v>5.1412298930193182E-2</v>
      </c>
      <c r="BO99" s="479">
        <f>1-WWWW[[#This Row],[Hygiene Coverage%]]</f>
        <v>0.94858770106980683</v>
      </c>
      <c r="BP99" s="477">
        <f>WWWW[[#This Row],['# people reached by regular dedicated hygiene promotion]]/WWWW[[#This Row],[Total PoP ]]</f>
        <v>5.1412298930193182E-2</v>
      </c>
      <c r="BQ9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99" s="478">
        <f>WWWW[[#This Row],['#_of_affected_women_and_girls_receiving_a_sufficient_quantity_of_sanitary_pads]]</f>
        <v>0</v>
      </c>
      <c r="BS99" s="524">
        <f>IF(WWWW[[#This Row],['# People with access to soap]]&gt;WWWW[[#This Row],['# People with access to Sanity Pads]],WWWW[[#This Row],['# People with access to soap]],WWWW[[#This Row],['# People with access to Sanity Pads]])</f>
        <v>0</v>
      </c>
      <c r="BT99" s="483" t="str">
        <f>IF(OR(WWWW[[#This Row],['#of students in school]]="",WWWW[[#This Row],['#of students in school]]=0),"No","Yes")</f>
        <v>No</v>
      </c>
      <c r="BU99" s="480" t="str">
        <f>VLOOKUP(WWWW[[#This Row],[Village  Name]],SiteDB6[[Site Name]:[Location Type 1]],9,FALSE)</f>
        <v>Village</v>
      </c>
      <c r="BV99" s="480" t="str">
        <f>VLOOKUP(WWWW[[#This Row],[Village  Name]],SiteDB6[[Site Name]:[Type of Accommodation]],10,FALSE)</f>
        <v>Village</v>
      </c>
      <c r="BW99" s="480" t="str">
        <f>VLOOKUP(WWWW[[#This Row],[Village  Name]],SiteDB6[[Site Name]:[Ethnic or GCA/NGCA]],11,FALSE)</f>
        <v>Muslim</v>
      </c>
      <c r="BX99" s="480">
        <f>VLOOKUP(WWWW[[#This Row],[Village  Name]],SiteDB6[[Site Name]:[Lat]],12,FALSE)</f>
        <v>0</v>
      </c>
      <c r="BY99" s="480">
        <f>VLOOKUP(WWWW[[#This Row],[Village  Name]],SiteDB6[[Site Name]:[Long]],13,FALSE)</f>
        <v>0</v>
      </c>
      <c r="BZ99" s="480">
        <f>VLOOKUP(WWWW[[#This Row],[Village  Name]],SiteDB6[[Site Name]:[Pcode]],3,FALSE)</f>
        <v>0</v>
      </c>
      <c r="CA99" s="480" t="str">
        <f t="shared" si="4"/>
        <v>Covered</v>
      </c>
      <c r="CB99" s="505"/>
    </row>
    <row r="100" spans="1:80">
      <c r="A100" s="774" t="s">
        <v>3150</v>
      </c>
      <c r="B100" s="774" t="s">
        <v>314</v>
      </c>
      <c r="C100" s="415" t="s">
        <v>314</v>
      </c>
      <c r="D100" s="415" t="s">
        <v>307</v>
      </c>
      <c r="E100" s="415" t="s">
        <v>2648</v>
      </c>
      <c r="F100" s="415" t="s">
        <v>312</v>
      </c>
      <c r="G100" s="644" t="str">
        <f>VLOOKUP(WWWW[[#This Row],[Village  Name]],SiteDB6[[Site Name]:[Location Type]],8,FALSE)</f>
        <v>Village</v>
      </c>
      <c r="H100" s="415" t="s">
        <v>1133</v>
      </c>
      <c r="I100" s="524">
        <v>325</v>
      </c>
      <c r="J100" s="524">
        <v>1923</v>
      </c>
      <c r="K100" s="418">
        <v>42736</v>
      </c>
      <c r="L100" s="55">
        <v>44551</v>
      </c>
      <c r="M100" s="524"/>
      <c r="N100" s="524"/>
      <c r="O100" s="524">
        <v>14</v>
      </c>
      <c r="P100" s="524">
        <v>48</v>
      </c>
      <c r="Q100" s="524">
        <v>3</v>
      </c>
      <c r="R100" s="524"/>
      <c r="S100" s="524"/>
      <c r="T100" s="524"/>
      <c r="U100" s="551"/>
      <c r="V100" s="524">
        <v>112</v>
      </c>
      <c r="W100" s="524" t="s">
        <v>130</v>
      </c>
      <c r="X100" s="524"/>
      <c r="Y100" s="524"/>
      <c r="Z100" s="524"/>
      <c r="AA100" s="524"/>
      <c r="AB100" s="524"/>
      <c r="AC100" s="551"/>
      <c r="AD100" s="524"/>
      <c r="AE100" s="524"/>
      <c r="AF100" s="524"/>
      <c r="AG100" s="524"/>
      <c r="AH100" s="524"/>
      <c r="AI100" s="524"/>
      <c r="AJ100" s="524"/>
      <c r="AK100" s="524"/>
      <c r="AL100" s="524"/>
      <c r="AM100" s="524"/>
      <c r="AN100" s="551"/>
      <c r="AO100" s="477"/>
      <c r="AP100" s="477"/>
      <c r="AQ100" s="524"/>
      <c r="AR100" s="524"/>
      <c r="AS100" s="524"/>
      <c r="AT10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00" s="483">
        <f>WWWW[[#This Row],[%Equitable and continuous access to sufficient quantity of safe drinking water]]*WWWW[[#This Row],[Total PoP ]]</f>
        <v>1923</v>
      </c>
      <c r="AV10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00" s="483">
        <f>WWWW[[#This Row],[% Access to unimproved water points]]*WWWW[[#This Row],[Total PoP ]]</f>
        <v>1923</v>
      </c>
      <c r="AX10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0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1923</v>
      </c>
      <c r="AZ100" s="483">
        <f>WWWW[[#This Row],[HRP1]]/250</f>
        <v>7.6920000000000002</v>
      </c>
      <c r="BA100" s="476">
        <f>1-WWWW[[#This Row],[% Equitable and continuous access to sufficient quantity of domestic water]]</f>
        <v>0</v>
      </c>
      <c r="BB100" s="483">
        <f>WWWW[[#This Row],[%equitable and continuous access to sufficient quantity of safe drinking and domestic water''s GAP]]*WWWW[[#This Row],[Total PoP ]]</f>
        <v>0</v>
      </c>
      <c r="BC100" s="478">
        <f>IF(WWWW[[#This Row],[Total required water points]]-WWWW[[#This Row],['#Water points coverage]]&lt;0,0,WWWW[[#This Row],[Total required water points]]-WWWW[[#This Row],['#Water points coverage]])</f>
        <v>0.30799999999999983</v>
      </c>
      <c r="BD100" s="478">
        <f>ROUND(IF(WWWW[[#This Row],[Total PoP ]]&lt;250,1,WWWW[[#This Row],[Total PoP ]]/250),0)</f>
        <v>8</v>
      </c>
      <c r="BE10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0.34945397815912638</v>
      </c>
      <c r="BF100" s="483">
        <f>WWWW[[#This Row],[% people access to functioning Latrine]]*WWWW[[#This Row],[Total PoP ]]</f>
        <v>672</v>
      </c>
      <c r="BG100" s="478">
        <f>WWWW[[#This Row],['#_of_Functioning_latrines_in_school]]*50</f>
        <v>0</v>
      </c>
      <c r="BH100" s="478">
        <f>ROUND((WWWW[[#This Row],[Total PoP ]]/6),0)</f>
        <v>321</v>
      </c>
      <c r="BI100" s="478">
        <f>IF(WWWW[[#This Row],[Total required Latrines]]-(WWWW[[#This Row],['#_of_sanitary_fly-proof_HH_latrines]])&lt;0,0,WWWW[[#This Row],[Total required Latrines]]-(WWWW[[#This Row],['#_of_sanitary_fly-proof_HH_latrines]]))</f>
        <v>209</v>
      </c>
      <c r="BJ100" s="479">
        <f>1-WWWW[[#This Row],[% people access to functioning Latrine]]</f>
        <v>0.65054602184087362</v>
      </c>
      <c r="BK10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00" s="483">
        <f>IF(WWWW[[#This Row],['#_of_functional_handwashing_facilities_at_HH_level]]*6&gt;WWWW[[#This Row],[Total PoP ]],WWWW[[#This Row],[Total PoP ]],WWWW[[#This Row],['#_of_functional_handwashing_facilities_at_HH_level]]*6)</f>
        <v>0</v>
      </c>
      <c r="BM100" s="478">
        <f>IF(WWWW[[#This Row],['# people reached by regular dedicated hygiene promotion]]&gt;WWWW[[#This Row],['# People received regular supply of hygiene items]],WWWW[[#This Row],['# people reached by regular dedicated hygiene promotion]],WWWW[[#This Row],['# People received regular supply of hygiene items]])</f>
        <v>0</v>
      </c>
      <c r="BN100" s="476">
        <f>IF(WWWW[[#This Row],[HRP3]]/WWWW[[#This Row],[Total PoP ]]&gt;100%,100%,WWWW[[#This Row],[HRP3]]/WWWW[[#This Row],[Total PoP ]])</f>
        <v>0</v>
      </c>
      <c r="BO100" s="479">
        <f>1-WWWW[[#This Row],[Hygiene Coverage%]]</f>
        <v>1</v>
      </c>
      <c r="BP100" s="477">
        <f>WWWW[[#This Row],['# people reached by regular dedicated hygiene promotion]]/WWWW[[#This Row],[Total PoP ]]</f>
        <v>0</v>
      </c>
      <c r="BQ10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0" s="478">
        <f>WWWW[[#This Row],['#_of_affected_women_and_girls_receiving_a_sufficient_quantity_of_sanitary_pads]]</f>
        <v>0</v>
      </c>
      <c r="BS100" s="524">
        <f>IF(WWWW[[#This Row],['# People with access to soap]]&gt;WWWW[[#This Row],['# People with access to Sanity Pads]],WWWW[[#This Row],['# People with access to soap]],WWWW[[#This Row],['# People with access to Sanity Pads]])</f>
        <v>0</v>
      </c>
      <c r="BT100" s="483" t="str">
        <f>IF(OR(WWWW[[#This Row],['#of students in school]]="",WWWW[[#This Row],['#of students in school]]=0),"No","Yes")</f>
        <v>No</v>
      </c>
      <c r="BU100" s="480" t="str">
        <f>VLOOKUP(WWWW[[#This Row],[Village  Name]],SiteDB6[[Site Name]:[Location Type 1]],9,FALSE)</f>
        <v>Village</v>
      </c>
      <c r="BV100" s="480" t="str">
        <f>VLOOKUP(WWWW[[#This Row],[Village  Name]],SiteDB6[[Site Name]:[Type of Accommodation]],10,FALSE)</f>
        <v>Village</v>
      </c>
      <c r="BW100" s="480" t="str">
        <f>VLOOKUP(WWWW[[#This Row],[Village  Name]],SiteDB6[[Site Name]:[Ethnic or GCA/NGCA]],11,FALSE)</f>
        <v>Muslim</v>
      </c>
      <c r="BX100" s="480">
        <f>VLOOKUP(WWWW[[#This Row],[Village  Name]],SiteDB6[[Site Name]:[Lat]],12,FALSE)</f>
        <v>0</v>
      </c>
      <c r="BY100" s="480">
        <f>VLOOKUP(WWWW[[#This Row],[Village  Name]],SiteDB6[[Site Name]:[Long]],13,FALSE)</f>
        <v>0</v>
      </c>
      <c r="BZ100" s="480">
        <f>VLOOKUP(WWWW[[#This Row],[Village  Name]],SiteDB6[[Site Name]:[Pcode]],3,FALSE)</f>
        <v>196999</v>
      </c>
      <c r="CA100" s="480" t="str">
        <f t="shared" si="4"/>
        <v>Covered</v>
      </c>
      <c r="CB100" s="505"/>
    </row>
    <row r="101" spans="1:80">
      <c r="A101" s="774" t="s">
        <v>3150</v>
      </c>
      <c r="B101" s="774" t="s">
        <v>314</v>
      </c>
      <c r="C101" s="415" t="s">
        <v>314</v>
      </c>
      <c r="D101" s="415" t="s">
        <v>307</v>
      </c>
      <c r="E101" s="415" t="s">
        <v>2648</v>
      </c>
      <c r="F101" s="415" t="s">
        <v>312</v>
      </c>
      <c r="G101" s="644" t="str">
        <f>VLOOKUP(WWWW[[#This Row],[Village  Name]],SiteDB6[[Site Name]:[Location Type]],8,FALSE)</f>
        <v>Village</v>
      </c>
      <c r="H101" s="415" t="s">
        <v>2596</v>
      </c>
      <c r="I101" s="524">
        <v>146</v>
      </c>
      <c r="J101" s="524">
        <v>801</v>
      </c>
      <c r="K101" s="418">
        <v>42736</v>
      </c>
      <c r="L101" s="55">
        <v>44551</v>
      </c>
      <c r="M101" s="524"/>
      <c r="N101" s="524"/>
      <c r="O101" s="524">
        <v>17</v>
      </c>
      <c r="P101" s="524">
        <v>43</v>
      </c>
      <c r="Q101" s="524">
        <v>2</v>
      </c>
      <c r="R101" s="524"/>
      <c r="S101" s="524"/>
      <c r="T101" s="524"/>
      <c r="U101" s="551"/>
      <c r="V101" s="524">
        <v>78</v>
      </c>
      <c r="W101" s="524" t="s">
        <v>130</v>
      </c>
      <c r="X101" s="524"/>
      <c r="Y101" s="524"/>
      <c r="Z101" s="524"/>
      <c r="AA101" s="524"/>
      <c r="AB101" s="524"/>
      <c r="AC101" s="551"/>
      <c r="AD101" s="524">
        <v>118</v>
      </c>
      <c r="AE101" s="524">
        <v>216</v>
      </c>
      <c r="AF101" s="524">
        <v>46</v>
      </c>
      <c r="AG101" s="524">
        <v>65</v>
      </c>
      <c r="AH101" s="524"/>
      <c r="AI101" s="524"/>
      <c r="AJ101" s="524"/>
      <c r="AK101" s="524"/>
      <c r="AL101" s="524"/>
      <c r="AM101" s="524"/>
      <c r="AN101" s="551"/>
      <c r="AO101" s="477"/>
      <c r="AP101" s="477"/>
      <c r="AQ101" s="524"/>
      <c r="AR101" s="524"/>
      <c r="AS101" s="524"/>
      <c r="AT10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01" s="483">
        <f>WWWW[[#This Row],[%Equitable and continuous access to sufficient quantity of safe drinking water]]*WWWW[[#This Row],[Total PoP ]]</f>
        <v>801</v>
      </c>
      <c r="AV10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01" s="483">
        <f>WWWW[[#This Row],[% Access to unimproved water points]]*WWWW[[#This Row],[Total PoP ]]</f>
        <v>801</v>
      </c>
      <c r="AX10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0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801</v>
      </c>
      <c r="AZ101" s="483">
        <f>WWWW[[#This Row],[HRP1]]/250</f>
        <v>3.2040000000000002</v>
      </c>
      <c r="BA101" s="476">
        <f>1-WWWW[[#This Row],[% Equitable and continuous access to sufficient quantity of domestic water]]</f>
        <v>0</v>
      </c>
      <c r="BB101" s="483">
        <f>WWWW[[#This Row],[%equitable and continuous access to sufficient quantity of safe drinking and domestic water''s GAP]]*WWWW[[#This Row],[Total PoP ]]</f>
        <v>0</v>
      </c>
      <c r="BC101" s="478">
        <f>IF(WWWW[[#This Row],[Total required water points]]-WWWW[[#This Row],['#Water points coverage]]&lt;0,0,WWWW[[#This Row],[Total required water points]]-WWWW[[#This Row],['#Water points coverage]])</f>
        <v>0</v>
      </c>
      <c r="BD101" s="478">
        <f>ROUND(IF(WWWW[[#This Row],[Total PoP ]]&lt;250,1,WWWW[[#This Row],[Total PoP ]]/250),0)</f>
        <v>3</v>
      </c>
      <c r="BE10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0.5842696629213483</v>
      </c>
      <c r="BF101" s="483">
        <f>WWWW[[#This Row],[% people access to functioning Latrine]]*WWWW[[#This Row],[Total PoP ]]</f>
        <v>468</v>
      </c>
      <c r="BG101" s="478">
        <f>WWWW[[#This Row],['#_of_Functioning_latrines_in_school]]*50</f>
        <v>0</v>
      </c>
      <c r="BH101" s="478">
        <f>ROUND((WWWW[[#This Row],[Total PoP ]]/6),0)</f>
        <v>134</v>
      </c>
      <c r="BI101" s="478">
        <f>IF(WWWW[[#This Row],[Total required Latrines]]-(WWWW[[#This Row],['#_of_sanitary_fly-proof_HH_latrines]])&lt;0,0,WWWW[[#This Row],[Total required Latrines]]-(WWWW[[#This Row],['#_of_sanitary_fly-proof_HH_latrines]]))</f>
        <v>56</v>
      </c>
      <c r="BJ101" s="479">
        <f>1-WWWW[[#This Row],[% people access to functioning Latrine]]</f>
        <v>0.4157303370786517</v>
      </c>
      <c r="BK10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445</v>
      </c>
      <c r="BL101" s="483">
        <f>IF(WWWW[[#This Row],['#_of_functional_handwashing_facilities_at_HH_level]]*6&gt;WWWW[[#This Row],[Total PoP ]],WWWW[[#This Row],[Total PoP ]],WWWW[[#This Row],['#_of_functional_handwashing_facilities_at_HH_level]]*6)</f>
        <v>0</v>
      </c>
      <c r="BM101" s="478">
        <f>IF(WWWW[[#This Row],['# people reached by regular dedicated hygiene promotion]]&gt;WWWW[[#This Row],['# People received regular supply of hygiene items]],WWWW[[#This Row],['# people reached by regular dedicated hygiene promotion]],WWWW[[#This Row],['# People received regular supply of hygiene items]])</f>
        <v>445</v>
      </c>
      <c r="BN101" s="476">
        <f>IF(WWWW[[#This Row],[HRP3]]/WWWW[[#This Row],[Total PoP ]]&gt;100%,100%,WWWW[[#This Row],[HRP3]]/WWWW[[#This Row],[Total PoP ]])</f>
        <v>0.55555555555555558</v>
      </c>
      <c r="BO101" s="479">
        <f>1-WWWW[[#This Row],[Hygiene Coverage%]]</f>
        <v>0.44444444444444442</v>
      </c>
      <c r="BP101" s="477">
        <f>WWWW[[#This Row],['# people reached by regular dedicated hygiene promotion]]/WWWW[[#This Row],[Total PoP ]]</f>
        <v>0.55555555555555558</v>
      </c>
      <c r="BQ10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1" s="478">
        <f>WWWW[[#This Row],['#_of_affected_women_and_girls_receiving_a_sufficient_quantity_of_sanitary_pads]]</f>
        <v>0</v>
      </c>
      <c r="BS101" s="524">
        <f>IF(WWWW[[#This Row],['# People with access to soap]]&gt;WWWW[[#This Row],['# People with access to Sanity Pads]],WWWW[[#This Row],['# People with access to soap]],WWWW[[#This Row],['# People with access to Sanity Pads]])</f>
        <v>0</v>
      </c>
      <c r="BT101" s="483" t="str">
        <f>IF(OR(WWWW[[#This Row],['#of students in school]]="",WWWW[[#This Row],['#of students in school]]=0),"No","Yes")</f>
        <v>No</v>
      </c>
      <c r="BU101" s="480" t="str">
        <f>VLOOKUP(WWWW[[#This Row],[Village  Name]],SiteDB6[[Site Name]:[Location Type 1]],9,FALSE)</f>
        <v>Village</v>
      </c>
      <c r="BV101" s="480" t="str">
        <f>VLOOKUP(WWWW[[#This Row],[Village  Name]],SiteDB6[[Site Name]:[Type of Accommodation]],10,FALSE)</f>
        <v>Village</v>
      </c>
      <c r="BW101" s="480">
        <f>VLOOKUP(WWWW[[#This Row],[Village  Name]],SiteDB6[[Site Name]:[Ethnic or GCA/NGCA]],11,FALSE)</f>
        <v>0</v>
      </c>
      <c r="BX101" s="480">
        <f>VLOOKUP(WWWW[[#This Row],[Village  Name]],SiteDB6[[Site Name]:[Lat]],12,FALSE)</f>
        <v>20.3927307128906</v>
      </c>
      <c r="BY101" s="480">
        <f>VLOOKUP(WWWW[[#This Row],[Village  Name]],SiteDB6[[Site Name]:[Long]],13,FALSE)</f>
        <v>93.304817199707003</v>
      </c>
      <c r="BZ101" s="480">
        <f>VLOOKUP(WWWW[[#This Row],[Village  Name]],SiteDB6[[Site Name]:[Pcode]],3,FALSE)</f>
        <v>197017</v>
      </c>
      <c r="CA101" s="480" t="str">
        <f t="shared" si="4"/>
        <v>Covered</v>
      </c>
      <c r="CB101" s="505"/>
    </row>
    <row r="102" spans="1:80">
      <c r="A102" s="774" t="s">
        <v>3150</v>
      </c>
      <c r="B102" s="774" t="s">
        <v>314</v>
      </c>
      <c r="C102" s="415" t="s">
        <v>314</v>
      </c>
      <c r="D102" s="415" t="s">
        <v>307</v>
      </c>
      <c r="E102" s="415" t="s">
        <v>2648</v>
      </c>
      <c r="F102" s="415" t="s">
        <v>312</v>
      </c>
      <c r="G102" s="644" t="str">
        <f>VLOOKUP(WWWW[[#This Row],[Village  Name]],SiteDB6[[Site Name]:[Location Type]],8,FALSE)</f>
        <v>Village</v>
      </c>
      <c r="H102" s="415" t="s">
        <v>2597</v>
      </c>
      <c r="I102" s="524">
        <v>31</v>
      </c>
      <c r="J102" s="524">
        <v>156</v>
      </c>
      <c r="K102" s="418">
        <v>42736</v>
      </c>
      <c r="L102" s="55">
        <v>44551</v>
      </c>
      <c r="M102" s="524"/>
      <c r="N102" s="524"/>
      <c r="O102" s="524">
        <v>18</v>
      </c>
      <c r="P102" s="524">
        <v>116</v>
      </c>
      <c r="Q102" s="524">
        <v>4</v>
      </c>
      <c r="R102" s="524"/>
      <c r="S102" s="524"/>
      <c r="T102" s="524"/>
      <c r="U102" s="551"/>
      <c r="V102" s="524">
        <v>298</v>
      </c>
      <c r="W102" s="524" t="s">
        <v>130</v>
      </c>
      <c r="X102" s="524"/>
      <c r="Y102" s="524"/>
      <c r="Z102" s="524"/>
      <c r="AA102" s="524"/>
      <c r="AB102" s="524"/>
      <c r="AC102" s="551"/>
      <c r="AD102" s="524">
        <v>164</v>
      </c>
      <c r="AE102" s="524">
        <v>289</v>
      </c>
      <c r="AF102" s="524">
        <v>69</v>
      </c>
      <c r="AG102" s="524">
        <v>99</v>
      </c>
      <c r="AH102" s="524"/>
      <c r="AI102" s="524"/>
      <c r="AJ102" s="524"/>
      <c r="AK102" s="524"/>
      <c r="AL102" s="524"/>
      <c r="AM102" s="524"/>
      <c r="AN102" s="551"/>
      <c r="AO102" s="477"/>
      <c r="AP102" s="477"/>
      <c r="AQ102" s="524"/>
      <c r="AR102" s="524"/>
      <c r="AS102" s="524"/>
      <c r="AT10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02" s="483">
        <f>WWWW[[#This Row],[%Equitable and continuous access to sufficient quantity of safe drinking water]]*WWWW[[#This Row],[Total PoP ]]</f>
        <v>156</v>
      </c>
      <c r="AV10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02" s="483">
        <f>WWWW[[#This Row],[% Access to unimproved water points]]*WWWW[[#This Row],[Total PoP ]]</f>
        <v>156</v>
      </c>
      <c r="AX10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0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156</v>
      </c>
      <c r="AZ102" s="483">
        <f>WWWW[[#This Row],[HRP1]]/250</f>
        <v>0.624</v>
      </c>
      <c r="BA102" s="476">
        <f>1-WWWW[[#This Row],[% Equitable and continuous access to sufficient quantity of domestic water]]</f>
        <v>0</v>
      </c>
      <c r="BB102" s="483">
        <f>WWWW[[#This Row],[%equitable and continuous access to sufficient quantity of safe drinking and domestic water''s GAP]]*WWWW[[#This Row],[Total PoP ]]</f>
        <v>0</v>
      </c>
      <c r="BC102" s="478">
        <f>IF(WWWW[[#This Row],[Total required water points]]-WWWW[[#This Row],['#Water points coverage]]&lt;0,0,WWWW[[#This Row],[Total required water points]]-WWWW[[#This Row],['#Water points coverage]])</f>
        <v>0.376</v>
      </c>
      <c r="BD102" s="478">
        <f>ROUND(IF(WWWW[[#This Row],[Total PoP ]]&lt;250,1,WWWW[[#This Row],[Total PoP ]]/250),0)</f>
        <v>1</v>
      </c>
      <c r="BE10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02" s="483">
        <f>WWWW[[#This Row],[% people access to functioning Latrine]]*WWWW[[#This Row],[Total PoP ]]</f>
        <v>156</v>
      </c>
      <c r="BG102" s="478">
        <f>WWWW[[#This Row],['#_of_Functioning_latrines_in_school]]*50</f>
        <v>0</v>
      </c>
      <c r="BH102" s="478">
        <f>ROUND((WWWW[[#This Row],[Total PoP ]]/6),0)</f>
        <v>26</v>
      </c>
      <c r="BI102" s="478">
        <f>IF(WWWW[[#This Row],[Total required Latrines]]-(WWWW[[#This Row],['#_of_sanitary_fly-proof_HH_latrines]])&lt;0,0,WWWW[[#This Row],[Total required Latrines]]-(WWWW[[#This Row],['#_of_sanitary_fly-proof_HH_latrines]]))</f>
        <v>0</v>
      </c>
      <c r="BJ102" s="479">
        <f>1-WWWW[[#This Row],[% people access to functioning Latrine]]</f>
        <v>0</v>
      </c>
      <c r="BK10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156</v>
      </c>
      <c r="BL102" s="483">
        <f>IF(WWWW[[#This Row],['#_of_functional_handwashing_facilities_at_HH_level]]*6&gt;WWWW[[#This Row],[Total PoP ]],WWWW[[#This Row],[Total PoP ]],WWWW[[#This Row],['#_of_functional_handwashing_facilities_at_HH_level]]*6)</f>
        <v>0</v>
      </c>
      <c r="BM102" s="478">
        <f>IF(WWWW[[#This Row],['# people reached by regular dedicated hygiene promotion]]&gt;WWWW[[#This Row],['# People received regular supply of hygiene items]],WWWW[[#This Row],['# people reached by regular dedicated hygiene promotion]],WWWW[[#This Row],['# People received regular supply of hygiene items]])</f>
        <v>156</v>
      </c>
      <c r="BN102" s="476">
        <f>IF(WWWW[[#This Row],[HRP3]]/WWWW[[#This Row],[Total PoP ]]&gt;100%,100%,WWWW[[#This Row],[HRP3]]/WWWW[[#This Row],[Total PoP ]])</f>
        <v>1</v>
      </c>
      <c r="BO102" s="479">
        <f>1-WWWW[[#This Row],[Hygiene Coverage%]]</f>
        <v>0</v>
      </c>
      <c r="BP102" s="477">
        <f>WWWW[[#This Row],['# people reached by regular dedicated hygiene promotion]]/WWWW[[#This Row],[Total PoP ]]</f>
        <v>1</v>
      </c>
      <c r="BQ10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2" s="478">
        <f>WWWW[[#This Row],['#_of_affected_women_and_girls_receiving_a_sufficient_quantity_of_sanitary_pads]]</f>
        <v>0</v>
      </c>
      <c r="BS102" s="524">
        <f>IF(WWWW[[#This Row],['# People with access to soap]]&gt;WWWW[[#This Row],['# People with access to Sanity Pads]],WWWW[[#This Row],['# People with access to soap]],WWWW[[#This Row],['# People with access to Sanity Pads]])</f>
        <v>0</v>
      </c>
      <c r="BT102" s="483" t="str">
        <f>IF(OR(WWWW[[#This Row],['#of students in school]]="",WWWW[[#This Row],['#of students in school]]=0),"No","Yes")</f>
        <v>No</v>
      </c>
      <c r="BU102" s="480" t="str">
        <f>VLOOKUP(WWWW[[#This Row],[Village  Name]],SiteDB6[[Site Name]:[Location Type 1]],9,FALSE)</f>
        <v>Village</v>
      </c>
      <c r="BV102" s="480" t="str">
        <f>VLOOKUP(WWWW[[#This Row],[Village  Name]],SiteDB6[[Site Name]:[Type of Accommodation]],10,FALSE)</f>
        <v>Village</v>
      </c>
      <c r="BW102" s="480">
        <f>VLOOKUP(WWWW[[#This Row],[Village  Name]],SiteDB6[[Site Name]:[Ethnic or GCA/NGCA]],11,FALSE)</f>
        <v>0</v>
      </c>
      <c r="BX102" s="480">
        <f>VLOOKUP(WWWW[[#This Row],[Village  Name]],SiteDB6[[Site Name]:[Lat]],12,FALSE)</f>
        <v>20.406982421875</v>
      </c>
      <c r="BY102" s="480">
        <f>VLOOKUP(WWWW[[#This Row],[Village  Name]],SiteDB6[[Site Name]:[Long]],13,FALSE)</f>
        <v>93.312507629394503</v>
      </c>
      <c r="BZ102" s="480">
        <f>VLOOKUP(WWWW[[#This Row],[Village  Name]],SiteDB6[[Site Name]:[Pcode]],3,FALSE)</f>
        <v>197022</v>
      </c>
      <c r="CA102" s="480" t="str">
        <f t="shared" si="4"/>
        <v>Covered</v>
      </c>
      <c r="CB102" s="505"/>
    </row>
    <row r="103" spans="1:80">
      <c r="A103" s="774" t="s">
        <v>3150</v>
      </c>
      <c r="B103" s="774" t="s">
        <v>314</v>
      </c>
      <c r="C103" s="415" t="s">
        <v>314</v>
      </c>
      <c r="D103" s="415" t="s">
        <v>307</v>
      </c>
      <c r="E103" s="415" t="s">
        <v>2648</v>
      </c>
      <c r="F103" s="415" t="s">
        <v>312</v>
      </c>
      <c r="G103" s="644" t="str">
        <f>VLOOKUP(WWWW[[#This Row],[Village  Name]],SiteDB6[[Site Name]:[Location Type]],8,FALSE)</f>
        <v>Village</v>
      </c>
      <c r="H103" s="415" t="s">
        <v>2598</v>
      </c>
      <c r="I103" s="524">
        <v>96</v>
      </c>
      <c r="J103" s="524">
        <v>329</v>
      </c>
      <c r="K103" s="418">
        <v>42736</v>
      </c>
      <c r="L103" s="55">
        <v>44551</v>
      </c>
      <c r="M103" s="524"/>
      <c r="N103" s="524"/>
      <c r="O103" s="524">
        <v>28</v>
      </c>
      <c r="P103" s="524">
        <v>826</v>
      </c>
      <c r="Q103" s="524">
        <v>7</v>
      </c>
      <c r="R103" s="524"/>
      <c r="S103" s="524"/>
      <c r="T103" s="524"/>
      <c r="U103" s="551"/>
      <c r="V103" s="524">
        <v>1408</v>
      </c>
      <c r="W103" s="524" t="s">
        <v>130</v>
      </c>
      <c r="X103" s="524"/>
      <c r="Y103" s="524"/>
      <c r="Z103" s="524"/>
      <c r="AA103" s="524"/>
      <c r="AB103" s="524"/>
      <c r="AC103" s="551"/>
      <c r="AD103" s="524">
        <v>579</v>
      </c>
      <c r="AE103" s="524">
        <v>458</v>
      </c>
      <c r="AF103" s="524">
        <v>256</v>
      </c>
      <c r="AG103" s="524">
        <v>287</v>
      </c>
      <c r="AH103" s="524"/>
      <c r="AI103" s="524"/>
      <c r="AJ103" s="524"/>
      <c r="AK103" s="524"/>
      <c r="AL103" s="524"/>
      <c r="AM103" s="524"/>
      <c r="AN103" s="551"/>
      <c r="AO103" s="477"/>
      <c r="AP103" s="477"/>
      <c r="AQ103" s="524"/>
      <c r="AR103" s="524"/>
      <c r="AS103" s="524"/>
      <c r="AT10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03" s="483">
        <f>WWWW[[#This Row],[%Equitable and continuous access to sufficient quantity of safe drinking water]]*WWWW[[#This Row],[Total PoP ]]</f>
        <v>329</v>
      </c>
      <c r="AV10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03" s="483">
        <f>WWWW[[#This Row],[% Access to unimproved water points]]*WWWW[[#This Row],[Total PoP ]]</f>
        <v>329</v>
      </c>
      <c r="AX10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0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329</v>
      </c>
      <c r="AZ103" s="483">
        <f>WWWW[[#This Row],[HRP1]]/250</f>
        <v>1.3160000000000001</v>
      </c>
      <c r="BA103" s="476">
        <f>1-WWWW[[#This Row],[% Equitable and continuous access to sufficient quantity of domestic water]]</f>
        <v>0</v>
      </c>
      <c r="BB103" s="483">
        <f>WWWW[[#This Row],[%equitable and continuous access to sufficient quantity of safe drinking and domestic water''s GAP]]*WWWW[[#This Row],[Total PoP ]]</f>
        <v>0</v>
      </c>
      <c r="BC103" s="478">
        <f>IF(WWWW[[#This Row],[Total required water points]]-WWWW[[#This Row],['#Water points coverage]]&lt;0,0,WWWW[[#This Row],[Total required water points]]-WWWW[[#This Row],['#Water points coverage]])</f>
        <v>0</v>
      </c>
      <c r="BD103" s="478">
        <f>ROUND(IF(WWWW[[#This Row],[Total PoP ]]&lt;250,1,WWWW[[#This Row],[Total PoP ]]/250),0)</f>
        <v>1</v>
      </c>
      <c r="BE10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03" s="483">
        <f>WWWW[[#This Row],[% people access to functioning Latrine]]*WWWW[[#This Row],[Total PoP ]]</f>
        <v>329</v>
      </c>
      <c r="BG103" s="478">
        <f>WWWW[[#This Row],['#_of_Functioning_latrines_in_school]]*50</f>
        <v>0</v>
      </c>
      <c r="BH103" s="478">
        <f>ROUND((WWWW[[#This Row],[Total PoP ]]/6),0)</f>
        <v>55</v>
      </c>
      <c r="BI103" s="478">
        <f>IF(WWWW[[#This Row],[Total required Latrines]]-(WWWW[[#This Row],['#_of_sanitary_fly-proof_HH_latrines]])&lt;0,0,WWWW[[#This Row],[Total required Latrines]]-(WWWW[[#This Row],['#_of_sanitary_fly-proof_HH_latrines]]))</f>
        <v>0</v>
      </c>
      <c r="BJ103" s="479">
        <f>1-WWWW[[#This Row],[% people access to functioning Latrine]]</f>
        <v>0</v>
      </c>
      <c r="BK10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329</v>
      </c>
      <c r="BL103" s="483">
        <f>IF(WWWW[[#This Row],['#_of_functional_handwashing_facilities_at_HH_level]]*6&gt;WWWW[[#This Row],[Total PoP ]],WWWW[[#This Row],[Total PoP ]],WWWW[[#This Row],['#_of_functional_handwashing_facilities_at_HH_level]]*6)</f>
        <v>0</v>
      </c>
      <c r="BM103" s="478">
        <f>IF(WWWW[[#This Row],['# people reached by regular dedicated hygiene promotion]]&gt;WWWW[[#This Row],['# People received regular supply of hygiene items]],WWWW[[#This Row],['# people reached by regular dedicated hygiene promotion]],WWWW[[#This Row],['# People received regular supply of hygiene items]])</f>
        <v>329</v>
      </c>
      <c r="BN103" s="476">
        <f>IF(WWWW[[#This Row],[HRP3]]/WWWW[[#This Row],[Total PoP ]]&gt;100%,100%,WWWW[[#This Row],[HRP3]]/WWWW[[#This Row],[Total PoP ]])</f>
        <v>1</v>
      </c>
      <c r="BO103" s="479">
        <f>1-WWWW[[#This Row],[Hygiene Coverage%]]</f>
        <v>0</v>
      </c>
      <c r="BP103" s="477">
        <f>WWWW[[#This Row],['# people reached by regular dedicated hygiene promotion]]/WWWW[[#This Row],[Total PoP ]]</f>
        <v>1</v>
      </c>
      <c r="BQ10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3" s="478">
        <f>WWWW[[#This Row],['#_of_affected_women_and_girls_receiving_a_sufficient_quantity_of_sanitary_pads]]</f>
        <v>0</v>
      </c>
      <c r="BS103" s="524">
        <f>IF(WWWW[[#This Row],['# People with access to soap]]&gt;WWWW[[#This Row],['# People with access to Sanity Pads]],WWWW[[#This Row],['# People with access to soap]],WWWW[[#This Row],['# People with access to Sanity Pads]])</f>
        <v>0</v>
      </c>
      <c r="BT103" s="483" t="str">
        <f>IF(OR(WWWW[[#This Row],['#of students in school]]="",WWWW[[#This Row],['#of students in school]]=0),"No","Yes")</f>
        <v>No</v>
      </c>
      <c r="BU103" s="480" t="str">
        <f>VLOOKUP(WWWW[[#This Row],[Village  Name]],SiteDB6[[Site Name]:[Location Type 1]],9,FALSE)</f>
        <v>Village</v>
      </c>
      <c r="BV103" s="480" t="str">
        <f>VLOOKUP(WWWW[[#This Row],[Village  Name]],SiteDB6[[Site Name]:[Type of Accommodation]],10,FALSE)</f>
        <v>Village</v>
      </c>
      <c r="BW103" s="480">
        <f>VLOOKUP(WWWW[[#This Row],[Village  Name]],SiteDB6[[Site Name]:[Ethnic or GCA/NGCA]],11,FALSE)</f>
        <v>0</v>
      </c>
      <c r="BX103" s="480">
        <f>VLOOKUP(WWWW[[#This Row],[Village  Name]],SiteDB6[[Site Name]:[Lat]],12,FALSE)</f>
        <v>20.404491424560501</v>
      </c>
      <c r="BY103" s="480">
        <f>VLOOKUP(WWWW[[#This Row],[Village  Name]],SiteDB6[[Site Name]:[Long]],13,FALSE)</f>
        <v>93.321144104003906</v>
      </c>
      <c r="BZ103" s="480">
        <f>VLOOKUP(WWWW[[#This Row],[Village  Name]],SiteDB6[[Site Name]:[Pcode]],3,FALSE)</f>
        <v>197020</v>
      </c>
      <c r="CA103" s="480" t="str">
        <f t="shared" si="4"/>
        <v>Covered</v>
      </c>
      <c r="CB103" s="505"/>
    </row>
    <row r="104" spans="1:80">
      <c r="A104" s="774" t="s">
        <v>3150</v>
      </c>
      <c r="B104" s="774" t="s">
        <v>314</v>
      </c>
      <c r="C104" s="415" t="s">
        <v>314</v>
      </c>
      <c r="D104" s="415" t="s">
        <v>307</v>
      </c>
      <c r="E104" s="415" t="s">
        <v>2648</v>
      </c>
      <c r="F104" s="415" t="s">
        <v>312</v>
      </c>
      <c r="G104" s="644" t="str">
        <f>VLOOKUP(WWWW[[#This Row],[Village  Name]],SiteDB6[[Site Name]:[Location Type]],8,FALSE)</f>
        <v>Village</v>
      </c>
      <c r="H104" s="415" t="s">
        <v>2599</v>
      </c>
      <c r="I104" s="524">
        <v>37</v>
      </c>
      <c r="J104" s="524">
        <v>119</v>
      </c>
      <c r="K104" s="418">
        <v>42736</v>
      </c>
      <c r="L104" s="55">
        <v>44551</v>
      </c>
      <c r="M104" s="524"/>
      <c r="N104" s="524"/>
      <c r="O104" s="524">
        <v>12</v>
      </c>
      <c r="P104" s="524">
        <v>208</v>
      </c>
      <c r="Q104" s="524">
        <v>3</v>
      </c>
      <c r="R104" s="524"/>
      <c r="S104" s="524"/>
      <c r="T104" s="524"/>
      <c r="U104" s="551"/>
      <c r="V104" s="524">
        <v>255</v>
      </c>
      <c r="W104" s="524" t="s">
        <v>130</v>
      </c>
      <c r="X104" s="524"/>
      <c r="Y104" s="524"/>
      <c r="Z104" s="524"/>
      <c r="AA104" s="524"/>
      <c r="AB104" s="524"/>
      <c r="AC104" s="551"/>
      <c r="AD104" s="524"/>
      <c r="AE104" s="524"/>
      <c r="AF104" s="524"/>
      <c r="AG104" s="524"/>
      <c r="AH104" s="524"/>
      <c r="AI104" s="524"/>
      <c r="AJ104" s="524"/>
      <c r="AK104" s="524"/>
      <c r="AL104" s="524"/>
      <c r="AM104" s="524"/>
      <c r="AN104" s="551"/>
      <c r="AO104" s="477"/>
      <c r="AP104" s="477"/>
      <c r="AQ104" s="524"/>
      <c r="AR104" s="524"/>
      <c r="AS104" s="524"/>
      <c r="AT10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04" s="483">
        <f>WWWW[[#This Row],[%Equitable and continuous access to sufficient quantity of safe drinking water]]*WWWW[[#This Row],[Total PoP ]]</f>
        <v>119</v>
      </c>
      <c r="AV10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04" s="483">
        <f>WWWW[[#This Row],[% Access to unimproved water points]]*WWWW[[#This Row],[Total PoP ]]</f>
        <v>119</v>
      </c>
      <c r="AX10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0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119</v>
      </c>
      <c r="AZ104" s="483">
        <f>WWWW[[#This Row],[HRP1]]/250</f>
        <v>0.47599999999999998</v>
      </c>
      <c r="BA104" s="476">
        <f>1-WWWW[[#This Row],[% Equitable and continuous access to sufficient quantity of domestic water]]</f>
        <v>0</v>
      </c>
      <c r="BB104" s="483">
        <f>WWWW[[#This Row],[%equitable and continuous access to sufficient quantity of safe drinking and domestic water''s GAP]]*WWWW[[#This Row],[Total PoP ]]</f>
        <v>0</v>
      </c>
      <c r="BC104" s="478">
        <f>IF(WWWW[[#This Row],[Total required water points]]-WWWW[[#This Row],['#Water points coverage]]&lt;0,0,WWWW[[#This Row],[Total required water points]]-WWWW[[#This Row],['#Water points coverage]])</f>
        <v>0.52400000000000002</v>
      </c>
      <c r="BD104" s="478">
        <f>ROUND(IF(WWWW[[#This Row],[Total PoP ]]&lt;250,1,WWWW[[#This Row],[Total PoP ]]/250),0)</f>
        <v>1</v>
      </c>
      <c r="BE10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04" s="483">
        <f>WWWW[[#This Row],[% people access to functioning Latrine]]*WWWW[[#This Row],[Total PoP ]]</f>
        <v>119</v>
      </c>
      <c r="BG104" s="478">
        <f>WWWW[[#This Row],['#_of_Functioning_latrines_in_school]]*50</f>
        <v>0</v>
      </c>
      <c r="BH104" s="478">
        <f>ROUND((WWWW[[#This Row],[Total PoP ]]/6),0)</f>
        <v>20</v>
      </c>
      <c r="BI104" s="478">
        <f>IF(WWWW[[#This Row],[Total required Latrines]]-(WWWW[[#This Row],['#_of_sanitary_fly-proof_HH_latrines]])&lt;0,0,WWWW[[#This Row],[Total required Latrines]]-(WWWW[[#This Row],['#_of_sanitary_fly-proof_HH_latrines]]))</f>
        <v>0</v>
      </c>
      <c r="BJ104" s="479">
        <f>1-WWWW[[#This Row],[% people access to functioning Latrine]]</f>
        <v>0</v>
      </c>
      <c r="BK10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04" s="483">
        <f>IF(WWWW[[#This Row],['#_of_functional_handwashing_facilities_at_HH_level]]*6&gt;WWWW[[#This Row],[Total PoP ]],WWWW[[#This Row],[Total PoP ]],WWWW[[#This Row],['#_of_functional_handwashing_facilities_at_HH_level]]*6)</f>
        <v>0</v>
      </c>
      <c r="BM104" s="478">
        <f>IF(WWWW[[#This Row],['# people reached by regular dedicated hygiene promotion]]&gt;WWWW[[#This Row],['# People received regular supply of hygiene items]],WWWW[[#This Row],['# people reached by regular dedicated hygiene promotion]],WWWW[[#This Row],['# People received regular supply of hygiene items]])</f>
        <v>0</v>
      </c>
      <c r="BN104" s="476">
        <f>IF(WWWW[[#This Row],[HRP3]]/WWWW[[#This Row],[Total PoP ]]&gt;100%,100%,WWWW[[#This Row],[HRP3]]/WWWW[[#This Row],[Total PoP ]])</f>
        <v>0</v>
      </c>
      <c r="BO104" s="479">
        <f>1-WWWW[[#This Row],[Hygiene Coverage%]]</f>
        <v>1</v>
      </c>
      <c r="BP104" s="477">
        <f>WWWW[[#This Row],['# people reached by regular dedicated hygiene promotion]]/WWWW[[#This Row],[Total PoP ]]</f>
        <v>0</v>
      </c>
      <c r="BQ10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4" s="478">
        <f>WWWW[[#This Row],['#_of_affected_women_and_girls_receiving_a_sufficient_quantity_of_sanitary_pads]]</f>
        <v>0</v>
      </c>
      <c r="BS104" s="524">
        <f>IF(WWWW[[#This Row],['# People with access to soap]]&gt;WWWW[[#This Row],['# People with access to Sanity Pads]],WWWW[[#This Row],['# People with access to soap]],WWWW[[#This Row],['# People with access to Sanity Pads]])</f>
        <v>0</v>
      </c>
      <c r="BT104" s="483" t="str">
        <f>IF(OR(WWWW[[#This Row],['#of students in school]]="",WWWW[[#This Row],['#of students in school]]=0),"No","Yes")</f>
        <v>No</v>
      </c>
      <c r="BU104" s="480" t="str">
        <f>VLOOKUP(WWWW[[#This Row],[Village  Name]],SiteDB6[[Site Name]:[Location Type 1]],9,FALSE)</f>
        <v>Village</v>
      </c>
      <c r="BV104" s="480" t="str">
        <f>VLOOKUP(WWWW[[#This Row],[Village  Name]],SiteDB6[[Site Name]:[Type of Accommodation]],10,FALSE)</f>
        <v>Village</v>
      </c>
      <c r="BW104" s="480">
        <f>VLOOKUP(WWWW[[#This Row],[Village  Name]],SiteDB6[[Site Name]:[Ethnic or GCA/NGCA]],11,FALSE)</f>
        <v>0</v>
      </c>
      <c r="BX104" s="480">
        <f>VLOOKUP(WWWW[[#This Row],[Village  Name]],SiteDB6[[Site Name]:[Lat]],12,FALSE)</f>
        <v>20.428560256958001</v>
      </c>
      <c r="BY104" s="480">
        <f>VLOOKUP(WWWW[[#This Row],[Village  Name]],SiteDB6[[Site Name]:[Long]],13,FALSE)</f>
        <v>93.305938720703097</v>
      </c>
      <c r="BZ104" s="480">
        <f>VLOOKUP(WWWW[[#This Row],[Village  Name]],SiteDB6[[Site Name]:[Pcode]],3,FALSE)</f>
        <v>197027</v>
      </c>
      <c r="CA104" s="480" t="str">
        <f t="shared" si="4"/>
        <v>Covered</v>
      </c>
      <c r="CB104" s="505"/>
    </row>
    <row r="105" spans="1:80">
      <c r="A105" s="774" t="s">
        <v>3150</v>
      </c>
      <c r="B105" s="774" t="s">
        <v>314</v>
      </c>
      <c r="C105" s="415" t="s">
        <v>314</v>
      </c>
      <c r="D105" s="415" t="s">
        <v>307</v>
      </c>
      <c r="E105" s="415" t="s">
        <v>2648</v>
      </c>
      <c r="F105" s="415" t="s">
        <v>312</v>
      </c>
      <c r="G105" s="644" t="str">
        <f>VLOOKUP(WWWW[[#This Row],[Village  Name]],SiteDB6[[Site Name]:[Location Type]],8,FALSE)</f>
        <v>Village</v>
      </c>
      <c r="H105" s="415" t="s">
        <v>2600</v>
      </c>
      <c r="I105" s="524">
        <v>167</v>
      </c>
      <c r="J105" s="524">
        <v>1027</v>
      </c>
      <c r="K105" s="418">
        <v>42736</v>
      </c>
      <c r="L105" s="55">
        <v>44551</v>
      </c>
      <c r="M105" s="524"/>
      <c r="N105" s="524"/>
      <c r="O105" s="524">
        <v>6</v>
      </c>
      <c r="P105" s="524">
        <v>49</v>
      </c>
      <c r="Q105" s="524">
        <v>2</v>
      </c>
      <c r="R105" s="524"/>
      <c r="S105" s="524"/>
      <c r="T105" s="524"/>
      <c r="U105" s="551"/>
      <c r="V105" s="524">
        <v>66</v>
      </c>
      <c r="W105" s="524" t="s">
        <v>130</v>
      </c>
      <c r="X105" s="524"/>
      <c r="Y105" s="524"/>
      <c r="Z105" s="524"/>
      <c r="AA105" s="524"/>
      <c r="AB105" s="524"/>
      <c r="AC105" s="551"/>
      <c r="AD105" s="524"/>
      <c r="AE105" s="524"/>
      <c r="AF105" s="524"/>
      <c r="AG105" s="524"/>
      <c r="AH105" s="524"/>
      <c r="AI105" s="524"/>
      <c r="AJ105" s="524"/>
      <c r="AK105" s="524"/>
      <c r="AL105" s="524"/>
      <c r="AM105" s="524"/>
      <c r="AN105" s="551"/>
      <c r="AO105" s="477"/>
      <c r="AP105" s="477"/>
      <c r="AQ105" s="524"/>
      <c r="AR105" s="524"/>
      <c r="AS105" s="524"/>
      <c r="AT10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05" s="483">
        <f>WWWW[[#This Row],[%Equitable and continuous access to sufficient quantity of safe drinking water]]*WWWW[[#This Row],[Total PoP ]]</f>
        <v>1027</v>
      </c>
      <c r="AV10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05" s="483">
        <f>WWWW[[#This Row],[% Access to unimproved water points]]*WWWW[[#This Row],[Total PoP ]]</f>
        <v>1027</v>
      </c>
      <c r="AX10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0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1027</v>
      </c>
      <c r="AZ105" s="483">
        <f>WWWW[[#This Row],[HRP1]]/250</f>
        <v>4.1079999999999997</v>
      </c>
      <c r="BA105" s="476">
        <f>1-WWWW[[#This Row],[% Equitable and continuous access to sufficient quantity of domestic water]]</f>
        <v>0</v>
      </c>
      <c r="BB105" s="483">
        <f>WWWW[[#This Row],[%equitable and continuous access to sufficient quantity of safe drinking and domestic water''s GAP]]*WWWW[[#This Row],[Total PoP ]]</f>
        <v>0</v>
      </c>
      <c r="BC105" s="478">
        <f>IF(WWWW[[#This Row],[Total required water points]]-WWWW[[#This Row],['#Water points coverage]]&lt;0,0,WWWW[[#This Row],[Total required water points]]-WWWW[[#This Row],['#Water points coverage]])</f>
        <v>0</v>
      </c>
      <c r="BD105" s="478">
        <f>ROUND(IF(WWWW[[#This Row],[Total PoP ]]&lt;250,1,WWWW[[#This Row],[Total PoP ]]/250),0)</f>
        <v>4</v>
      </c>
      <c r="BE10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0.38558909444985395</v>
      </c>
      <c r="BF105" s="483">
        <f>WWWW[[#This Row],[% people access to functioning Latrine]]*WWWW[[#This Row],[Total PoP ]]</f>
        <v>396</v>
      </c>
      <c r="BG105" s="478">
        <f>WWWW[[#This Row],['#_of_Functioning_latrines_in_school]]*50</f>
        <v>0</v>
      </c>
      <c r="BH105" s="478">
        <f>ROUND((WWWW[[#This Row],[Total PoP ]]/6),0)</f>
        <v>171</v>
      </c>
      <c r="BI105" s="478">
        <f>IF(WWWW[[#This Row],[Total required Latrines]]-(WWWW[[#This Row],['#_of_sanitary_fly-proof_HH_latrines]])&lt;0,0,WWWW[[#This Row],[Total required Latrines]]-(WWWW[[#This Row],['#_of_sanitary_fly-proof_HH_latrines]]))</f>
        <v>105</v>
      </c>
      <c r="BJ105" s="479">
        <f>1-WWWW[[#This Row],[% people access to functioning Latrine]]</f>
        <v>0.6144109055501461</v>
      </c>
      <c r="BK10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05" s="483">
        <f>IF(WWWW[[#This Row],['#_of_functional_handwashing_facilities_at_HH_level]]*6&gt;WWWW[[#This Row],[Total PoP ]],WWWW[[#This Row],[Total PoP ]],WWWW[[#This Row],['#_of_functional_handwashing_facilities_at_HH_level]]*6)</f>
        <v>0</v>
      </c>
      <c r="BM105" s="478">
        <f>IF(WWWW[[#This Row],['# people reached by regular dedicated hygiene promotion]]&gt;WWWW[[#This Row],['# People received regular supply of hygiene items]],WWWW[[#This Row],['# people reached by regular dedicated hygiene promotion]],WWWW[[#This Row],['# People received regular supply of hygiene items]])</f>
        <v>0</v>
      </c>
      <c r="BN105" s="476">
        <f>IF(WWWW[[#This Row],[HRP3]]/WWWW[[#This Row],[Total PoP ]]&gt;100%,100%,WWWW[[#This Row],[HRP3]]/WWWW[[#This Row],[Total PoP ]])</f>
        <v>0</v>
      </c>
      <c r="BO105" s="479">
        <f>1-WWWW[[#This Row],[Hygiene Coverage%]]</f>
        <v>1</v>
      </c>
      <c r="BP105" s="477">
        <f>WWWW[[#This Row],['# people reached by regular dedicated hygiene promotion]]/WWWW[[#This Row],[Total PoP ]]</f>
        <v>0</v>
      </c>
      <c r="BQ10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5" s="478">
        <f>WWWW[[#This Row],['#_of_affected_women_and_girls_receiving_a_sufficient_quantity_of_sanitary_pads]]</f>
        <v>0</v>
      </c>
      <c r="BS105" s="524">
        <f>IF(WWWW[[#This Row],['# People with access to soap]]&gt;WWWW[[#This Row],['# People with access to Sanity Pads]],WWWW[[#This Row],['# People with access to soap]],WWWW[[#This Row],['# People with access to Sanity Pads]])</f>
        <v>0</v>
      </c>
      <c r="BT105" s="483" t="str">
        <f>IF(OR(WWWW[[#This Row],['#of students in school]]="",WWWW[[#This Row],['#of students in school]]=0),"No","Yes")</f>
        <v>No</v>
      </c>
      <c r="BU105" s="480" t="str">
        <f>VLOOKUP(WWWW[[#This Row],[Village  Name]],SiteDB6[[Site Name]:[Location Type 1]],9,FALSE)</f>
        <v>Village</v>
      </c>
      <c r="BV105" s="480" t="str">
        <f>VLOOKUP(WWWW[[#This Row],[Village  Name]],SiteDB6[[Site Name]:[Type of Accommodation]],10,FALSE)</f>
        <v>Village</v>
      </c>
      <c r="BW105" s="480">
        <f>VLOOKUP(WWWW[[#This Row],[Village  Name]],SiteDB6[[Site Name]:[Ethnic or GCA/NGCA]],11,FALSE)</f>
        <v>0</v>
      </c>
      <c r="BX105" s="480">
        <f>VLOOKUP(WWWW[[#This Row],[Village  Name]],SiteDB6[[Site Name]:[Lat]],12,FALSE)</f>
        <v>20.4226398468018</v>
      </c>
      <c r="BY105" s="480">
        <f>VLOOKUP(WWWW[[#This Row],[Village  Name]],SiteDB6[[Site Name]:[Long]],13,FALSE)</f>
        <v>93.307182312011705</v>
      </c>
      <c r="BZ105" s="480">
        <f>VLOOKUP(WWWW[[#This Row],[Village  Name]],SiteDB6[[Site Name]:[Pcode]],3,FALSE)</f>
        <v>197028</v>
      </c>
      <c r="CA105" s="480" t="str">
        <f t="shared" si="4"/>
        <v>Covered</v>
      </c>
      <c r="CB105" s="505"/>
    </row>
    <row r="106" spans="1:80">
      <c r="A106" s="774" t="s">
        <v>3150</v>
      </c>
      <c r="B106" s="774" t="s">
        <v>314</v>
      </c>
      <c r="C106" s="415" t="s">
        <v>314</v>
      </c>
      <c r="D106" s="415" t="s">
        <v>307</v>
      </c>
      <c r="E106" s="415" t="s">
        <v>2648</v>
      </c>
      <c r="F106" s="415" t="s">
        <v>312</v>
      </c>
      <c r="G106" s="644" t="str">
        <f>VLOOKUP(WWWW[[#This Row],[Village  Name]],SiteDB6[[Site Name]:[Location Type]],8,FALSE)</f>
        <v>Village</v>
      </c>
      <c r="H106" s="415" t="s">
        <v>2601</v>
      </c>
      <c r="I106" s="524">
        <v>90</v>
      </c>
      <c r="J106" s="524">
        <v>414</v>
      </c>
      <c r="K106" s="418">
        <v>42736</v>
      </c>
      <c r="L106" s="55">
        <v>44551</v>
      </c>
      <c r="M106" s="524"/>
      <c r="N106" s="524"/>
      <c r="O106" s="524">
        <v>0</v>
      </c>
      <c r="P106" s="524">
        <v>9</v>
      </c>
      <c r="Q106" s="524">
        <v>1</v>
      </c>
      <c r="R106" s="524"/>
      <c r="S106" s="524"/>
      <c r="T106" s="524"/>
      <c r="U106" s="551"/>
      <c r="V106" s="524">
        <v>12</v>
      </c>
      <c r="W106" s="524" t="s">
        <v>130</v>
      </c>
      <c r="X106" s="524"/>
      <c r="Y106" s="524"/>
      <c r="Z106" s="524"/>
      <c r="AA106" s="524"/>
      <c r="AB106" s="524"/>
      <c r="AC106" s="551"/>
      <c r="AD106" s="524"/>
      <c r="AE106" s="524"/>
      <c r="AF106" s="524"/>
      <c r="AG106" s="524"/>
      <c r="AH106" s="524"/>
      <c r="AI106" s="524"/>
      <c r="AJ106" s="524"/>
      <c r="AK106" s="524"/>
      <c r="AL106" s="524"/>
      <c r="AM106" s="524"/>
      <c r="AN106" s="551"/>
      <c r="AO106" s="477"/>
      <c r="AP106" s="477"/>
      <c r="AQ106" s="524"/>
      <c r="AR106" s="524"/>
      <c r="AS106" s="524"/>
      <c r="AT10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06" s="483">
        <f>WWWW[[#This Row],[%Equitable and continuous access to sufficient quantity of safe drinking water]]*WWWW[[#This Row],[Total PoP ]]</f>
        <v>414</v>
      </c>
      <c r="AV10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06" s="483">
        <f>WWWW[[#This Row],[% Access to unimproved water points]]*WWWW[[#This Row],[Total PoP ]]</f>
        <v>414</v>
      </c>
      <c r="AX10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0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414</v>
      </c>
      <c r="AZ106" s="483">
        <f>WWWW[[#This Row],[HRP1]]/250</f>
        <v>1.6559999999999999</v>
      </c>
      <c r="BA106" s="476">
        <f>1-WWWW[[#This Row],[% Equitable and continuous access to sufficient quantity of domestic water]]</f>
        <v>0</v>
      </c>
      <c r="BB106" s="483">
        <f>WWWW[[#This Row],[%equitable and continuous access to sufficient quantity of safe drinking and domestic water''s GAP]]*WWWW[[#This Row],[Total PoP ]]</f>
        <v>0</v>
      </c>
      <c r="BC106" s="478">
        <f>IF(WWWW[[#This Row],[Total required water points]]-WWWW[[#This Row],['#Water points coverage]]&lt;0,0,WWWW[[#This Row],[Total required water points]]-WWWW[[#This Row],['#Water points coverage]])</f>
        <v>0.34400000000000008</v>
      </c>
      <c r="BD106" s="478">
        <f>ROUND(IF(WWWW[[#This Row],[Total PoP ]]&lt;250,1,WWWW[[#This Row],[Total PoP ]]/250),0)</f>
        <v>2</v>
      </c>
      <c r="BE10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0.17391304347826086</v>
      </c>
      <c r="BF106" s="483">
        <f>WWWW[[#This Row],[% people access to functioning Latrine]]*WWWW[[#This Row],[Total PoP ]]</f>
        <v>72</v>
      </c>
      <c r="BG106" s="478">
        <f>WWWW[[#This Row],['#_of_Functioning_latrines_in_school]]*50</f>
        <v>0</v>
      </c>
      <c r="BH106" s="478">
        <f>ROUND((WWWW[[#This Row],[Total PoP ]]/6),0)</f>
        <v>69</v>
      </c>
      <c r="BI106" s="478">
        <f>IF(WWWW[[#This Row],[Total required Latrines]]-(WWWW[[#This Row],['#_of_sanitary_fly-proof_HH_latrines]])&lt;0,0,WWWW[[#This Row],[Total required Latrines]]-(WWWW[[#This Row],['#_of_sanitary_fly-proof_HH_latrines]]))</f>
        <v>57</v>
      </c>
      <c r="BJ106" s="479">
        <f>1-WWWW[[#This Row],[% people access to functioning Latrine]]</f>
        <v>0.82608695652173914</v>
      </c>
      <c r="BK10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06" s="483">
        <f>IF(WWWW[[#This Row],['#_of_functional_handwashing_facilities_at_HH_level]]*6&gt;WWWW[[#This Row],[Total PoP ]],WWWW[[#This Row],[Total PoP ]],WWWW[[#This Row],['#_of_functional_handwashing_facilities_at_HH_level]]*6)</f>
        <v>0</v>
      </c>
      <c r="BM106" s="478">
        <f>IF(WWWW[[#This Row],['# people reached by regular dedicated hygiene promotion]]&gt;WWWW[[#This Row],['# People received regular supply of hygiene items]],WWWW[[#This Row],['# people reached by regular dedicated hygiene promotion]],WWWW[[#This Row],['# People received regular supply of hygiene items]])</f>
        <v>0</v>
      </c>
      <c r="BN106" s="476">
        <f>IF(WWWW[[#This Row],[HRP3]]/WWWW[[#This Row],[Total PoP ]]&gt;100%,100%,WWWW[[#This Row],[HRP3]]/WWWW[[#This Row],[Total PoP ]])</f>
        <v>0</v>
      </c>
      <c r="BO106" s="479">
        <f>1-WWWW[[#This Row],[Hygiene Coverage%]]</f>
        <v>1</v>
      </c>
      <c r="BP106" s="477">
        <f>WWWW[[#This Row],['# people reached by regular dedicated hygiene promotion]]/WWWW[[#This Row],[Total PoP ]]</f>
        <v>0</v>
      </c>
      <c r="BQ10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6" s="478">
        <f>WWWW[[#This Row],['#_of_affected_women_and_girls_receiving_a_sufficient_quantity_of_sanitary_pads]]</f>
        <v>0</v>
      </c>
      <c r="BS106" s="524">
        <f>IF(WWWW[[#This Row],['# People with access to soap]]&gt;WWWW[[#This Row],['# People with access to Sanity Pads]],WWWW[[#This Row],['# People with access to soap]],WWWW[[#This Row],['# People with access to Sanity Pads]])</f>
        <v>0</v>
      </c>
      <c r="BT106" s="483" t="str">
        <f>IF(OR(WWWW[[#This Row],['#of students in school]]="",WWWW[[#This Row],['#of students in school]]=0),"No","Yes")</f>
        <v>No</v>
      </c>
      <c r="BU106" s="480" t="str">
        <f>VLOOKUP(WWWW[[#This Row],[Village  Name]],SiteDB6[[Site Name]:[Location Type 1]],9,FALSE)</f>
        <v>Village</v>
      </c>
      <c r="BV106" s="480" t="str">
        <f>VLOOKUP(WWWW[[#This Row],[Village  Name]],SiteDB6[[Site Name]:[Type of Accommodation]],10,FALSE)</f>
        <v>Village</v>
      </c>
      <c r="BW106" s="480">
        <f>VLOOKUP(WWWW[[#This Row],[Village  Name]],SiteDB6[[Site Name]:[Ethnic or GCA/NGCA]],11,FALSE)</f>
        <v>0</v>
      </c>
      <c r="BX106" s="480">
        <f>VLOOKUP(WWWW[[#This Row],[Village  Name]],SiteDB6[[Site Name]:[Lat]],12,FALSE)</f>
        <v>20.437318801879901</v>
      </c>
      <c r="BY106" s="480">
        <f>VLOOKUP(WWWW[[#This Row],[Village  Name]],SiteDB6[[Site Name]:[Long]],13,FALSE)</f>
        <v>93.302917480468807</v>
      </c>
      <c r="BZ106" s="480">
        <f>VLOOKUP(WWWW[[#This Row],[Village  Name]],SiteDB6[[Site Name]:[Pcode]],3,FALSE)</f>
        <v>197034</v>
      </c>
      <c r="CA106" s="480" t="str">
        <f t="shared" ref="CA106:CA143" si="5">IF(C106="none","Notcovered","Covered")</f>
        <v>Covered</v>
      </c>
      <c r="CB106" s="505"/>
    </row>
    <row r="107" spans="1:80">
      <c r="A107" s="774" t="s">
        <v>3150</v>
      </c>
      <c r="B107" s="774" t="s">
        <v>314</v>
      </c>
      <c r="C107" s="415" t="s">
        <v>314</v>
      </c>
      <c r="D107" s="415" t="s">
        <v>307</v>
      </c>
      <c r="E107" s="415" t="s">
        <v>2648</v>
      </c>
      <c r="F107" s="415" t="s">
        <v>312</v>
      </c>
      <c r="G107" s="644" t="str">
        <f>VLOOKUP(WWWW[[#This Row],[Village  Name]],SiteDB6[[Site Name]:[Location Type]],8,FALSE)</f>
        <v>Village</v>
      </c>
      <c r="H107" s="415" t="s">
        <v>2602</v>
      </c>
      <c r="I107" s="524">
        <v>78</v>
      </c>
      <c r="J107" s="524">
        <v>308</v>
      </c>
      <c r="K107" s="418">
        <v>42736</v>
      </c>
      <c r="L107" s="55">
        <v>44551</v>
      </c>
      <c r="M107" s="524"/>
      <c r="N107" s="524"/>
      <c r="O107" s="524">
        <v>4</v>
      </c>
      <c r="P107" s="524">
        <v>46</v>
      </c>
      <c r="Q107" s="524">
        <v>2</v>
      </c>
      <c r="R107" s="524"/>
      <c r="S107" s="524"/>
      <c r="T107" s="524"/>
      <c r="U107" s="551"/>
      <c r="V107" s="524">
        <v>54</v>
      </c>
      <c r="W107" s="524" t="s">
        <v>130</v>
      </c>
      <c r="X107" s="524"/>
      <c r="Y107" s="524"/>
      <c r="Z107" s="524"/>
      <c r="AA107" s="524"/>
      <c r="AB107" s="524"/>
      <c r="AC107" s="551"/>
      <c r="AD107" s="524"/>
      <c r="AE107" s="524"/>
      <c r="AF107" s="524"/>
      <c r="AG107" s="524"/>
      <c r="AH107" s="524"/>
      <c r="AI107" s="524"/>
      <c r="AJ107" s="524"/>
      <c r="AK107" s="524"/>
      <c r="AL107" s="524"/>
      <c r="AM107" s="524"/>
      <c r="AN107" s="551"/>
      <c r="AO107" s="477"/>
      <c r="AP107" s="477"/>
      <c r="AQ107" s="524"/>
      <c r="AR107" s="524"/>
      <c r="AS107" s="524"/>
      <c r="AT10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07" s="483">
        <f>WWWW[[#This Row],[%Equitable and continuous access to sufficient quantity of safe drinking water]]*WWWW[[#This Row],[Total PoP ]]</f>
        <v>308</v>
      </c>
      <c r="AV10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07" s="483">
        <f>WWWW[[#This Row],[% Access to unimproved water points]]*WWWW[[#This Row],[Total PoP ]]</f>
        <v>308</v>
      </c>
      <c r="AX10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0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308</v>
      </c>
      <c r="AZ107" s="483">
        <f>WWWW[[#This Row],[HRP1]]/250</f>
        <v>1.232</v>
      </c>
      <c r="BA107" s="476">
        <f>1-WWWW[[#This Row],[% Equitable and continuous access to sufficient quantity of domestic water]]</f>
        <v>0</v>
      </c>
      <c r="BB107" s="483">
        <f>WWWW[[#This Row],[%equitable and continuous access to sufficient quantity of safe drinking and domestic water''s GAP]]*WWWW[[#This Row],[Total PoP ]]</f>
        <v>0</v>
      </c>
      <c r="BC107" s="478">
        <f>IF(WWWW[[#This Row],[Total required water points]]-WWWW[[#This Row],['#Water points coverage]]&lt;0,0,WWWW[[#This Row],[Total required water points]]-WWWW[[#This Row],['#Water points coverage]])</f>
        <v>0</v>
      </c>
      <c r="BD107" s="478">
        <f>ROUND(IF(WWWW[[#This Row],[Total PoP ]]&lt;250,1,WWWW[[#This Row],[Total PoP ]]/250),0)</f>
        <v>1</v>
      </c>
      <c r="BE10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07" s="483">
        <f>WWWW[[#This Row],[% people access to functioning Latrine]]*WWWW[[#This Row],[Total PoP ]]</f>
        <v>308</v>
      </c>
      <c r="BG107" s="478">
        <f>WWWW[[#This Row],['#_of_Functioning_latrines_in_school]]*50</f>
        <v>0</v>
      </c>
      <c r="BH107" s="478">
        <f>ROUND((WWWW[[#This Row],[Total PoP ]]/6),0)</f>
        <v>51</v>
      </c>
      <c r="BI107" s="478">
        <f>IF(WWWW[[#This Row],[Total required Latrines]]-(WWWW[[#This Row],['#_of_sanitary_fly-proof_HH_latrines]])&lt;0,0,WWWW[[#This Row],[Total required Latrines]]-(WWWW[[#This Row],['#_of_sanitary_fly-proof_HH_latrines]]))</f>
        <v>0</v>
      </c>
      <c r="BJ107" s="479">
        <f>1-WWWW[[#This Row],[% people access to functioning Latrine]]</f>
        <v>0</v>
      </c>
      <c r="BK10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07" s="483">
        <f>IF(WWWW[[#This Row],['#_of_functional_handwashing_facilities_at_HH_level]]*6&gt;WWWW[[#This Row],[Total PoP ]],WWWW[[#This Row],[Total PoP ]],WWWW[[#This Row],['#_of_functional_handwashing_facilities_at_HH_level]]*6)</f>
        <v>0</v>
      </c>
      <c r="BM107" s="478">
        <f>IF(WWWW[[#This Row],['# people reached by regular dedicated hygiene promotion]]&gt;WWWW[[#This Row],['# People received regular supply of hygiene items]],WWWW[[#This Row],['# people reached by regular dedicated hygiene promotion]],WWWW[[#This Row],['# People received regular supply of hygiene items]])</f>
        <v>0</v>
      </c>
      <c r="BN107" s="476">
        <f>IF(WWWW[[#This Row],[HRP3]]/WWWW[[#This Row],[Total PoP ]]&gt;100%,100%,WWWW[[#This Row],[HRP3]]/WWWW[[#This Row],[Total PoP ]])</f>
        <v>0</v>
      </c>
      <c r="BO107" s="479">
        <f>1-WWWW[[#This Row],[Hygiene Coverage%]]</f>
        <v>1</v>
      </c>
      <c r="BP107" s="477">
        <f>WWWW[[#This Row],['# people reached by regular dedicated hygiene promotion]]/WWWW[[#This Row],[Total PoP ]]</f>
        <v>0</v>
      </c>
      <c r="BQ10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7" s="478">
        <f>WWWW[[#This Row],['#_of_affected_women_and_girls_receiving_a_sufficient_quantity_of_sanitary_pads]]</f>
        <v>0</v>
      </c>
      <c r="BS107" s="524">
        <f>IF(WWWW[[#This Row],['# People with access to soap]]&gt;WWWW[[#This Row],['# People with access to Sanity Pads]],WWWW[[#This Row],['# People with access to soap]],WWWW[[#This Row],['# People with access to Sanity Pads]])</f>
        <v>0</v>
      </c>
      <c r="BT107" s="483" t="str">
        <f>IF(OR(WWWW[[#This Row],['#of students in school]]="",WWWW[[#This Row],['#of students in school]]=0),"No","Yes")</f>
        <v>No</v>
      </c>
      <c r="BU107" s="480" t="str">
        <f>VLOOKUP(WWWW[[#This Row],[Village  Name]],SiteDB6[[Site Name]:[Location Type 1]],9,FALSE)</f>
        <v>Village</v>
      </c>
      <c r="BV107" s="480" t="str">
        <f>VLOOKUP(WWWW[[#This Row],[Village  Name]],SiteDB6[[Site Name]:[Type of Accommodation]],10,FALSE)</f>
        <v>Village</v>
      </c>
      <c r="BW107" s="480">
        <f>VLOOKUP(WWWW[[#This Row],[Village  Name]],SiteDB6[[Site Name]:[Ethnic or GCA/NGCA]],11,FALSE)</f>
        <v>0</v>
      </c>
      <c r="BX107" s="480">
        <f>VLOOKUP(WWWW[[#This Row],[Village  Name]],SiteDB6[[Site Name]:[Lat]],12,FALSE)</f>
        <v>20.442419052123999</v>
      </c>
      <c r="BY107" s="480">
        <f>VLOOKUP(WWWW[[#This Row],[Village  Name]],SiteDB6[[Site Name]:[Long]],13,FALSE)</f>
        <v>93.300033569335895</v>
      </c>
      <c r="BZ107" s="480">
        <f>VLOOKUP(WWWW[[#This Row],[Village  Name]],SiteDB6[[Site Name]:[Pcode]],3,FALSE)</f>
        <v>197036</v>
      </c>
      <c r="CA107" s="480" t="str">
        <f t="shared" si="5"/>
        <v>Covered</v>
      </c>
      <c r="CB107" s="505"/>
    </row>
    <row r="108" spans="1:80">
      <c r="A108" s="774" t="s">
        <v>3150</v>
      </c>
      <c r="B108" s="774" t="s">
        <v>314</v>
      </c>
      <c r="C108" s="415" t="s">
        <v>314</v>
      </c>
      <c r="D108" s="415" t="s">
        <v>307</v>
      </c>
      <c r="E108" s="415" t="s">
        <v>2648</v>
      </c>
      <c r="F108" s="415" t="s">
        <v>312</v>
      </c>
      <c r="G108" s="644" t="str">
        <f>VLOOKUP(WWWW[[#This Row],[Village  Name]],SiteDB6[[Site Name]:[Location Type]],8,FALSE)</f>
        <v>Village</v>
      </c>
      <c r="H108" s="415" t="s">
        <v>2603</v>
      </c>
      <c r="I108" s="524">
        <v>85</v>
      </c>
      <c r="J108" s="524">
        <v>413</v>
      </c>
      <c r="K108" s="418">
        <v>42736</v>
      </c>
      <c r="L108" s="55">
        <v>44551</v>
      </c>
      <c r="M108" s="524"/>
      <c r="N108" s="524"/>
      <c r="O108" s="524">
        <v>0</v>
      </c>
      <c r="P108" s="524">
        <v>23</v>
      </c>
      <c r="Q108" s="524">
        <v>1</v>
      </c>
      <c r="R108" s="524"/>
      <c r="S108" s="524"/>
      <c r="T108" s="524"/>
      <c r="U108" s="551"/>
      <c r="V108" s="524">
        <v>27</v>
      </c>
      <c r="W108" s="524" t="s">
        <v>130</v>
      </c>
      <c r="X108" s="524"/>
      <c r="Y108" s="524"/>
      <c r="Z108" s="524"/>
      <c r="AA108" s="524"/>
      <c r="AB108" s="524"/>
      <c r="AC108" s="551"/>
      <c r="AD108" s="524"/>
      <c r="AE108" s="524"/>
      <c r="AF108" s="524"/>
      <c r="AG108" s="524"/>
      <c r="AH108" s="524"/>
      <c r="AI108" s="524"/>
      <c r="AJ108" s="524"/>
      <c r="AK108" s="524"/>
      <c r="AL108" s="524"/>
      <c r="AM108" s="524"/>
      <c r="AN108" s="551"/>
      <c r="AO108" s="477"/>
      <c r="AP108" s="477"/>
      <c r="AQ108" s="524"/>
      <c r="AR108" s="524"/>
      <c r="AS108" s="524"/>
      <c r="AT10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08" s="483">
        <f>WWWW[[#This Row],[%Equitable and continuous access to sufficient quantity of safe drinking water]]*WWWW[[#This Row],[Total PoP ]]</f>
        <v>413</v>
      </c>
      <c r="AV10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08" s="483">
        <f>WWWW[[#This Row],[% Access to unimproved water points]]*WWWW[[#This Row],[Total PoP ]]</f>
        <v>413</v>
      </c>
      <c r="AX10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0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413</v>
      </c>
      <c r="AZ108" s="483">
        <f>WWWW[[#This Row],[HRP1]]/250</f>
        <v>1.6519999999999999</v>
      </c>
      <c r="BA108" s="476">
        <f>1-WWWW[[#This Row],[% Equitable and continuous access to sufficient quantity of domestic water]]</f>
        <v>0</v>
      </c>
      <c r="BB108" s="483">
        <f>WWWW[[#This Row],[%equitable and continuous access to sufficient quantity of safe drinking and domestic water''s GAP]]*WWWW[[#This Row],[Total PoP ]]</f>
        <v>0</v>
      </c>
      <c r="BC108" s="478">
        <f>IF(WWWW[[#This Row],[Total required water points]]-WWWW[[#This Row],['#Water points coverage]]&lt;0,0,WWWW[[#This Row],[Total required water points]]-WWWW[[#This Row],['#Water points coverage]])</f>
        <v>0.34800000000000009</v>
      </c>
      <c r="BD108" s="478">
        <f>ROUND(IF(WWWW[[#This Row],[Total PoP ]]&lt;250,1,WWWW[[#This Row],[Total PoP ]]/250),0)</f>
        <v>2</v>
      </c>
      <c r="BE10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0.39225181598062953</v>
      </c>
      <c r="BF108" s="483">
        <f>WWWW[[#This Row],[% people access to functioning Latrine]]*WWWW[[#This Row],[Total PoP ]]</f>
        <v>162</v>
      </c>
      <c r="BG108" s="478">
        <f>WWWW[[#This Row],['#_of_Functioning_latrines_in_school]]*50</f>
        <v>0</v>
      </c>
      <c r="BH108" s="478">
        <f>ROUND((WWWW[[#This Row],[Total PoP ]]/6),0)</f>
        <v>69</v>
      </c>
      <c r="BI108" s="478">
        <f>IF(WWWW[[#This Row],[Total required Latrines]]-(WWWW[[#This Row],['#_of_sanitary_fly-proof_HH_latrines]])&lt;0,0,WWWW[[#This Row],[Total required Latrines]]-(WWWW[[#This Row],['#_of_sanitary_fly-proof_HH_latrines]]))</f>
        <v>42</v>
      </c>
      <c r="BJ108" s="479">
        <f>1-WWWW[[#This Row],[% people access to functioning Latrine]]</f>
        <v>0.60774818401937047</v>
      </c>
      <c r="BK10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08" s="483">
        <f>IF(WWWW[[#This Row],['#_of_functional_handwashing_facilities_at_HH_level]]*6&gt;WWWW[[#This Row],[Total PoP ]],WWWW[[#This Row],[Total PoP ]],WWWW[[#This Row],['#_of_functional_handwashing_facilities_at_HH_level]]*6)</f>
        <v>0</v>
      </c>
      <c r="BM108" s="478">
        <f>IF(WWWW[[#This Row],['# people reached by regular dedicated hygiene promotion]]&gt;WWWW[[#This Row],['# People received regular supply of hygiene items]],WWWW[[#This Row],['# people reached by regular dedicated hygiene promotion]],WWWW[[#This Row],['# People received regular supply of hygiene items]])</f>
        <v>0</v>
      </c>
      <c r="BN108" s="476">
        <f>IF(WWWW[[#This Row],[HRP3]]/WWWW[[#This Row],[Total PoP ]]&gt;100%,100%,WWWW[[#This Row],[HRP3]]/WWWW[[#This Row],[Total PoP ]])</f>
        <v>0</v>
      </c>
      <c r="BO108" s="479">
        <f>1-WWWW[[#This Row],[Hygiene Coverage%]]</f>
        <v>1</v>
      </c>
      <c r="BP108" s="477">
        <f>WWWW[[#This Row],['# people reached by regular dedicated hygiene promotion]]/WWWW[[#This Row],[Total PoP ]]</f>
        <v>0</v>
      </c>
      <c r="BQ10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8" s="478">
        <f>WWWW[[#This Row],['#_of_affected_women_and_girls_receiving_a_sufficient_quantity_of_sanitary_pads]]</f>
        <v>0</v>
      </c>
      <c r="BS108" s="524">
        <f>IF(WWWW[[#This Row],['# People with access to soap]]&gt;WWWW[[#This Row],['# People with access to Sanity Pads]],WWWW[[#This Row],['# People with access to soap]],WWWW[[#This Row],['# People with access to Sanity Pads]])</f>
        <v>0</v>
      </c>
      <c r="BT108" s="483" t="str">
        <f>IF(OR(WWWW[[#This Row],['#of students in school]]="",WWWW[[#This Row],['#of students in school]]=0),"No","Yes")</f>
        <v>No</v>
      </c>
      <c r="BU108" s="480" t="str">
        <f>VLOOKUP(WWWW[[#This Row],[Village  Name]],SiteDB6[[Site Name]:[Location Type 1]],9,FALSE)</f>
        <v>Village</v>
      </c>
      <c r="BV108" s="480" t="str">
        <f>VLOOKUP(WWWW[[#This Row],[Village  Name]],SiteDB6[[Site Name]:[Type of Accommodation]],10,FALSE)</f>
        <v>Village</v>
      </c>
      <c r="BW108" s="480">
        <f>VLOOKUP(WWWW[[#This Row],[Village  Name]],SiteDB6[[Site Name]:[Ethnic or GCA/NGCA]],11,FALSE)</f>
        <v>0</v>
      </c>
      <c r="BX108" s="480">
        <f>VLOOKUP(WWWW[[#This Row],[Village  Name]],SiteDB6[[Site Name]:[Lat]],12,FALSE)</f>
        <v>20.430749893188501</v>
      </c>
      <c r="BY108" s="480">
        <f>VLOOKUP(WWWW[[#This Row],[Village  Name]],SiteDB6[[Site Name]:[Long]],13,FALSE)</f>
        <v>93.304450988769503</v>
      </c>
      <c r="BZ108" s="480">
        <f>VLOOKUP(WWWW[[#This Row],[Village  Name]],SiteDB6[[Site Name]:[Pcode]],3,FALSE)</f>
        <v>197033</v>
      </c>
      <c r="CA108" s="480" t="str">
        <f t="shared" si="5"/>
        <v>Covered</v>
      </c>
      <c r="CB108" s="505"/>
    </row>
    <row r="109" spans="1:80">
      <c r="A109" s="774" t="s">
        <v>3150</v>
      </c>
      <c r="B109" s="774" t="s">
        <v>314</v>
      </c>
      <c r="C109" s="415" t="s">
        <v>314</v>
      </c>
      <c r="D109" s="415" t="s">
        <v>307</v>
      </c>
      <c r="E109" s="415" t="s">
        <v>2648</v>
      </c>
      <c r="F109" s="415" t="s">
        <v>312</v>
      </c>
      <c r="G109" s="644" t="str">
        <f>VLOOKUP(WWWW[[#This Row],[Village  Name]],SiteDB6[[Site Name]:[Location Type]],8,FALSE)</f>
        <v>Village</v>
      </c>
      <c r="H109" s="415" t="s">
        <v>2604</v>
      </c>
      <c r="I109" s="524">
        <v>353</v>
      </c>
      <c r="J109" s="524">
        <v>2111</v>
      </c>
      <c r="K109" s="418">
        <v>42736</v>
      </c>
      <c r="L109" s="55">
        <v>44551</v>
      </c>
      <c r="M109" s="524"/>
      <c r="N109" s="524"/>
      <c r="O109" s="524">
        <v>3</v>
      </c>
      <c r="P109" s="524">
        <v>87</v>
      </c>
      <c r="Q109" s="524">
        <v>2</v>
      </c>
      <c r="R109" s="524"/>
      <c r="S109" s="524"/>
      <c r="T109" s="524"/>
      <c r="U109" s="551"/>
      <c r="V109" s="524">
        <v>83</v>
      </c>
      <c r="W109" s="524" t="s">
        <v>130</v>
      </c>
      <c r="X109" s="524"/>
      <c r="Y109" s="524"/>
      <c r="Z109" s="524"/>
      <c r="AA109" s="524"/>
      <c r="AB109" s="524"/>
      <c r="AC109" s="551"/>
      <c r="AD109" s="524"/>
      <c r="AE109" s="524"/>
      <c r="AF109" s="524"/>
      <c r="AG109" s="524"/>
      <c r="AH109" s="524"/>
      <c r="AI109" s="524"/>
      <c r="AJ109" s="524"/>
      <c r="AK109" s="524"/>
      <c r="AL109" s="524"/>
      <c r="AM109" s="524"/>
      <c r="AN109" s="551"/>
      <c r="AO109" s="477"/>
      <c r="AP109" s="477"/>
      <c r="AQ109" s="524"/>
      <c r="AR109" s="524"/>
      <c r="AS109" s="524"/>
      <c r="AT10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09" s="483">
        <f>WWWW[[#This Row],[%Equitable and continuous access to sufficient quantity of safe drinking water]]*WWWW[[#This Row],[Total PoP ]]</f>
        <v>2111</v>
      </c>
      <c r="AV10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09" s="483">
        <f>WWWW[[#This Row],[% Access to unimproved water points]]*WWWW[[#This Row],[Total PoP ]]</f>
        <v>2111</v>
      </c>
      <c r="AX10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0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2111</v>
      </c>
      <c r="AZ109" s="483">
        <f>WWWW[[#This Row],[HRP1]]/250</f>
        <v>8.4440000000000008</v>
      </c>
      <c r="BA109" s="476">
        <f>1-WWWW[[#This Row],[% Equitable and continuous access to sufficient quantity of domestic water]]</f>
        <v>0</v>
      </c>
      <c r="BB109" s="483">
        <f>WWWW[[#This Row],[%equitable and continuous access to sufficient quantity of safe drinking and domestic water''s GAP]]*WWWW[[#This Row],[Total PoP ]]</f>
        <v>0</v>
      </c>
      <c r="BC109" s="478">
        <f>IF(WWWW[[#This Row],[Total required water points]]-WWWW[[#This Row],['#Water points coverage]]&lt;0,0,WWWW[[#This Row],[Total required water points]]-WWWW[[#This Row],['#Water points coverage]])</f>
        <v>0</v>
      </c>
      <c r="BD109" s="478">
        <f>ROUND(IF(WWWW[[#This Row],[Total PoP ]]&lt;250,1,WWWW[[#This Row],[Total PoP ]]/250),0)</f>
        <v>8</v>
      </c>
      <c r="BE10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0.23590715300805307</v>
      </c>
      <c r="BF109" s="483">
        <f>WWWW[[#This Row],[% people access to functioning Latrine]]*WWWW[[#This Row],[Total PoP ]]</f>
        <v>498</v>
      </c>
      <c r="BG109" s="478">
        <f>WWWW[[#This Row],['#_of_Functioning_latrines_in_school]]*50</f>
        <v>0</v>
      </c>
      <c r="BH109" s="478">
        <f>ROUND((WWWW[[#This Row],[Total PoP ]]/6),0)</f>
        <v>352</v>
      </c>
      <c r="BI109" s="478">
        <f>IF(WWWW[[#This Row],[Total required Latrines]]-(WWWW[[#This Row],['#_of_sanitary_fly-proof_HH_latrines]])&lt;0,0,WWWW[[#This Row],[Total required Latrines]]-(WWWW[[#This Row],['#_of_sanitary_fly-proof_HH_latrines]]))</f>
        <v>269</v>
      </c>
      <c r="BJ109" s="479">
        <f>1-WWWW[[#This Row],[% people access to functioning Latrine]]</f>
        <v>0.76409284699194691</v>
      </c>
      <c r="BK10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09" s="483">
        <f>IF(WWWW[[#This Row],['#_of_functional_handwashing_facilities_at_HH_level]]*6&gt;WWWW[[#This Row],[Total PoP ]],WWWW[[#This Row],[Total PoP ]],WWWW[[#This Row],['#_of_functional_handwashing_facilities_at_HH_level]]*6)</f>
        <v>0</v>
      </c>
      <c r="BM109" s="478">
        <f>IF(WWWW[[#This Row],['# people reached by regular dedicated hygiene promotion]]&gt;WWWW[[#This Row],['# People received regular supply of hygiene items]],WWWW[[#This Row],['# people reached by regular dedicated hygiene promotion]],WWWW[[#This Row],['# People received regular supply of hygiene items]])</f>
        <v>0</v>
      </c>
      <c r="BN109" s="476">
        <f>IF(WWWW[[#This Row],[HRP3]]/WWWW[[#This Row],[Total PoP ]]&gt;100%,100%,WWWW[[#This Row],[HRP3]]/WWWW[[#This Row],[Total PoP ]])</f>
        <v>0</v>
      </c>
      <c r="BO109" s="479">
        <f>1-WWWW[[#This Row],[Hygiene Coverage%]]</f>
        <v>1</v>
      </c>
      <c r="BP109" s="477">
        <f>WWWW[[#This Row],['# people reached by regular dedicated hygiene promotion]]/WWWW[[#This Row],[Total PoP ]]</f>
        <v>0</v>
      </c>
      <c r="BQ10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09" s="478">
        <f>WWWW[[#This Row],['#_of_affected_women_and_girls_receiving_a_sufficient_quantity_of_sanitary_pads]]</f>
        <v>0</v>
      </c>
      <c r="BS109" s="524">
        <f>IF(WWWW[[#This Row],['# People with access to soap]]&gt;WWWW[[#This Row],['# People with access to Sanity Pads]],WWWW[[#This Row],['# People with access to soap]],WWWW[[#This Row],['# People with access to Sanity Pads]])</f>
        <v>0</v>
      </c>
      <c r="BT109" s="483" t="str">
        <f>IF(OR(WWWW[[#This Row],['#of students in school]]="",WWWW[[#This Row],['#of students in school]]=0),"No","Yes")</f>
        <v>No</v>
      </c>
      <c r="BU109" s="480" t="str">
        <f>VLOOKUP(WWWW[[#This Row],[Village  Name]],SiteDB6[[Site Name]:[Location Type 1]],9,FALSE)</f>
        <v>Village</v>
      </c>
      <c r="BV109" s="480" t="str">
        <f>VLOOKUP(WWWW[[#This Row],[Village  Name]],SiteDB6[[Site Name]:[Type of Accommodation]],10,FALSE)</f>
        <v>Village</v>
      </c>
      <c r="BW109" s="480">
        <f>VLOOKUP(WWWW[[#This Row],[Village  Name]],SiteDB6[[Site Name]:[Ethnic or GCA/NGCA]],11,FALSE)</f>
        <v>0</v>
      </c>
      <c r="BX109" s="480">
        <f>VLOOKUP(WWWW[[#This Row],[Village  Name]],SiteDB6[[Site Name]:[Lat]],12,FALSE)</f>
        <v>20.448799133300799</v>
      </c>
      <c r="BY109" s="480">
        <f>VLOOKUP(WWWW[[#This Row],[Village  Name]],SiteDB6[[Site Name]:[Long]],13,FALSE)</f>
        <v>93.300239562988295</v>
      </c>
      <c r="BZ109" s="480">
        <f>VLOOKUP(WWWW[[#This Row],[Village  Name]],SiteDB6[[Site Name]:[Pcode]],3,FALSE)</f>
        <v>197040</v>
      </c>
      <c r="CA109" s="480" t="str">
        <f t="shared" si="5"/>
        <v>Covered</v>
      </c>
      <c r="CB109" s="505"/>
    </row>
    <row r="110" spans="1:80">
      <c r="A110" s="774" t="s">
        <v>3150</v>
      </c>
      <c r="B110" s="774" t="s">
        <v>314</v>
      </c>
      <c r="C110" s="415" t="s">
        <v>314</v>
      </c>
      <c r="D110" s="415" t="s">
        <v>307</v>
      </c>
      <c r="E110" s="415" t="s">
        <v>2648</v>
      </c>
      <c r="F110" s="415" t="s">
        <v>312</v>
      </c>
      <c r="G110" s="644" t="str">
        <f>VLOOKUP(WWWW[[#This Row],[Village  Name]],SiteDB6[[Site Name]:[Location Type]],8,FALSE)</f>
        <v>Village</v>
      </c>
      <c r="H110" s="415" t="s">
        <v>2605</v>
      </c>
      <c r="I110" s="524">
        <v>295</v>
      </c>
      <c r="J110" s="524">
        <v>1698</v>
      </c>
      <c r="K110" s="418">
        <v>42736</v>
      </c>
      <c r="L110" s="55">
        <v>44551</v>
      </c>
      <c r="M110" s="524"/>
      <c r="N110" s="524"/>
      <c r="O110" s="524">
        <v>2</v>
      </c>
      <c r="P110" s="524">
        <v>53</v>
      </c>
      <c r="Q110" s="524">
        <v>2</v>
      </c>
      <c r="R110" s="524"/>
      <c r="S110" s="524"/>
      <c r="T110" s="524"/>
      <c r="U110" s="551"/>
      <c r="V110" s="524">
        <v>77</v>
      </c>
      <c r="W110" s="524" t="s">
        <v>130</v>
      </c>
      <c r="X110" s="524"/>
      <c r="Y110" s="524"/>
      <c r="Z110" s="524"/>
      <c r="AA110" s="524"/>
      <c r="AB110" s="524"/>
      <c r="AC110" s="551"/>
      <c r="AD110" s="524"/>
      <c r="AE110" s="524"/>
      <c r="AF110" s="524"/>
      <c r="AG110" s="524"/>
      <c r="AH110" s="524"/>
      <c r="AI110" s="524"/>
      <c r="AJ110" s="524"/>
      <c r="AK110" s="524"/>
      <c r="AL110" s="524"/>
      <c r="AM110" s="524"/>
      <c r="AN110" s="551"/>
      <c r="AO110" s="477"/>
      <c r="AP110" s="477"/>
      <c r="AQ110" s="524"/>
      <c r="AR110" s="524"/>
      <c r="AS110" s="524"/>
      <c r="AT11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10" s="483">
        <f>WWWW[[#This Row],[%Equitable and continuous access to sufficient quantity of safe drinking water]]*WWWW[[#This Row],[Total PoP ]]</f>
        <v>1698</v>
      </c>
      <c r="AV11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10" s="483">
        <f>WWWW[[#This Row],[% Access to unimproved water points]]*WWWW[[#This Row],[Total PoP ]]</f>
        <v>1698</v>
      </c>
      <c r="AX11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1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1698</v>
      </c>
      <c r="AZ110" s="483">
        <f>WWWW[[#This Row],[HRP1]]/250</f>
        <v>6.7919999999999998</v>
      </c>
      <c r="BA110" s="476">
        <f>1-WWWW[[#This Row],[% Equitable and continuous access to sufficient quantity of domestic water]]</f>
        <v>0</v>
      </c>
      <c r="BB110" s="483">
        <f>WWWW[[#This Row],[%equitable and continuous access to sufficient quantity of safe drinking and domestic water''s GAP]]*WWWW[[#This Row],[Total PoP ]]</f>
        <v>0</v>
      </c>
      <c r="BC110" s="478">
        <f>IF(WWWW[[#This Row],[Total required water points]]-WWWW[[#This Row],['#Water points coverage]]&lt;0,0,WWWW[[#This Row],[Total required water points]]-WWWW[[#This Row],['#Water points coverage]])</f>
        <v>0.20800000000000018</v>
      </c>
      <c r="BD110" s="478">
        <f>ROUND(IF(WWWW[[#This Row],[Total PoP ]]&lt;250,1,WWWW[[#This Row],[Total PoP ]]/250),0)</f>
        <v>7</v>
      </c>
      <c r="BE11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0.27208480565371024</v>
      </c>
      <c r="BF110" s="483">
        <f>WWWW[[#This Row],[% people access to functioning Latrine]]*WWWW[[#This Row],[Total PoP ]]</f>
        <v>462</v>
      </c>
      <c r="BG110" s="478">
        <f>WWWW[[#This Row],['#_of_Functioning_latrines_in_school]]*50</f>
        <v>0</v>
      </c>
      <c r="BH110" s="478">
        <f>ROUND((WWWW[[#This Row],[Total PoP ]]/6),0)</f>
        <v>283</v>
      </c>
      <c r="BI110" s="478">
        <f>IF(WWWW[[#This Row],[Total required Latrines]]-(WWWW[[#This Row],['#_of_sanitary_fly-proof_HH_latrines]])&lt;0,0,WWWW[[#This Row],[Total required Latrines]]-(WWWW[[#This Row],['#_of_sanitary_fly-proof_HH_latrines]]))</f>
        <v>206</v>
      </c>
      <c r="BJ110" s="479">
        <f>1-WWWW[[#This Row],[% people access to functioning Latrine]]</f>
        <v>0.72791519434628982</v>
      </c>
      <c r="BK11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10" s="483">
        <f>IF(WWWW[[#This Row],['#_of_functional_handwashing_facilities_at_HH_level]]*6&gt;WWWW[[#This Row],[Total PoP ]],WWWW[[#This Row],[Total PoP ]],WWWW[[#This Row],['#_of_functional_handwashing_facilities_at_HH_level]]*6)</f>
        <v>0</v>
      </c>
      <c r="BM110" s="478">
        <f>IF(WWWW[[#This Row],['# people reached by regular dedicated hygiene promotion]]&gt;WWWW[[#This Row],['# People received regular supply of hygiene items]],WWWW[[#This Row],['# people reached by regular dedicated hygiene promotion]],WWWW[[#This Row],['# People received regular supply of hygiene items]])</f>
        <v>0</v>
      </c>
      <c r="BN110" s="476">
        <f>IF(WWWW[[#This Row],[HRP3]]/WWWW[[#This Row],[Total PoP ]]&gt;100%,100%,WWWW[[#This Row],[HRP3]]/WWWW[[#This Row],[Total PoP ]])</f>
        <v>0</v>
      </c>
      <c r="BO110" s="479">
        <f>1-WWWW[[#This Row],[Hygiene Coverage%]]</f>
        <v>1</v>
      </c>
      <c r="BP110" s="477">
        <f>WWWW[[#This Row],['# people reached by regular dedicated hygiene promotion]]/WWWW[[#This Row],[Total PoP ]]</f>
        <v>0</v>
      </c>
      <c r="BQ11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0" s="478">
        <f>WWWW[[#This Row],['#_of_affected_women_and_girls_receiving_a_sufficient_quantity_of_sanitary_pads]]</f>
        <v>0</v>
      </c>
      <c r="BS110" s="524">
        <f>IF(WWWW[[#This Row],['# People with access to soap]]&gt;WWWW[[#This Row],['# People with access to Sanity Pads]],WWWW[[#This Row],['# People with access to soap]],WWWW[[#This Row],['# People with access to Sanity Pads]])</f>
        <v>0</v>
      </c>
      <c r="BT110" s="483" t="str">
        <f>IF(OR(WWWW[[#This Row],['#of students in school]]="",WWWW[[#This Row],['#of students in school]]=0),"No","Yes")</f>
        <v>No</v>
      </c>
      <c r="BU110" s="480" t="str">
        <f>VLOOKUP(WWWW[[#This Row],[Village  Name]],SiteDB6[[Site Name]:[Location Type 1]],9,FALSE)</f>
        <v>Village</v>
      </c>
      <c r="BV110" s="480" t="str">
        <f>VLOOKUP(WWWW[[#This Row],[Village  Name]],SiteDB6[[Site Name]:[Type of Accommodation]],10,FALSE)</f>
        <v>Village</v>
      </c>
      <c r="BW110" s="480">
        <f>VLOOKUP(WWWW[[#This Row],[Village  Name]],SiteDB6[[Site Name]:[Ethnic or GCA/NGCA]],11,FALSE)</f>
        <v>0</v>
      </c>
      <c r="BX110" s="480">
        <f>VLOOKUP(WWWW[[#This Row],[Village  Name]],SiteDB6[[Site Name]:[Lat]],12,FALSE)</f>
        <v>20.463020324706999</v>
      </c>
      <c r="BY110" s="480">
        <f>VLOOKUP(WWWW[[#This Row],[Village  Name]],SiteDB6[[Site Name]:[Long]],13,FALSE)</f>
        <v>93.296417236328097</v>
      </c>
      <c r="BZ110" s="480">
        <f>VLOOKUP(WWWW[[#This Row],[Village  Name]],SiteDB6[[Site Name]:[Pcode]],3,FALSE)</f>
        <v>197039</v>
      </c>
      <c r="CA110" s="480" t="str">
        <f t="shared" si="5"/>
        <v>Covered</v>
      </c>
      <c r="CB110" s="505"/>
    </row>
    <row r="111" spans="1:80">
      <c r="A111" s="774" t="s">
        <v>3150</v>
      </c>
      <c r="B111" s="774" t="s">
        <v>314</v>
      </c>
      <c r="C111" s="415" t="s">
        <v>314</v>
      </c>
      <c r="D111" s="415" t="s">
        <v>307</v>
      </c>
      <c r="E111" s="415" t="s">
        <v>2648</v>
      </c>
      <c r="F111" s="415" t="s">
        <v>312</v>
      </c>
      <c r="G111" s="644" t="str">
        <f>VLOOKUP(WWWW[[#This Row],[Village  Name]],SiteDB6[[Site Name]:[Location Type]],8,FALSE)</f>
        <v>Village</v>
      </c>
      <c r="H111" s="415" t="s">
        <v>2606</v>
      </c>
      <c r="I111" s="524">
        <v>140</v>
      </c>
      <c r="J111" s="524">
        <v>985</v>
      </c>
      <c r="K111" s="418">
        <v>42736</v>
      </c>
      <c r="L111" s="55">
        <v>44551</v>
      </c>
      <c r="M111" s="524"/>
      <c r="N111" s="524"/>
      <c r="O111" s="524">
        <v>7</v>
      </c>
      <c r="P111" s="524">
        <v>27</v>
      </c>
      <c r="Q111" s="524">
        <v>3</v>
      </c>
      <c r="R111" s="524"/>
      <c r="S111" s="524"/>
      <c r="T111" s="524"/>
      <c r="U111" s="551"/>
      <c r="V111" s="524">
        <v>65</v>
      </c>
      <c r="W111" s="524" t="s">
        <v>130</v>
      </c>
      <c r="X111" s="524"/>
      <c r="Y111" s="524"/>
      <c r="Z111" s="524"/>
      <c r="AA111" s="524"/>
      <c r="AB111" s="524"/>
      <c r="AC111" s="551"/>
      <c r="AD111" s="524"/>
      <c r="AE111" s="524"/>
      <c r="AF111" s="524"/>
      <c r="AG111" s="524"/>
      <c r="AH111" s="524"/>
      <c r="AI111" s="524"/>
      <c r="AJ111" s="524"/>
      <c r="AK111" s="524"/>
      <c r="AL111" s="524"/>
      <c r="AM111" s="524"/>
      <c r="AN111" s="551"/>
      <c r="AO111" s="477"/>
      <c r="AP111" s="477"/>
      <c r="AQ111" s="524"/>
      <c r="AR111" s="524"/>
      <c r="AS111" s="524"/>
      <c r="AT11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11" s="483">
        <f>WWWW[[#This Row],[%Equitable and continuous access to sufficient quantity of safe drinking water]]*WWWW[[#This Row],[Total PoP ]]</f>
        <v>985</v>
      </c>
      <c r="AV11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11" s="483">
        <f>WWWW[[#This Row],[% Access to unimproved water points]]*WWWW[[#This Row],[Total PoP ]]</f>
        <v>985</v>
      </c>
      <c r="AX11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1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985</v>
      </c>
      <c r="AZ111" s="483">
        <f>WWWW[[#This Row],[HRP1]]/250</f>
        <v>3.94</v>
      </c>
      <c r="BA111" s="476">
        <f>1-WWWW[[#This Row],[% Equitable and continuous access to sufficient quantity of domestic water]]</f>
        <v>0</v>
      </c>
      <c r="BB111" s="483">
        <f>WWWW[[#This Row],[%equitable and continuous access to sufficient quantity of safe drinking and domestic water''s GAP]]*WWWW[[#This Row],[Total PoP ]]</f>
        <v>0</v>
      </c>
      <c r="BC111" s="478">
        <f>IF(WWWW[[#This Row],[Total required water points]]-WWWW[[#This Row],['#Water points coverage]]&lt;0,0,WWWW[[#This Row],[Total required water points]]-WWWW[[#This Row],['#Water points coverage]])</f>
        <v>6.0000000000000053E-2</v>
      </c>
      <c r="BD111" s="478">
        <f>ROUND(IF(WWWW[[#This Row],[Total PoP ]]&lt;250,1,WWWW[[#This Row],[Total PoP ]]/250),0)</f>
        <v>4</v>
      </c>
      <c r="BE11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0.39593908629441626</v>
      </c>
      <c r="BF111" s="483">
        <f>WWWW[[#This Row],[% people access to functioning Latrine]]*WWWW[[#This Row],[Total PoP ]]</f>
        <v>390</v>
      </c>
      <c r="BG111" s="478">
        <f>WWWW[[#This Row],['#_of_Functioning_latrines_in_school]]*50</f>
        <v>0</v>
      </c>
      <c r="BH111" s="478">
        <f>ROUND((WWWW[[#This Row],[Total PoP ]]/6),0)</f>
        <v>164</v>
      </c>
      <c r="BI111" s="478">
        <f>IF(WWWW[[#This Row],[Total required Latrines]]-(WWWW[[#This Row],['#_of_sanitary_fly-proof_HH_latrines]])&lt;0,0,WWWW[[#This Row],[Total required Latrines]]-(WWWW[[#This Row],['#_of_sanitary_fly-proof_HH_latrines]]))</f>
        <v>99</v>
      </c>
      <c r="BJ111" s="479">
        <f>1-WWWW[[#This Row],[% people access to functioning Latrine]]</f>
        <v>0.60406091370558368</v>
      </c>
      <c r="BK11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11" s="483">
        <f>IF(WWWW[[#This Row],['#_of_functional_handwashing_facilities_at_HH_level]]*6&gt;WWWW[[#This Row],[Total PoP ]],WWWW[[#This Row],[Total PoP ]],WWWW[[#This Row],['#_of_functional_handwashing_facilities_at_HH_level]]*6)</f>
        <v>0</v>
      </c>
      <c r="BM111" s="478">
        <f>IF(WWWW[[#This Row],['# people reached by regular dedicated hygiene promotion]]&gt;WWWW[[#This Row],['# People received regular supply of hygiene items]],WWWW[[#This Row],['# people reached by regular dedicated hygiene promotion]],WWWW[[#This Row],['# People received regular supply of hygiene items]])</f>
        <v>0</v>
      </c>
      <c r="BN111" s="476">
        <f>IF(WWWW[[#This Row],[HRP3]]/WWWW[[#This Row],[Total PoP ]]&gt;100%,100%,WWWW[[#This Row],[HRP3]]/WWWW[[#This Row],[Total PoP ]])</f>
        <v>0</v>
      </c>
      <c r="BO111" s="479">
        <f>1-WWWW[[#This Row],[Hygiene Coverage%]]</f>
        <v>1</v>
      </c>
      <c r="BP111" s="477">
        <f>WWWW[[#This Row],['# people reached by regular dedicated hygiene promotion]]/WWWW[[#This Row],[Total PoP ]]</f>
        <v>0</v>
      </c>
      <c r="BQ11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1" s="478">
        <f>WWWW[[#This Row],['#_of_affected_women_and_girls_receiving_a_sufficient_quantity_of_sanitary_pads]]</f>
        <v>0</v>
      </c>
      <c r="BS111" s="524">
        <f>IF(WWWW[[#This Row],['# People with access to soap]]&gt;WWWW[[#This Row],['# People with access to Sanity Pads]],WWWW[[#This Row],['# People with access to soap]],WWWW[[#This Row],['# People with access to Sanity Pads]])</f>
        <v>0</v>
      </c>
      <c r="BT111" s="483" t="str">
        <f>IF(OR(WWWW[[#This Row],['#of students in school]]="",WWWW[[#This Row],['#of students in school]]=0),"No","Yes")</f>
        <v>No</v>
      </c>
      <c r="BU111" s="480" t="str">
        <f>VLOOKUP(WWWW[[#This Row],[Village  Name]],SiteDB6[[Site Name]:[Location Type 1]],9,FALSE)</f>
        <v>Village</v>
      </c>
      <c r="BV111" s="480" t="str">
        <f>VLOOKUP(WWWW[[#This Row],[Village  Name]],SiteDB6[[Site Name]:[Type of Accommodation]],10,FALSE)</f>
        <v>Village</v>
      </c>
      <c r="BW111" s="480">
        <f>VLOOKUP(WWWW[[#This Row],[Village  Name]],SiteDB6[[Site Name]:[Ethnic or GCA/NGCA]],11,FALSE)</f>
        <v>0</v>
      </c>
      <c r="BX111" s="480">
        <f>VLOOKUP(WWWW[[#This Row],[Village  Name]],SiteDB6[[Site Name]:[Lat]],12,FALSE)</f>
        <v>20.4733695983887</v>
      </c>
      <c r="BY111" s="480">
        <f>VLOOKUP(WWWW[[#This Row],[Village  Name]],SiteDB6[[Site Name]:[Long]],13,FALSE)</f>
        <v>93.291687011718807</v>
      </c>
      <c r="BZ111" s="480">
        <f>VLOOKUP(WWWW[[#This Row],[Village  Name]],SiteDB6[[Site Name]:[Pcode]],3,FALSE)</f>
        <v>197041</v>
      </c>
      <c r="CA111" s="480" t="str">
        <f t="shared" si="5"/>
        <v>Covered</v>
      </c>
      <c r="CB111" s="505"/>
    </row>
    <row r="112" spans="1:80">
      <c r="A112" s="774" t="s">
        <v>3150</v>
      </c>
      <c r="B112" s="774" t="s">
        <v>314</v>
      </c>
      <c r="C112" s="415" t="s">
        <v>314</v>
      </c>
      <c r="D112" s="415" t="s">
        <v>307</v>
      </c>
      <c r="E112" s="415" t="s">
        <v>2648</v>
      </c>
      <c r="F112" s="415" t="s">
        <v>312</v>
      </c>
      <c r="G112" s="644" t="str">
        <f>VLOOKUP(WWWW[[#This Row],[Village  Name]],SiteDB6[[Site Name]:[Location Type]],8,FALSE)</f>
        <v>Village</v>
      </c>
      <c r="H112" s="415" t="s">
        <v>2607</v>
      </c>
      <c r="I112" s="524">
        <v>157</v>
      </c>
      <c r="J112" s="524">
        <v>735</v>
      </c>
      <c r="K112" s="418">
        <v>42736</v>
      </c>
      <c r="L112" s="55">
        <v>44551</v>
      </c>
      <c r="M112" s="524"/>
      <c r="N112" s="524"/>
      <c r="O112" s="524">
        <v>0</v>
      </c>
      <c r="P112" s="524">
        <v>32</v>
      </c>
      <c r="Q112" s="524">
        <v>3</v>
      </c>
      <c r="R112" s="524"/>
      <c r="S112" s="524"/>
      <c r="T112" s="524"/>
      <c r="U112" s="551"/>
      <c r="V112" s="524">
        <v>72</v>
      </c>
      <c r="W112" s="524" t="s">
        <v>130</v>
      </c>
      <c r="X112" s="524"/>
      <c r="Y112" s="524"/>
      <c r="Z112" s="524"/>
      <c r="AA112" s="524"/>
      <c r="AB112" s="524"/>
      <c r="AC112" s="551"/>
      <c r="AD112" s="524"/>
      <c r="AE112" s="524"/>
      <c r="AF112" s="524"/>
      <c r="AG112" s="524"/>
      <c r="AH112" s="524"/>
      <c r="AI112" s="524"/>
      <c r="AJ112" s="524"/>
      <c r="AK112" s="524"/>
      <c r="AL112" s="524"/>
      <c r="AM112" s="524"/>
      <c r="AN112" s="551"/>
      <c r="AO112" s="477"/>
      <c r="AP112" s="477"/>
      <c r="AQ112" s="524"/>
      <c r="AR112" s="524"/>
      <c r="AS112" s="524"/>
      <c r="AT11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12" s="483">
        <f>WWWW[[#This Row],[%Equitable and continuous access to sufficient quantity of safe drinking water]]*WWWW[[#This Row],[Total PoP ]]</f>
        <v>735</v>
      </c>
      <c r="AV11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12" s="483">
        <f>WWWW[[#This Row],[% Access to unimproved water points]]*WWWW[[#This Row],[Total PoP ]]</f>
        <v>735</v>
      </c>
      <c r="AX11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1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735</v>
      </c>
      <c r="AZ112" s="483">
        <f>WWWW[[#This Row],[HRP1]]/250</f>
        <v>2.94</v>
      </c>
      <c r="BA112" s="476">
        <f>1-WWWW[[#This Row],[% Equitable and continuous access to sufficient quantity of domestic water]]</f>
        <v>0</v>
      </c>
      <c r="BB112" s="483">
        <f>WWWW[[#This Row],[%equitable and continuous access to sufficient quantity of safe drinking and domestic water''s GAP]]*WWWW[[#This Row],[Total PoP ]]</f>
        <v>0</v>
      </c>
      <c r="BC112" s="478">
        <f>IF(WWWW[[#This Row],[Total required water points]]-WWWW[[#This Row],['#Water points coverage]]&lt;0,0,WWWW[[#This Row],[Total required water points]]-WWWW[[#This Row],['#Water points coverage]])</f>
        <v>6.0000000000000053E-2</v>
      </c>
      <c r="BD112" s="478">
        <f>ROUND(IF(WWWW[[#This Row],[Total PoP ]]&lt;250,1,WWWW[[#This Row],[Total PoP ]]/250),0)</f>
        <v>3</v>
      </c>
      <c r="BE11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0.58775510204081638</v>
      </c>
      <c r="BF112" s="483">
        <f>WWWW[[#This Row],[% people access to functioning Latrine]]*WWWW[[#This Row],[Total PoP ]]</f>
        <v>432.00000000000006</v>
      </c>
      <c r="BG112" s="478">
        <f>WWWW[[#This Row],['#_of_Functioning_latrines_in_school]]*50</f>
        <v>0</v>
      </c>
      <c r="BH112" s="478">
        <f>ROUND((WWWW[[#This Row],[Total PoP ]]/6),0)</f>
        <v>123</v>
      </c>
      <c r="BI112" s="478">
        <f>IF(WWWW[[#This Row],[Total required Latrines]]-(WWWW[[#This Row],['#_of_sanitary_fly-proof_HH_latrines]])&lt;0,0,WWWW[[#This Row],[Total required Latrines]]-(WWWW[[#This Row],['#_of_sanitary_fly-proof_HH_latrines]]))</f>
        <v>51</v>
      </c>
      <c r="BJ112" s="479">
        <f>1-WWWW[[#This Row],[% people access to functioning Latrine]]</f>
        <v>0.41224489795918362</v>
      </c>
      <c r="BK11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12" s="483">
        <f>IF(WWWW[[#This Row],['#_of_functional_handwashing_facilities_at_HH_level]]*6&gt;WWWW[[#This Row],[Total PoP ]],WWWW[[#This Row],[Total PoP ]],WWWW[[#This Row],['#_of_functional_handwashing_facilities_at_HH_level]]*6)</f>
        <v>0</v>
      </c>
      <c r="BM112" s="478">
        <f>IF(WWWW[[#This Row],['# people reached by regular dedicated hygiene promotion]]&gt;WWWW[[#This Row],['# People received regular supply of hygiene items]],WWWW[[#This Row],['# people reached by regular dedicated hygiene promotion]],WWWW[[#This Row],['# People received regular supply of hygiene items]])</f>
        <v>0</v>
      </c>
      <c r="BN112" s="476">
        <f>IF(WWWW[[#This Row],[HRP3]]/WWWW[[#This Row],[Total PoP ]]&gt;100%,100%,WWWW[[#This Row],[HRP3]]/WWWW[[#This Row],[Total PoP ]])</f>
        <v>0</v>
      </c>
      <c r="BO112" s="479">
        <f>1-WWWW[[#This Row],[Hygiene Coverage%]]</f>
        <v>1</v>
      </c>
      <c r="BP112" s="477">
        <f>WWWW[[#This Row],['# people reached by regular dedicated hygiene promotion]]/WWWW[[#This Row],[Total PoP ]]</f>
        <v>0</v>
      </c>
      <c r="BQ11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2" s="478">
        <f>WWWW[[#This Row],['#_of_affected_women_and_girls_receiving_a_sufficient_quantity_of_sanitary_pads]]</f>
        <v>0</v>
      </c>
      <c r="BS112" s="524">
        <f>IF(WWWW[[#This Row],['# People with access to soap]]&gt;WWWW[[#This Row],['# People with access to Sanity Pads]],WWWW[[#This Row],['# People with access to soap]],WWWW[[#This Row],['# People with access to Sanity Pads]])</f>
        <v>0</v>
      </c>
      <c r="BT112" s="483" t="str">
        <f>IF(OR(WWWW[[#This Row],['#of students in school]]="",WWWW[[#This Row],['#of students in school]]=0),"No","Yes")</f>
        <v>No</v>
      </c>
      <c r="BU112" s="480" t="str">
        <f>VLOOKUP(WWWW[[#This Row],[Village  Name]],SiteDB6[[Site Name]:[Location Type 1]],9,FALSE)</f>
        <v>Village</v>
      </c>
      <c r="BV112" s="480" t="str">
        <f>VLOOKUP(WWWW[[#This Row],[Village  Name]],SiteDB6[[Site Name]:[Type of Accommodation]],10,FALSE)</f>
        <v>Village</v>
      </c>
      <c r="BW112" s="480">
        <f>VLOOKUP(WWWW[[#This Row],[Village  Name]],SiteDB6[[Site Name]:[Ethnic or GCA/NGCA]],11,FALSE)</f>
        <v>0</v>
      </c>
      <c r="BX112" s="480">
        <f>VLOOKUP(WWWW[[#This Row],[Village  Name]],SiteDB6[[Site Name]:[Lat]],12,FALSE)</f>
        <v>20.478410720825199</v>
      </c>
      <c r="BY112" s="480">
        <f>VLOOKUP(WWWW[[#This Row],[Village  Name]],SiteDB6[[Site Name]:[Long]],13,FALSE)</f>
        <v>93.28662109375</v>
      </c>
      <c r="BZ112" s="480">
        <f>VLOOKUP(WWWW[[#This Row],[Village  Name]],SiteDB6[[Site Name]:[Pcode]],3,FALSE)</f>
        <v>197042</v>
      </c>
      <c r="CA112" s="480" t="str">
        <f t="shared" si="5"/>
        <v>Covered</v>
      </c>
      <c r="CB112" s="505"/>
    </row>
    <row r="113" spans="1:80">
      <c r="A113" s="774" t="s">
        <v>3150</v>
      </c>
      <c r="B113" s="774" t="s">
        <v>314</v>
      </c>
      <c r="C113" s="415" t="s">
        <v>314</v>
      </c>
      <c r="D113" s="415" t="s">
        <v>307</v>
      </c>
      <c r="E113" s="415" t="s">
        <v>2648</v>
      </c>
      <c r="F113" s="415" t="s">
        <v>312</v>
      </c>
      <c r="G113" s="644" t="str">
        <f>VLOOKUP(WWWW[[#This Row],[Village  Name]],SiteDB6[[Site Name]:[Location Type]],8,FALSE)</f>
        <v>Village</v>
      </c>
      <c r="H113" s="415" t="s">
        <v>2608</v>
      </c>
      <c r="I113" s="524">
        <v>35</v>
      </c>
      <c r="J113" s="524">
        <v>142</v>
      </c>
      <c r="K113" s="418">
        <v>42736</v>
      </c>
      <c r="L113" s="55">
        <v>44551</v>
      </c>
      <c r="M113" s="524"/>
      <c r="N113" s="524"/>
      <c r="O113" s="524">
        <v>0</v>
      </c>
      <c r="P113" s="524">
        <v>117</v>
      </c>
      <c r="Q113" s="524">
        <v>3</v>
      </c>
      <c r="R113" s="524"/>
      <c r="S113" s="524"/>
      <c r="T113" s="524"/>
      <c r="U113" s="551"/>
      <c r="V113" s="524">
        <v>235</v>
      </c>
      <c r="W113" s="524" t="s">
        <v>130</v>
      </c>
      <c r="X113" s="524"/>
      <c r="Y113" s="524"/>
      <c r="Z113" s="524"/>
      <c r="AA113" s="524"/>
      <c r="AB113" s="524"/>
      <c r="AC113" s="551"/>
      <c r="AD113" s="524"/>
      <c r="AE113" s="524"/>
      <c r="AF113" s="524"/>
      <c r="AG113" s="524"/>
      <c r="AH113" s="524"/>
      <c r="AI113" s="524"/>
      <c r="AJ113" s="524"/>
      <c r="AK113" s="524"/>
      <c r="AL113" s="524"/>
      <c r="AM113" s="524"/>
      <c r="AN113" s="551"/>
      <c r="AO113" s="477"/>
      <c r="AP113" s="477"/>
      <c r="AQ113" s="524"/>
      <c r="AR113" s="524"/>
      <c r="AS113" s="524"/>
      <c r="AT11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13" s="483">
        <f>WWWW[[#This Row],[%Equitable and continuous access to sufficient quantity of safe drinking water]]*WWWW[[#This Row],[Total PoP ]]</f>
        <v>142</v>
      </c>
      <c r="AV11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13" s="483">
        <f>WWWW[[#This Row],[% Access to unimproved water points]]*WWWW[[#This Row],[Total PoP ]]</f>
        <v>142</v>
      </c>
      <c r="AX11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1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142</v>
      </c>
      <c r="AZ113" s="483">
        <f>WWWW[[#This Row],[HRP1]]/250</f>
        <v>0.56799999999999995</v>
      </c>
      <c r="BA113" s="476">
        <f>1-WWWW[[#This Row],[% Equitable and continuous access to sufficient quantity of domestic water]]</f>
        <v>0</v>
      </c>
      <c r="BB113" s="483">
        <f>WWWW[[#This Row],[%equitable and continuous access to sufficient quantity of safe drinking and domestic water''s GAP]]*WWWW[[#This Row],[Total PoP ]]</f>
        <v>0</v>
      </c>
      <c r="BC113" s="478">
        <f>IF(WWWW[[#This Row],[Total required water points]]-WWWW[[#This Row],['#Water points coverage]]&lt;0,0,WWWW[[#This Row],[Total required water points]]-WWWW[[#This Row],['#Water points coverage]])</f>
        <v>0.43200000000000005</v>
      </c>
      <c r="BD113" s="478">
        <f>ROUND(IF(WWWW[[#This Row],[Total PoP ]]&lt;250,1,WWWW[[#This Row],[Total PoP ]]/250),0)</f>
        <v>1</v>
      </c>
      <c r="BE11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13" s="483">
        <f>WWWW[[#This Row],[% people access to functioning Latrine]]*WWWW[[#This Row],[Total PoP ]]</f>
        <v>142</v>
      </c>
      <c r="BG113" s="478">
        <f>WWWW[[#This Row],['#_of_Functioning_latrines_in_school]]*50</f>
        <v>0</v>
      </c>
      <c r="BH113" s="478">
        <f>ROUND((WWWW[[#This Row],[Total PoP ]]/6),0)</f>
        <v>24</v>
      </c>
      <c r="BI113" s="478">
        <f>IF(WWWW[[#This Row],[Total required Latrines]]-(WWWW[[#This Row],['#_of_sanitary_fly-proof_HH_latrines]])&lt;0,0,WWWW[[#This Row],[Total required Latrines]]-(WWWW[[#This Row],['#_of_sanitary_fly-proof_HH_latrines]]))</f>
        <v>0</v>
      </c>
      <c r="BJ113" s="479">
        <f>1-WWWW[[#This Row],[% people access to functioning Latrine]]</f>
        <v>0</v>
      </c>
      <c r="BK11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13" s="483">
        <f>IF(WWWW[[#This Row],['#_of_functional_handwashing_facilities_at_HH_level]]*6&gt;WWWW[[#This Row],[Total PoP ]],WWWW[[#This Row],[Total PoP ]],WWWW[[#This Row],['#_of_functional_handwashing_facilities_at_HH_level]]*6)</f>
        <v>0</v>
      </c>
      <c r="BM113" s="478">
        <f>IF(WWWW[[#This Row],['# people reached by regular dedicated hygiene promotion]]&gt;WWWW[[#This Row],['# People received regular supply of hygiene items]],WWWW[[#This Row],['# people reached by regular dedicated hygiene promotion]],WWWW[[#This Row],['# People received regular supply of hygiene items]])</f>
        <v>0</v>
      </c>
      <c r="BN113" s="476">
        <f>IF(WWWW[[#This Row],[HRP3]]/WWWW[[#This Row],[Total PoP ]]&gt;100%,100%,WWWW[[#This Row],[HRP3]]/WWWW[[#This Row],[Total PoP ]])</f>
        <v>0</v>
      </c>
      <c r="BO113" s="479">
        <f>1-WWWW[[#This Row],[Hygiene Coverage%]]</f>
        <v>1</v>
      </c>
      <c r="BP113" s="477">
        <f>WWWW[[#This Row],['# people reached by regular dedicated hygiene promotion]]/WWWW[[#This Row],[Total PoP ]]</f>
        <v>0</v>
      </c>
      <c r="BQ11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3" s="478">
        <f>WWWW[[#This Row],['#_of_affected_women_and_girls_receiving_a_sufficient_quantity_of_sanitary_pads]]</f>
        <v>0</v>
      </c>
      <c r="BS113" s="524">
        <f>IF(WWWW[[#This Row],['# People with access to soap]]&gt;WWWW[[#This Row],['# People with access to Sanity Pads]],WWWW[[#This Row],['# People with access to soap]],WWWW[[#This Row],['# People with access to Sanity Pads]])</f>
        <v>0</v>
      </c>
      <c r="BT113" s="483" t="str">
        <f>IF(OR(WWWW[[#This Row],['#of students in school]]="",WWWW[[#This Row],['#of students in school]]=0),"No","Yes")</f>
        <v>No</v>
      </c>
      <c r="BU113" s="480" t="str">
        <f>VLOOKUP(WWWW[[#This Row],[Village  Name]],SiteDB6[[Site Name]:[Location Type 1]],9,FALSE)</f>
        <v>Village</v>
      </c>
      <c r="BV113" s="480" t="str">
        <f>VLOOKUP(WWWW[[#This Row],[Village  Name]],SiteDB6[[Site Name]:[Type of Accommodation]],10,FALSE)</f>
        <v>Village</v>
      </c>
      <c r="BW113" s="480">
        <f>VLOOKUP(WWWW[[#This Row],[Village  Name]],SiteDB6[[Site Name]:[Ethnic or GCA/NGCA]],11,FALSE)</f>
        <v>0</v>
      </c>
      <c r="BX113" s="480">
        <f>VLOOKUP(WWWW[[#This Row],[Village  Name]],SiteDB6[[Site Name]:[Lat]],12,FALSE)</f>
        <v>20.481389999389599</v>
      </c>
      <c r="BY113" s="480">
        <f>VLOOKUP(WWWW[[#This Row],[Village  Name]],SiteDB6[[Site Name]:[Long]],13,FALSE)</f>
        <v>93.283447265625</v>
      </c>
      <c r="BZ113" s="480">
        <f>VLOOKUP(WWWW[[#This Row],[Village  Name]],SiteDB6[[Site Name]:[Pcode]],3,FALSE)</f>
        <v>197043</v>
      </c>
      <c r="CA113" s="480" t="str">
        <f t="shared" si="5"/>
        <v>Covered</v>
      </c>
      <c r="CB113" s="505"/>
    </row>
    <row r="114" spans="1:80">
      <c r="A114" s="774" t="s">
        <v>3150</v>
      </c>
      <c r="B114" s="774" t="s">
        <v>314</v>
      </c>
      <c r="C114" s="415" t="s">
        <v>314</v>
      </c>
      <c r="D114" s="415" t="s">
        <v>307</v>
      </c>
      <c r="E114" s="415" t="s">
        <v>2648</v>
      </c>
      <c r="F114" s="415" t="s">
        <v>312</v>
      </c>
      <c r="G114" s="644" t="str">
        <f>VLOOKUP(WWWW[[#This Row],[Village  Name]],SiteDB6[[Site Name]:[Location Type]],8,FALSE)</f>
        <v>Village</v>
      </c>
      <c r="H114" s="415" t="s">
        <v>2609</v>
      </c>
      <c r="I114" s="524">
        <v>148</v>
      </c>
      <c r="J114" s="524">
        <v>630</v>
      </c>
      <c r="K114" s="418">
        <v>42736</v>
      </c>
      <c r="L114" s="55">
        <v>44551</v>
      </c>
      <c r="M114" s="524"/>
      <c r="N114" s="524"/>
      <c r="O114" s="524">
        <v>6</v>
      </c>
      <c r="P114" s="524">
        <v>92</v>
      </c>
      <c r="Q114" s="524">
        <v>3</v>
      </c>
      <c r="R114" s="524"/>
      <c r="S114" s="524"/>
      <c r="T114" s="524"/>
      <c r="U114" s="551"/>
      <c r="V114" s="524">
        <v>204</v>
      </c>
      <c r="W114" s="524" t="s">
        <v>130</v>
      </c>
      <c r="X114" s="524"/>
      <c r="Y114" s="524"/>
      <c r="Z114" s="524"/>
      <c r="AA114" s="524"/>
      <c r="AB114" s="524"/>
      <c r="AC114" s="551"/>
      <c r="AD114" s="524"/>
      <c r="AE114" s="524"/>
      <c r="AF114" s="524"/>
      <c r="AG114" s="524"/>
      <c r="AH114" s="524"/>
      <c r="AI114" s="524"/>
      <c r="AJ114" s="524"/>
      <c r="AK114" s="524"/>
      <c r="AL114" s="524"/>
      <c r="AM114" s="524"/>
      <c r="AN114" s="551"/>
      <c r="AO114" s="477"/>
      <c r="AP114" s="477"/>
      <c r="AQ114" s="524"/>
      <c r="AR114" s="524"/>
      <c r="AS114" s="524"/>
      <c r="AT11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14" s="483">
        <f>WWWW[[#This Row],[%Equitable and continuous access to sufficient quantity of safe drinking water]]*WWWW[[#This Row],[Total PoP ]]</f>
        <v>630</v>
      </c>
      <c r="AV11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14" s="483">
        <f>WWWW[[#This Row],[% Access to unimproved water points]]*WWWW[[#This Row],[Total PoP ]]</f>
        <v>630</v>
      </c>
      <c r="AX11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1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630</v>
      </c>
      <c r="AZ114" s="483">
        <f>WWWW[[#This Row],[HRP1]]/250</f>
        <v>2.52</v>
      </c>
      <c r="BA114" s="476">
        <f>1-WWWW[[#This Row],[% Equitable and continuous access to sufficient quantity of domestic water]]</f>
        <v>0</v>
      </c>
      <c r="BB114" s="483">
        <f>WWWW[[#This Row],[%equitable and continuous access to sufficient quantity of safe drinking and domestic water''s GAP]]*WWWW[[#This Row],[Total PoP ]]</f>
        <v>0</v>
      </c>
      <c r="BC114" s="478">
        <f>IF(WWWW[[#This Row],[Total required water points]]-WWWW[[#This Row],['#Water points coverage]]&lt;0,0,WWWW[[#This Row],[Total required water points]]-WWWW[[#This Row],['#Water points coverage]])</f>
        <v>0.48</v>
      </c>
      <c r="BD114" s="478">
        <f>ROUND(IF(WWWW[[#This Row],[Total PoP ]]&lt;250,1,WWWW[[#This Row],[Total PoP ]]/250),0)</f>
        <v>3</v>
      </c>
      <c r="BE11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14" s="483">
        <f>WWWW[[#This Row],[% people access to functioning Latrine]]*WWWW[[#This Row],[Total PoP ]]</f>
        <v>630</v>
      </c>
      <c r="BG114" s="478">
        <f>WWWW[[#This Row],['#_of_Functioning_latrines_in_school]]*50</f>
        <v>0</v>
      </c>
      <c r="BH114" s="478">
        <f>ROUND((WWWW[[#This Row],[Total PoP ]]/6),0)</f>
        <v>105</v>
      </c>
      <c r="BI114" s="478">
        <f>IF(WWWW[[#This Row],[Total required Latrines]]-(WWWW[[#This Row],['#_of_sanitary_fly-proof_HH_latrines]])&lt;0,0,WWWW[[#This Row],[Total required Latrines]]-(WWWW[[#This Row],['#_of_sanitary_fly-proof_HH_latrines]]))</f>
        <v>0</v>
      </c>
      <c r="BJ114" s="479">
        <f>1-WWWW[[#This Row],[% people access to functioning Latrine]]</f>
        <v>0</v>
      </c>
      <c r="BK11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14" s="483">
        <f>IF(WWWW[[#This Row],['#_of_functional_handwashing_facilities_at_HH_level]]*6&gt;WWWW[[#This Row],[Total PoP ]],WWWW[[#This Row],[Total PoP ]],WWWW[[#This Row],['#_of_functional_handwashing_facilities_at_HH_level]]*6)</f>
        <v>0</v>
      </c>
      <c r="BM114" s="478">
        <f>IF(WWWW[[#This Row],['# people reached by regular dedicated hygiene promotion]]&gt;WWWW[[#This Row],['# People received regular supply of hygiene items]],WWWW[[#This Row],['# people reached by regular dedicated hygiene promotion]],WWWW[[#This Row],['# People received regular supply of hygiene items]])</f>
        <v>0</v>
      </c>
      <c r="BN114" s="476">
        <f>IF(WWWW[[#This Row],[HRP3]]/WWWW[[#This Row],[Total PoP ]]&gt;100%,100%,WWWW[[#This Row],[HRP3]]/WWWW[[#This Row],[Total PoP ]])</f>
        <v>0</v>
      </c>
      <c r="BO114" s="479">
        <f>1-WWWW[[#This Row],[Hygiene Coverage%]]</f>
        <v>1</v>
      </c>
      <c r="BP114" s="477">
        <f>WWWW[[#This Row],['# people reached by regular dedicated hygiene promotion]]/WWWW[[#This Row],[Total PoP ]]</f>
        <v>0</v>
      </c>
      <c r="BQ11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4" s="478">
        <f>WWWW[[#This Row],['#_of_affected_women_and_girls_receiving_a_sufficient_quantity_of_sanitary_pads]]</f>
        <v>0</v>
      </c>
      <c r="BS114" s="524">
        <f>IF(WWWW[[#This Row],['# People with access to soap]]&gt;WWWW[[#This Row],['# People with access to Sanity Pads]],WWWW[[#This Row],['# People with access to soap]],WWWW[[#This Row],['# People with access to Sanity Pads]])</f>
        <v>0</v>
      </c>
      <c r="BT114" s="483" t="str">
        <f>IF(OR(WWWW[[#This Row],['#of students in school]]="",WWWW[[#This Row],['#of students in school]]=0),"No","Yes")</f>
        <v>No</v>
      </c>
      <c r="BU114" s="480" t="str">
        <f>VLOOKUP(WWWW[[#This Row],[Village  Name]],SiteDB6[[Site Name]:[Location Type 1]],9,FALSE)</f>
        <v>Village</v>
      </c>
      <c r="BV114" s="480" t="str">
        <f>VLOOKUP(WWWW[[#This Row],[Village  Name]],SiteDB6[[Site Name]:[Type of Accommodation]],10,FALSE)</f>
        <v>Village</v>
      </c>
      <c r="BW114" s="480">
        <f>VLOOKUP(WWWW[[#This Row],[Village  Name]],SiteDB6[[Site Name]:[Ethnic or GCA/NGCA]],11,FALSE)</f>
        <v>0</v>
      </c>
      <c r="BX114" s="480">
        <f>VLOOKUP(WWWW[[#This Row],[Village  Name]],SiteDB6[[Site Name]:[Lat]],12,FALSE)</f>
        <v>20.422460556030298</v>
      </c>
      <c r="BY114" s="480">
        <f>VLOOKUP(WWWW[[#This Row],[Village  Name]],SiteDB6[[Site Name]:[Long]],13,FALSE)</f>
        <v>93.317733764648395</v>
      </c>
      <c r="BZ114" s="480">
        <f>VLOOKUP(WWWW[[#This Row],[Village  Name]],SiteDB6[[Site Name]:[Pcode]],3,FALSE)</f>
        <v>197089</v>
      </c>
      <c r="CA114" s="480" t="str">
        <f t="shared" si="5"/>
        <v>Covered</v>
      </c>
      <c r="CB114" s="505"/>
    </row>
    <row r="115" spans="1:80">
      <c r="A115" s="774" t="s">
        <v>3150</v>
      </c>
      <c r="B115" s="774" t="s">
        <v>314</v>
      </c>
      <c r="C115" s="415" t="s">
        <v>314</v>
      </c>
      <c r="D115" s="415" t="s">
        <v>307</v>
      </c>
      <c r="E115" s="415" t="s">
        <v>2648</v>
      </c>
      <c r="F115" s="415" t="s">
        <v>312</v>
      </c>
      <c r="G115" s="644" t="str">
        <f>VLOOKUP(WWWW[[#This Row],[Village  Name]],SiteDB6[[Site Name]:[Location Type]],8,FALSE)</f>
        <v>Village</v>
      </c>
      <c r="H115" s="415" t="s">
        <v>2610</v>
      </c>
      <c r="I115" s="524">
        <v>135</v>
      </c>
      <c r="J115" s="524">
        <v>593</v>
      </c>
      <c r="K115" s="418">
        <v>42736</v>
      </c>
      <c r="L115" s="55">
        <v>44551</v>
      </c>
      <c r="M115" s="524"/>
      <c r="N115" s="524"/>
      <c r="O115" s="524">
        <v>7</v>
      </c>
      <c r="P115" s="524">
        <v>55</v>
      </c>
      <c r="Q115" s="524">
        <v>2</v>
      </c>
      <c r="R115" s="524"/>
      <c r="S115" s="524"/>
      <c r="T115" s="524"/>
      <c r="U115" s="551"/>
      <c r="V115" s="524">
        <v>114</v>
      </c>
      <c r="W115" s="524" t="s">
        <v>130</v>
      </c>
      <c r="X115" s="524"/>
      <c r="Y115" s="524"/>
      <c r="Z115" s="524"/>
      <c r="AA115" s="524"/>
      <c r="AB115" s="524"/>
      <c r="AC115" s="551"/>
      <c r="AD115" s="524"/>
      <c r="AE115" s="524"/>
      <c r="AF115" s="524"/>
      <c r="AG115" s="524"/>
      <c r="AH115" s="524"/>
      <c r="AI115" s="524"/>
      <c r="AJ115" s="524"/>
      <c r="AK115" s="524"/>
      <c r="AL115" s="524"/>
      <c r="AM115" s="524"/>
      <c r="AN115" s="551"/>
      <c r="AO115" s="477"/>
      <c r="AP115" s="477"/>
      <c r="AQ115" s="524"/>
      <c r="AR115" s="524"/>
      <c r="AS115" s="524"/>
      <c r="AT11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15" s="483">
        <f>WWWW[[#This Row],[%Equitable and continuous access to sufficient quantity of safe drinking water]]*WWWW[[#This Row],[Total PoP ]]</f>
        <v>593</v>
      </c>
      <c r="AV11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15" s="483">
        <f>WWWW[[#This Row],[% Access to unimproved water points]]*WWWW[[#This Row],[Total PoP ]]</f>
        <v>593</v>
      </c>
      <c r="AX11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1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593</v>
      </c>
      <c r="AZ115" s="483">
        <f>WWWW[[#This Row],[HRP1]]/250</f>
        <v>2.3719999999999999</v>
      </c>
      <c r="BA115" s="476">
        <f>1-WWWW[[#This Row],[% Equitable and continuous access to sufficient quantity of domestic water]]</f>
        <v>0</v>
      </c>
      <c r="BB115" s="483">
        <f>WWWW[[#This Row],[%equitable and continuous access to sufficient quantity of safe drinking and domestic water''s GAP]]*WWWW[[#This Row],[Total PoP ]]</f>
        <v>0</v>
      </c>
      <c r="BC115" s="478">
        <f>IF(WWWW[[#This Row],[Total required water points]]-WWWW[[#This Row],['#Water points coverage]]&lt;0,0,WWWW[[#This Row],[Total required water points]]-WWWW[[#This Row],['#Water points coverage]])</f>
        <v>0</v>
      </c>
      <c r="BD115" s="478">
        <f>ROUND(IF(WWWW[[#This Row],[Total PoP ]]&lt;250,1,WWWW[[#This Row],[Total PoP ]]/250),0)</f>
        <v>2</v>
      </c>
      <c r="BE11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15" s="483">
        <f>WWWW[[#This Row],[% people access to functioning Latrine]]*WWWW[[#This Row],[Total PoP ]]</f>
        <v>593</v>
      </c>
      <c r="BG115" s="478">
        <f>WWWW[[#This Row],['#_of_Functioning_latrines_in_school]]*50</f>
        <v>0</v>
      </c>
      <c r="BH115" s="478">
        <f>ROUND((WWWW[[#This Row],[Total PoP ]]/6),0)</f>
        <v>99</v>
      </c>
      <c r="BI115" s="478">
        <f>IF(WWWW[[#This Row],[Total required Latrines]]-(WWWW[[#This Row],['#_of_sanitary_fly-proof_HH_latrines]])&lt;0,0,WWWW[[#This Row],[Total required Latrines]]-(WWWW[[#This Row],['#_of_sanitary_fly-proof_HH_latrines]]))</f>
        <v>0</v>
      </c>
      <c r="BJ115" s="479">
        <f>1-WWWW[[#This Row],[% people access to functioning Latrine]]</f>
        <v>0</v>
      </c>
      <c r="BK11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15" s="483">
        <f>IF(WWWW[[#This Row],['#_of_functional_handwashing_facilities_at_HH_level]]*6&gt;WWWW[[#This Row],[Total PoP ]],WWWW[[#This Row],[Total PoP ]],WWWW[[#This Row],['#_of_functional_handwashing_facilities_at_HH_level]]*6)</f>
        <v>0</v>
      </c>
      <c r="BM115" s="478">
        <f>IF(WWWW[[#This Row],['# people reached by regular dedicated hygiene promotion]]&gt;WWWW[[#This Row],['# People received regular supply of hygiene items]],WWWW[[#This Row],['# people reached by regular dedicated hygiene promotion]],WWWW[[#This Row],['# People received regular supply of hygiene items]])</f>
        <v>0</v>
      </c>
      <c r="BN115" s="476">
        <f>IF(WWWW[[#This Row],[HRP3]]/WWWW[[#This Row],[Total PoP ]]&gt;100%,100%,WWWW[[#This Row],[HRP3]]/WWWW[[#This Row],[Total PoP ]])</f>
        <v>0</v>
      </c>
      <c r="BO115" s="479">
        <f>1-WWWW[[#This Row],[Hygiene Coverage%]]</f>
        <v>1</v>
      </c>
      <c r="BP115" s="477">
        <f>WWWW[[#This Row],['# people reached by regular dedicated hygiene promotion]]/WWWW[[#This Row],[Total PoP ]]</f>
        <v>0</v>
      </c>
      <c r="BQ11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5" s="478">
        <f>WWWW[[#This Row],['#_of_affected_women_and_girls_receiving_a_sufficient_quantity_of_sanitary_pads]]</f>
        <v>0</v>
      </c>
      <c r="BS115" s="524">
        <f>IF(WWWW[[#This Row],['# People with access to soap]]&gt;WWWW[[#This Row],['# People with access to Sanity Pads]],WWWW[[#This Row],['# People with access to soap]],WWWW[[#This Row],['# People with access to Sanity Pads]])</f>
        <v>0</v>
      </c>
      <c r="BT115" s="483" t="str">
        <f>IF(OR(WWWW[[#This Row],['#of students in school]]="",WWWW[[#This Row],['#of students in school]]=0),"No","Yes")</f>
        <v>No</v>
      </c>
      <c r="BU115" s="480" t="str">
        <f>VLOOKUP(WWWW[[#This Row],[Village  Name]],SiteDB6[[Site Name]:[Location Type 1]],9,FALSE)</f>
        <v>Village</v>
      </c>
      <c r="BV115" s="480" t="str">
        <f>VLOOKUP(WWWW[[#This Row],[Village  Name]],SiteDB6[[Site Name]:[Type of Accommodation]],10,FALSE)</f>
        <v>Village</v>
      </c>
      <c r="BW115" s="480">
        <f>VLOOKUP(WWWW[[#This Row],[Village  Name]],SiteDB6[[Site Name]:[Ethnic or GCA/NGCA]],11,FALSE)</f>
        <v>0</v>
      </c>
      <c r="BX115" s="480">
        <f>VLOOKUP(WWWW[[#This Row],[Village  Name]],SiteDB6[[Site Name]:[Lat]],12,FALSE)</f>
        <v>20.445030212402301</v>
      </c>
      <c r="BY115" s="480">
        <f>VLOOKUP(WWWW[[#This Row],[Village  Name]],SiteDB6[[Site Name]:[Long]],13,FALSE)</f>
        <v>93.312812805175795</v>
      </c>
      <c r="BZ115" s="480">
        <f>VLOOKUP(WWWW[[#This Row],[Village  Name]],SiteDB6[[Site Name]:[Pcode]],3,FALSE)</f>
        <v>197090</v>
      </c>
      <c r="CA115" s="480" t="str">
        <f t="shared" si="5"/>
        <v>Covered</v>
      </c>
      <c r="CB115" s="505"/>
    </row>
    <row r="116" spans="1:80">
      <c r="A116" s="774" t="s">
        <v>3150</v>
      </c>
      <c r="B116" s="774" t="s">
        <v>314</v>
      </c>
      <c r="C116" s="415" t="s">
        <v>314</v>
      </c>
      <c r="D116" s="415" t="s">
        <v>307</v>
      </c>
      <c r="E116" s="415" t="s">
        <v>2648</v>
      </c>
      <c r="F116" s="415" t="s">
        <v>312</v>
      </c>
      <c r="G116" s="644" t="str">
        <f>VLOOKUP(WWWW[[#This Row],[Village  Name]],SiteDB6[[Site Name]:[Location Type]],8,FALSE)</f>
        <v>Village</v>
      </c>
      <c r="H116" s="415" t="s">
        <v>876</v>
      </c>
      <c r="I116" s="524">
        <v>139</v>
      </c>
      <c r="J116" s="524">
        <v>585</v>
      </c>
      <c r="K116" s="418">
        <v>42736</v>
      </c>
      <c r="L116" s="55">
        <v>44551</v>
      </c>
      <c r="M116" s="524"/>
      <c r="N116" s="524"/>
      <c r="O116" s="524">
        <v>3</v>
      </c>
      <c r="P116" s="524">
        <v>69</v>
      </c>
      <c r="Q116" s="524">
        <v>1</v>
      </c>
      <c r="R116" s="524"/>
      <c r="S116" s="524"/>
      <c r="T116" s="524"/>
      <c r="U116" s="551"/>
      <c r="V116" s="524">
        <v>54</v>
      </c>
      <c r="W116" s="524" t="s">
        <v>130</v>
      </c>
      <c r="X116" s="524"/>
      <c r="Y116" s="524"/>
      <c r="Z116" s="524"/>
      <c r="AA116" s="524"/>
      <c r="AB116" s="524"/>
      <c r="AC116" s="551"/>
      <c r="AD116" s="524"/>
      <c r="AE116" s="524"/>
      <c r="AF116" s="524"/>
      <c r="AG116" s="524"/>
      <c r="AH116" s="524"/>
      <c r="AI116" s="524"/>
      <c r="AJ116" s="524"/>
      <c r="AK116" s="524"/>
      <c r="AL116" s="524"/>
      <c r="AM116" s="524"/>
      <c r="AN116" s="551"/>
      <c r="AO116" s="477"/>
      <c r="AP116" s="477"/>
      <c r="AQ116" s="524"/>
      <c r="AR116" s="524"/>
      <c r="AS116" s="524"/>
      <c r="AT11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16" s="483">
        <f>WWWW[[#This Row],[%Equitable and continuous access to sufficient quantity of safe drinking water]]*WWWW[[#This Row],[Total PoP ]]</f>
        <v>585</v>
      </c>
      <c r="AV11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16" s="483">
        <f>WWWW[[#This Row],[% Access to unimproved water points]]*WWWW[[#This Row],[Total PoP ]]</f>
        <v>585</v>
      </c>
      <c r="AX11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1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585</v>
      </c>
      <c r="AZ116" s="483">
        <f>WWWW[[#This Row],[HRP1]]/250</f>
        <v>2.34</v>
      </c>
      <c r="BA116" s="476">
        <f>1-WWWW[[#This Row],[% Equitable and continuous access to sufficient quantity of domestic water]]</f>
        <v>0</v>
      </c>
      <c r="BB116" s="483">
        <f>WWWW[[#This Row],[%equitable and continuous access to sufficient quantity of safe drinking and domestic water''s GAP]]*WWWW[[#This Row],[Total PoP ]]</f>
        <v>0</v>
      </c>
      <c r="BC116" s="478">
        <f>IF(WWWW[[#This Row],[Total required water points]]-WWWW[[#This Row],['#Water points coverage]]&lt;0,0,WWWW[[#This Row],[Total required water points]]-WWWW[[#This Row],['#Water points coverage]])</f>
        <v>0</v>
      </c>
      <c r="BD116" s="478">
        <f>ROUND(IF(WWWW[[#This Row],[Total PoP ]]&lt;250,1,WWWW[[#This Row],[Total PoP ]]/250),0)</f>
        <v>2</v>
      </c>
      <c r="BE11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0.55384615384615388</v>
      </c>
      <c r="BF116" s="483">
        <f>WWWW[[#This Row],[% people access to functioning Latrine]]*WWWW[[#This Row],[Total PoP ]]</f>
        <v>324</v>
      </c>
      <c r="BG116" s="478">
        <f>WWWW[[#This Row],['#_of_Functioning_latrines_in_school]]*50</f>
        <v>0</v>
      </c>
      <c r="BH116" s="478">
        <f>ROUND((WWWW[[#This Row],[Total PoP ]]/6),0)</f>
        <v>98</v>
      </c>
      <c r="BI116" s="478">
        <f>IF(WWWW[[#This Row],[Total required Latrines]]-(WWWW[[#This Row],['#_of_sanitary_fly-proof_HH_latrines]])&lt;0,0,WWWW[[#This Row],[Total required Latrines]]-(WWWW[[#This Row],['#_of_sanitary_fly-proof_HH_latrines]]))</f>
        <v>44</v>
      </c>
      <c r="BJ116" s="479">
        <f>1-WWWW[[#This Row],[% people access to functioning Latrine]]</f>
        <v>0.44615384615384612</v>
      </c>
      <c r="BK11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16" s="483">
        <f>IF(WWWW[[#This Row],['#_of_functional_handwashing_facilities_at_HH_level]]*6&gt;WWWW[[#This Row],[Total PoP ]],WWWW[[#This Row],[Total PoP ]],WWWW[[#This Row],['#_of_functional_handwashing_facilities_at_HH_level]]*6)</f>
        <v>0</v>
      </c>
      <c r="BM116" s="478">
        <f>IF(WWWW[[#This Row],['# people reached by regular dedicated hygiene promotion]]&gt;WWWW[[#This Row],['# People received regular supply of hygiene items]],WWWW[[#This Row],['# people reached by regular dedicated hygiene promotion]],WWWW[[#This Row],['# People received regular supply of hygiene items]])</f>
        <v>0</v>
      </c>
      <c r="BN116" s="476">
        <f>IF(WWWW[[#This Row],[HRP3]]/WWWW[[#This Row],[Total PoP ]]&gt;100%,100%,WWWW[[#This Row],[HRP3]]/WWWW[[#This Row],[Total PoP ]])</f>
        <v>0</v>
      </c>
      <c r="BO116" s="479">
        <f>1-WWWW[[#This Row],[Hygiene Coverage%]]</f>
        <v>1</v>
      </c>
      <c r="BP116" s="477">
        <f>WWWW[[#This Row],['# people reached by regular dedicated hygiene promotion]]/WWWW[[#This Row],[Total PoP ]]</f>
        <v>0</v>
      </c>
      <c r="BQ11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6" s="478">
        <f>WWWW[[#This Row],['#_of_affected_women_and_girls_receiving_a_sufficient_quantity_of_sanitary_pads]]</f>
        <v>0</v>
      </c>
      <c r="BS116" s="524">
        <f>IF(WWWW[[#This Row],['# People with access to soap]]&gt;WWWW[[#This Row],['# People with access to Sanity Pads]],WWWW[[#This Row],['# People with access to soap]],WWWW[[#This Row],['# People with access to Sanity Pads]])</f>
        <v>0</v>
      </c>
      <c r="BT116" s="483" t="str">
        <f>IF(OR(WWWW[[#This Row],['#of students in school]]="",WWWW[[#This Row],['#of students in school]]=0),"No","Yes")</f>
        <v>No</v>
      </c>
      <c r="BU116" s="480" t="str">
        <f>VLOOKUP(WWWW[[#This Row],[Village  Name]],SiteDB6[[Site Name]:[Location Type 1]],9,FALSE)</f>
        <v>Village</v>
      </c>
      <c r="BV116" s="480" t="str">
        <f>VLOOKUP(WWWW[[#This Row],[Village  Name]],SiteDB6[[Site Name]:[Type of Accommodation]],10,FALSE)</f>
        <v>Village</v>
      </c>
      <c r="BW116" s="480">
        <f>VLOOKUP(WWWW[[#This Row],[Village  Name]],SiteDB6[[Site Name]:[Ethnic or GCA/NGCA]],11,FALSE)</f>
        <v>0</v>
      </c>
      <c r="BX116" s="480">
        <f>VLOOKUP(WWWW[[#This Row],[Village  Name]],SiteDB6[[Site Name]:[Lat]],12,FALSE)</f>
        <v>20.466840744018601</v>
      </c>
      <c r="BY116" s="480">
        <f>VLOOKUP(WWWW[[#This Row],[Village  Name]],SiteDB6[[Site Name]:[Long]],13,FALSE)</f>
        <v>93.304931640625</v>
      </c>
      <c r="BZ116" s="480">
        <f>VLOOKUP(WWWW[[#This Row],[Village  Name]],SiteDB6[[Site Name]:[Pcode]],3,FALSE)</f>
        <v>197149</v>
      </c>
      <c r="CA116" s="480" t="str">
        <f t="shared" si="5"/>
        <v>Covered</v>
      </c>
      <c r="CB116" s="505"/>
    </row>
    <row r="117" spans="1:80">
      <c r="A117" s="774" t="s">
        <v>3150</v>
      </c>
      <c r="B117" s="774" t="s">
        <v>314</v>
      </c>
      <c r="C117" s="415" t="s">
        <v>314</v>
      </c>
      <c r="D117" s="415" t="s">
        <v>307</v>
      </c>
      <c r="E117" s="415" t="s">
        <v>2648</v>
      </c>
      <c r="F117" s="415" t="s">
        <v>312</v>
      </c>
      <c r="G117" s="644" t="str">
        <f>VLOOKUP(WWWW[[#This Row],[Village  Name]],SiteDB6[[Site Name]:[Location Type]],8,FALSE)</f>
        <v>Village</v>
      </c>
      <c r="H117" s="415" t="s">
        <v>895</v>
      </c>
      <c r="I117" s="524">
        <v>408</v>
      </c>
      <c r="J117" s="524">
        <v>2009</v>
      </c>
      <c r="K117" s="418">
        <v>42736</v>
      </c>
      <c r="L117" s="55">
        <v>44551</v>
      </c>
      <c r="M117" s="524"/>
      <c r="N117" s="524"/>
      <c r="O117" s="524">
        <v>1</v>
      </c>
      <c r="P117" s="524">
        <v>14</v>
      </c>
      <c r="Q117" s="524">
        <v>1</v>
      </c>
      <c r="R117" s="524"/>
      <c r="S117" s="524"/>
      <c r="T117" s="524"/>
      <c r="U117" s="551"/>
      <c r="V117" s="524">
        <v>20</v>
      </c>
      <c r="W117" s="524" t="s">
        <v>130</v>
      </c>
      <c r="X117" s="524"/>
      <c r="Y117" s="524"/>
      <c r="Z117" s="524"/>
      <c r="AA117" s="524"/>
      <c r="AB117" s="524"/>
      <c r="AC117" s="551"/>
      <c r="AD117" s="524"/>
      <c r="AE117" s="524"/>
      <c r="AF117" s="524"/>
      <c r="AG117" s="524"/>
      <c r="AH117" s="524"/>
      <c r="AI117" s="524"/>
      <c r="AJ117" s="524"/>
      <c r="AK117" s="524"/>
      <c r="AL117" s="524"/>
      <c r="AM117" s="524"/>
      <c r="AN117" s="551"/>
      <c r="AO117" s="477"/>
      <c r="AP117" s="477"/>
      <c r="AQ117" s="524"/>
      <c r="AR117" s="524"/>
      <c r="AS117" s="524"/>
      <c r="AT11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17" s="483">
        <f>WWWW[[#This Row],[%Equitable and continuous access to sufficient quantity of safe drinking water]]*WWWW[[#This Row],[Total PoP ]]</f>
        <v>2009</v>
      </c>
      <c r="AV11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17" s="483">
        <f>WWWW[[#This Row],[% Access to unimproved water points]]*WWWW[[#This Row],[Total PoP ]]</f>
        <v>2009</v>
      </c>
      <c r="AX11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1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2009</v>
      </c>
      <c r="AZ117" s="483">
        <f>WWWW[[#This Row],[HRP1]]/250</f>
        <v>8.0359999999999996</v>
      </c>
      <c r="BA117" s="476">
        <f>1-WWWW[[#This Row],[% Equitable and continuous access to sufficient quantity of domestic water]]</f>
        <v>0</v>
      </c>
      <c r="BB117" s="483">
        <f>WWWW[[#This Row],[%equitable and continuous access to sufficient quantity of safe drinking and domestic water''s GAP]]*WWWW[[#This Row],[Total PoP ]]</f>
        <v>0</v>
      </c>
      <c r="BC117" s="478">
        <f>IF(WWWW[[#This Row],[Total required water points]]-WWWW[[#This Row],['#Water points coverage]]&lt;0,0,WWWW[[#This Row],[Total required water points]]-WWWW[[#This Row],['#Water points coverage]])</f>
        <v>0</v>
      </c>
      <c r="BD117" s="478">
        <f>ROUND(IF(WWWW[[#This Row],[Total PoP ]]&lt;250,1,WWWW[[#This Row],[Total PoP ]]/250),0)</f>
        <v>8</v>
      </c>
      <c r="BE11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5.9731209556993528E-2</v>
      </c>
      <c r="BF117" s="483">
        <f>WWWW[[#This Row],[% people access to functioning Latrine]]*WWWW[[#This Row],[Total PoP ]]</f>
        <v>120</v>
      </c>
      <c r="BG117" s="478">
        <f>WWWW[[#This Row],['#_of_Functioning_latrines_in_school]]*50</f>
        <v>0</v>
      </c>
      <c r="BH117" s="478">
        <f>ROUND((WWWW[[#This Row],[Total PoP ]]/6),0)</f>
        <v>335</v>
      </c>
      <c r="BI117" s="478">
        <f>IF(WWWW[[#This Row],[Total required Latrines]]-(WWWW[[#This Row],['#_of_sanitary_fly-proof_HH_latrines]])&lt;0,0,WWWW[[#This Row],[Total required Latrines]]-(WWWW[[#This Row],['#_of_sanitary_fly-proof_HH_latrines]]))</f>
        <v>315</v>
      </c>
      <c r="BJ117" s="479">
        <f>1-WWWW[[#This Row],[% people access to functioning Latrine]]</f>
        <v>0.94026879044300649</v>
      </c>
      <c r="BK11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17" s="483">
        <f>IF(WWWW[[#This Row],['#_of_functional_handwashing_facilities_at_HH_level]]*6&gt;WWWW[[#This Row],[Total PoP ]],WWWW[[#This Row],[Total PoP ]],WWWW[[#This Row],['#_of_functional_handwashing_facilities_at_HH_level]]*6)</f>
        <v>0</v>
      </c>
      <c r="BM117" s="478">
        <f>IF(WWWW[[#This Row],['# people reached by regular dedicated hygiene promotion]]&gt;WWWW[[#This Row],['# People received regular supply of hygiene items]],WWWW[[#This Row],['# people reached by regular dedicated hygiene promotion]],WWWW[[#This Row],['# People received regular supply of hygiene items]])</f>
        <v>0</v>
      </c>
      <c r="BN117" s="476">
        <f>IF(WWWW[[#This Row],[HRP3]]/WWWW[[#This Row],[Total PoP ]]&gt;100%,100%,WWWW[[#This Row],[HRP3]]/WWWW[[#This Row],[Total PoP ]])</f>
        <v>0</v>
      </c>
      <c r="BO117" s="479">
        <f>1-WWWW[[#This Row],[Hygiene Coverage%]]</f>
        <v>1</v>
      </c>
      <c r="BP117" s="477">
        <f>WWWW[[#This Row],['# people reached by regular dedicated hygiene promotion]]/WWWW[[#This Row],[Total PoP ]]</f>
        <v>0</v>
      </c>
      <c r="BQ11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7" s="478">
        <f>WWWW[[#This Row],['#_of_affected_women_and_girls_receiving_a_sufficient_quantity_of_sanitary_pads]]</f>
        <v>0</v>
      </c>
      <c r="BS117" s="524">
        <f>IF(WWWW[[#This Row],['# People with access to soap]]&gt;WWWW[[#This Row],['# People with access to Sanity Pads]],WWWW[[#This Row],['# People with access to soap]],WWWW[[#This Row],['# People with access to Sanity Pads]])</f>
        <v>0</v>
      </c>
      <c r="BT117" s="483" t="str">
        <f>IF(OR(WWWW[[#This Row],['#of students in school]]="",WWWW[[#This Row],['#of students in school]]=0),"No","Yes")</f>
        <v>No</v>
      </c>
      <c r="BU117" s="480" t="str">
        <f>VLOOKUP(WWWW[[#This Row],[Village  Name]],SiteDB6[[Site Name]:[Location Type 1]],9,FALSE)</f>
        <v>Village</v>
      </c>
      <c r="BV117" s="480" t="str">
        <f>VLOOKUP(WWWW[[#This Row],[Village  Name]],SiteDB6[[Site Name]:[Type of Accommodation]],10,FALSE)</f>
        <v>Returned</v>
      </c>
      <c r="BW117" s="480" t="str">
        <f>VLOOKUP(WWWW[[#This Row],[Village  Name]],SiteDB6[[Site Name]:[Ethnic or GCA/NGCA]],11,FALSE)</f>
        <v>Muslim</v>
      </c>
      <c r="BX117" s="480">
        <f>VLOOKUP(WWWW[[#This Row],[Village  Name]],SiteDB6[[Site Name]:[Lat]],12,FALSE)</f>
        <v>20.480898</v>
      </c>
      <c r="BY117" s="480">
        <f>VLOOKUP(WWWW[[#This Row],[Village  Name]],SiteDB6[[Site Name]:[Long]],13,FALSE)</f>
        <v>93.299485000000004</v>
      </c>
      <c r="BZ117" s="480" t="str">
        <f>VLOOKUP(WWWW[[#This Row],[Village  Name]],SiteDB6[[Site Name]:[Pcode]],3,FALSE)</f>
        <v>MMR012CMP006</v>
      </c>
      <c r="CA117" s="480" t="str">
        <f t="shared" si="5"/>
        <v>Covered</v>
      </c>
      <c r="CB117" s="505"/>
    </row>
    <row r="118" spans="1:80">
      <c r="A118" s="774" t="s">
        <v>3150</v>
      </c>
      <c r="B118" s="774" t="s">
        <v>314</v>
      </c>
      <c r="C118" s="415" t="s">
        <v>314</v>
      </c>
      <c r="D118" s="415" t="s">
        <v>307</v>
      </c>
      <c r="E118" s="415" t="s">
        <v>2648</v>
      </c>
      <c r="F118" s="415" t="s">
        <v>312</v>
      </c>
      <c r="G118" s="644" t="str">
        <f>VLOOKUP(WWWW[[#This Row],[Village  Name]],SiteDB6[[Site Name]:[Location Type]],8,FALSE)</f>
        <v>Village</v>
      </c>
      <c r="H118" s="415" t="s">
        <v>2611</v>
      </c>
      <c r="I118" s="524">
        <v>47</v>
      </c>
      <c r="J118" s="524">
        <v>190</v>
      </c>
      <c r="K118" s="418">
        <v>42736</v>
      </c>
      <c r="L118" s="55">
        <v>44551</v>
      </c>
      <c r="M118" s="524"/>
      <c r="N118" s="524"/>
      <c r="O118" s="524">
        <v>3</v>
      </c>
      <c r="P118" s="524">
        <v>60</v>
      </c>
      <c r="Q118" s="524">
        <v>2</v>
      </c>
      <c r="R118" s="524"/>
      <c r="S118" s="524"/>
      <c r="T118" s="524"/>
      <c r="U118" s="551"/>
      <c r="V118" s="524">
        <v>43</v>
      </c>
      <c r="W118" s="524" t="s">
        <v>130</v>
      </c>
      <c r="X118" s="524"/>
      <c r="Y118" s="524"/>
      <c r="Z118" s="524"/>
      <c r="AA118" s="524"/>
      <c r="AB118" s="524"/>
      <c r="AC118" s="551"/>
      <c r="AD118" s="524"/>
      <c r="AE118" s="524"/>
      <c r="AF118" s="524"/>
      <c r="AG118" s="524"/>
      <c r="AH118" s="524"/>
      <c r="AI118" s="524"/>
      <c r="AJ118" s="524"/>
      <c r="AK118" s="524"/>
      <c r="AL118" s="524"/>
      <c r="AM118" s="524"/>
      <c r="AN118" s="551"/>
      <c r="AO118" s="477"/>
      <c r="AP118" s="477"/>
      <c r="AQ118" s="524"/>
      <c r="AR118" s="524"/>
      <c r="AS118" s="524"/>
      <c r="AT11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18" s="483">
        <f>WWWW[[#This Row],[%Equitable and continuous access to sufficient quantity of safe drinking water]]*WWWW[[#This Row],[Total PoP ]]</f>
        <v>190</v>
      </c>
      <c r="AV11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18" s="483">
        <f>WWWW[[#This Row],[% Access to unimproved water points]]*WWWW[[#This Row],[Total PoP ]]</f>
        <v>190</v>
      </c>
      <c r="AX11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1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190</v>
      </c>
      <c r="AZ118" s="483">
        <f>WWWW[[#This Row],[HRP1]]/250</f>
        <v>0.76</v>
      </c>
      <c r="BA118" s="476">
        <f>1-WWWW[[#This Row],[% Equitable and continuous access to sufficient quantity of domestic water]]</f>
        <v>0</v>
      </c>
      <c r="BB118" s="483">
        <f>WWWW[[#This Row],[%equitable and continuous access to sufficient quantity of safe drinking and domestic water''s GAP]]*WWWW[[#This Row],[Total PoP ]]</f>
        <v>0</v>
      </c>
      <c r="BC118" s="478">
        <f>IF(WWWW[[#This Row],[Total required water points]]-WWWW[[#This Row],['#Water points coverage]]&lt;0,0,WWWW[[#This Row],[Total required water points]]-WWWW[[#This Row],['#Water points coverage]])</f>
        <v>0.24</v>
      </c>
      <c r="BD118" s="478">
        <f>ROUND(IF(WWWW[[#This Row],[Total PoP ]]&lt;250,1,WWWW[[#This Row],[Total PoP ]]/250),0)</f>
        <v>1</v>
      </c>
      <c r="BE11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18" s="483">
        <f>WWWW[[#This Row],[% people access to functioning Latrine]]*WWWW[[#This Row],[Total PoP ]]</f>
        <v>190</v>
      </c>
      <c r="BG118" s="478">
        <f>WWWW[[#This Row],['#_of_Functioning_latrines_in_school]]*50</f>
        <v>0</v>
      </c>
      <c r="BH118" s="478">
        <f>ROUND((WWWW[[#This Row],[Total PoP ]]/6),0)</f>
        <v>32</v>
      </c>
      <c r="BI118" s="478">
        <f>IF(WWWW[[#This Row],[Total required Latrines]]-(WWWW[[#This Row],['#_of_sanitary_fly-proof_HH_latrines]])&lt;0,0,WWWW[[#This Row],[Total required Latrines]]-(WWWW[[#This Row],['#_of_sanitary_fly-proof_HH_latrines]]))</f>
        <v>0</v>
      </c>
      <c r="BJ118" s="479">
        <f>1-WWWW[[#This Row],[% people access to functioning Latrine]]</f>
        <v>0</v>
      </c>
      <c r="BK11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18" s="483">
        <f>IF(WWWW[[#This Row],['#_of_functional_handwashing_facilities_at_HH_level]]*6&gt;WWWW[[#This Row],[Total PoP ]],WWWW[[#This Row],[Total PoP ]],WWWW[[#This Row],['#_of_functional_handwashing_facilities_at_HH_level]]*6)</f>
        <v>0</v>
      </c>
      <c r="BM118" s="478">
        <f>IF(WWWW[[#This Row],['# people reached by regular dedicated hygiene promotion]]&gt;WWWW[[#This Row],['# People received regular supply of hygiene items]],WWWW[[#This Row],['# people reached by regular dedicated hygiene promotion]],WWWW[[#This Row],['# People received regular supply of hygiene items]])</f>
        <v>0</v>
      </c>
      <c r="BN118" s="476">
        <f>IF(WWWW[[#This Row],[HRP3]]/WWWW[[#This Row],[Total PoP ]]&gt;100%,100%,WWWW[[#This Row],[HRP3]]/WWWW[[#This Row],[Total PoP ]])</f>
        <v>0</v>
      </c>
      <c r="BO118" s="479">
        <f>1-WWWW[[#This Row],[Hygiene Coverage%]]</f>
        <v>1</v>
      </c>
      <c r="BP118" s="477">
        <f>WWWW[[#This Row],['# people reached by regular dedicated hygiene promotion]]/WWWW[[#This Row],[Total PoP ]]</f>
        <v>0</v>
      </c>
      <c r="BQ11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8" s="478">
        <f>WWWW[[#This Row],['#_of_affected_women_and_girls_receiving_a_sufficient_quantity_of_sanitary_pads]]</f>
        <v>0</v>
      </c>
      <c r="BS118" s="524">
        <f>IF(WWWW[[#This Row],['# People with access to soap]]&gt;WWWW[[#This Row],['# People with access to Sanity Pads]],WWWW[[#This Row],['# People with access to soap]],WWWW[[#This Row],['# People with access to Sanity Pads]])</f>
        <v>0</v>
      </c>
      <c r="BT118" s="483" t="str">
        <f>IF(OR(WWWW[[#This Row],['#of students in school]]="",WWWW[[#This Row],['#of students in school]]=0),"No","Yes")</f>
        <v>No</v>
      </c>
      <c r="BU118" s="480" t="str">
        <f>VLOOKUP(WWWW[[#This Row],[Village  Name]],SiteDB6[[Site Name]:[Location Type 1]],9,FALSE)</f>
        <v>Village</v>
      </c>
      <c r="BV118" s="480" t="str">
        <f>VLOOKUP(WWWW[[#This Row],[Village  Name]],SiteDB6[[Site Name]:[Type of Accommodation]],10,FALSE)</f>
        <v>Village</v>
      </c>
      <c r="BW118" s="480">
        <f>VLOOKUP(WWWW[[#This Row],[Village  Name]],SiteDB6[[Site Name]:[Ethnic or GCA/NGCA]],11,FALSE)</f>
        <v>0</v>
      </c>
      <c r="BX118" s="480">
        <f>VLOOKUP(WWWW[[#This Row],[Village  Name]],SiteDB6[[Site Name]:[Lat]],12,FALSE)</f>
        <v>0</v>
      </c>
      <c r="BY118" s="480">
        <f>VLOOKUP(WWWW[[#This Row],[Village  Name]],SiteDB6[[Site Name]:[Long]],13,FALSE)</f>
        <v>0</v>
      </c>
      <c r="BZ118" s="480">
        <f>VLOOKUP(WWWW[[#This Row],[Village  Name]],SiteDB6[[Site Name]:[Pcode]],3,FALSE)</f>
        <v>0</v>
      </c>
      <c r="CA118" s="480" t="str">
        <f t="shared" si="5"/>
        <v>Covered</v>
      </c>
      <c r="CB118" s="505"/>
    </row>
    <row r="119" spans="1:80">
      <c r="A119" s="774" t="s">
        <v>3150</v>
      </c>
      <c r="B119" s="774" t="s">
        <v>314</v>
      </c>
      <c r="C119" s="415" t="s">
        <v>314</v>
      </c>
      <c r="D119" s="415" t="s">
        <v>307</v>
      </c>
      <c r="E119" s="415" t="s">
        <v>2648</v>
      </c>
      <c r="F119" s="415" t="s">
        <v>312</v>
      </c>
      <c r="G119" s="644" t="str">
        <f>VLOOKUP(WWWW[[#This Row],[Village  Name]],SiteDB6[[Site Name]:[Location Type]],8,FALSE)</f>
        <v>Village</v>
      </c>
      <c r="H119" s="415" t="s">
        <v>2612</v>
      </c>
      <c r="I119" s="524">
        <v>150</v>
      </c>
      <c r="J119" s="524">
        <v>532</v>
      </c>
      <c r="K119" s="418">
        <v>42736</v>
      </c>
      <c r="L119" s="55">
        <v>44551</v>
      </c>
      <c r="M119" s="524"/>
      <c r="N119" s="524"/>
      <c r="O119" s="524">
        <v>0</v>
      </c>
      <c r="P119" s="524">
        <v>84</v>
      </c>
      <c r="Q119" s="524">
        <v>2</v>
      </c>
      <c r="R119" s="524"/>
      <c r="S119" s="524"/>
      <c r="T119" s="524"/>
      <c r="U119" s="551"/>
      <c r="V119" s="524">
        <v>45</v>
      </c>
      <c r="W119" s="524" t="s">
        <v>130</v>
      </c>
      <c r="X119" s="524"/>
      <c r="Y119" s="524"/>
      <c r="Z119" s="524"/>
      <c r="AA119" s="524"/>
      <c r="AB119" s="524"/>
      <c r="AC119" s="551"/>
      <c r="AD119" s="524"/>
      <c r="AE119" s="524"/>
      <c r="AF119" s="524"/>
      <c r="AG119" s="524"/>
      <c r="AH119" s="524"/>
      <c r="AI119" s="524"/>
      <c r="AJ119" s="524"/>
      <c r="AK119" s="524"/>
      <c r="AL119" s="524"/>
      <c r="AM119" s="524"/>
      <c r="AN119" s="551"/>
      <c r="AO119" s="477"/>
      <c r="AP119" s="477"/>
      <c r="AQ119" s="524"/>
      <c r="AR119" s="524"/>
      <c r="AS119" s="524"/>
      <c r="AT11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19" s="483">
        <f>WWWW[[#This Row],[%Equitable and continuous access to sufficient quantity of safe drinking water]]*WWWW[[#This Row],[Total PoP ]]</f>
        <v>532</v>
      </c>
      <c r="AV11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19" s="483">
        <f>WWWW[[#This Row],[% Access to unimproved water points]]*WWWW[[#This Row],[Total PoP ]]</f>
        <v>532</v>
      </c>
      <c r="AX11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1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532</v>
      </c>
      <c r="AZ119" s="483">
        <f>WWWW[[#This Row],[HRP1]]/250</f>
        <v>2.1280000000000001</v>
      </c>
      <c r="BA119" s="476">
        <f>1-WWWW[[#This Row],[% Equitable and continuous access to sufficient quantity of domestic water]]</f>
        <v>0</v>
      </c>
      <c r="BB119" s="483">
        <f>WWWW[[#This Row],[%equitable and continuous access to sufficient quantity of safe drinking and domestic water''s GAP]]*WWWW[[#This Row],[Total PoP ]]</f>
        <v>0</v>
      </c>
      <c r="BC119" s="478">
        <f>IF(WWWW[[#This Row],[Total required water points]]-WWWW[[#This Row],['#Water points coverage]]&lt;0,0,WWWW[[#This Row],[Total required water points]]-WWWW[[#This Row],['#Water points coverage]])</f>
        <v>0</v>
      </c>
      <c r="BD119" s="478">
        <f>ROUND(IF(WWWW[[#This Row],[Total PoP ]]&lt;250,1,WWWW[[#This Row],[Total PoP ]]/250),0)</f>
        <v>2</v>
      </c>
      <c r="BE11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0.50751879699248126</v>
      </c>
      <c r="BF119" s="483">
        <f>WWWW[[#This Row],[% people access to functioning Latrine]]*WWWW[[#This Row],[Total PoP ]]</f>
        <v>270.00000000000006</v>
      </c>
      <c r="BG119" s="478">
        <f>WWWW[[#This Row],['#_of_Functioning_latrines_in_school]]*50</f>
        <v>0</v>
      </c>
      <c r="BH119" s="478">
        <f>ROUND((WWWW[[#This Row],[Total PoP ]]/6),0)</f>
        <v>89</v>
      </c>
      <c r="BI119" s="478">
        <f>IF(WWWW[[#This Row],[Total required Latrines]]-(WWWW[[#This Row],['#_of_sanitary_fly-proof_HH_latrines]])&lt;0,0,WWWW[[#This Row],[Total required Latrines]]-(WWWW[[#This Row],['#_of_sanitary_fly-proof_HH_latrines]]))</f>
        <v>44</v>
      </c>
      <c r="BJ119" s="479">
        <f>1-WWWW[[#This Row],[% people access to functioning Latrine]]</f>
        <v>0.49248120300751874</v>
      </c>
      <c r="BK11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19" s="483">
        <f>IF(WWWW[[#This Row],['#_of_functional_handwashing_facilities_at_HH_level]]*6&gt;WWWW[[#This Row],[Total PoP ]],WWWW[[#This Row],[Total PoP ]],WWWW[[#This Row],['#_of_functional_handwashing_facilities_at_HH_level]]*6)</f>
        <v>0</v>
      </c>
      <c r="BM119" s="478">
        <f>IF(WWWW[[#This Row],['# people reached by regular dedicated hygiene promotion]]&gt;WWWW[[#This Row],['# People received regular supply of hygiene items]],WWWW[[#This Row],['# people reached by regular dedicated hygiene promotion]],WWWW[[#This Row],['# People received regular supply of hygiene items]])</f>
        <v>0</v>
      </c>
      <c r="BN119" s="476">
        <f>IF(WWWW[[#This Row],[HRP3]]/WWWW[[#This Row],[Total PoP ]]&gt;100%,100%,WWWW[[#This Row],[HRP3]]/WWWW[[#This Row],[Total PoP ]])</f>
        <v>0</v>
      </c>
      <c r="BO119" s="479">
        <f>1-WWWW[[#This Row],[Hygiene Coverage%]]</f>
        <v>1</v>
      </c>
      <c r="BP119" s="477">
        <f>WWWW[[#This Row],['# people reached by regular dedicated hygiene promotion]]/WWWW[[#This Row],[Total PoP ]]</f>
        <v>0</v>
      </c>
      <c r="BQ11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19" s="478">
        <f>WWWW[[#This Row],['#_of_affected_women_and_girls_receiving_a_sufficient_quantity_of_sanitary_pads]]</f>
        <v>0</v>
      </c>
      <c r="BS119" s="524">
        <f>IF(WWWW[[#This Row],['# People with access to soap]]&gt;WWWW[[#This Row],['# People with access to Sanity Pads]],WWWW[[#This Row],['# People with access to soap]],WWWW[[#This Row],['# People with access to Sanity Pads]])</f>
        <v>0</v>
      </c>
      <c r="BT119" s="483" t="str">
        <f>IF(OR(WWWW[[#This Row],['#of students in school]]="",WWWW[[#This Row],['#of students in school]]=0),"No","Yes")</f>
        <v>No</v>
      </c>
      <c r="BU119" s="480" t="str">
        <f>VLOOKUP(WWWW[[#This Row],[Village  Name]],SiteDB6[[Site Name]:[Location Type 1]],9,FALSE)</f>
        <v>Village</v>
      </c>
      <c r="BV119" s="480" t="str">
        <f>VLOOKUP(WWWW[[#This Row],[Village  Name]],SiteDB6[[Site Name]:[Type of Accommodation]],10,FALSE)</f>
        <v>Village</v>
      </c>
      <c r="BW119" s="480">
        <f>VLOOKUP(WWWW[[#This Row],[Village  Name]],SiteDB6[[Site Name]:[Ethnic or GCA/NGCA]],11,FALSE)</f>
        <v>0</v>
      </c>
      <c r="BX119" s="480">
        <f>VLOOKUP(WWWW[[#This Row],[Village  Name]],SiteDB6[[Site Name]:[Lat]],12,FALSE)</f>
        <v>20.440990447998001</v>
      </c>
      <c r="BY119" s="480">
        <f>VLOOKUP(WWWW[[#This Row],[Village  Name]],SiteDB6[[Site Name]:[Long]],13,FALSE)</f>
        <v>93.336273193359403</v>
      </c>
      <c r="BZ119" s="480">
        <f>VLOOKUP(WWWW[[#This Row],[Village  Name]],SiteDB6[[Site Name]:[Pcode]],3,FALSE)</f>
        <v>197092</v>
      </c>
      <c r="CA119" s="480" t="str">
        <f t="shared" si="5"/>
        <v>Covered</v>
      </c>
      <c r="CB119" s="505"/>
    </row>
    <row r="120" spans="1:80">
      <c r="A120" s="774" t="s">
        <v>3150</v>
      </c>
      <c r="B120" s="774" t="s">
        <v>314</v>
      </c>
      <c r="C120" s="415" t="s">
        <v>314</v>
      </c>
      <c r="D120" s="415" t="s">
        <v>307</v>
      </c>
      <c r="E120" s="415" t="s">
        <v>2648</v>
      </c>
      <c r="F120" s="415" t="s">
        <v>312</v>
      </c>
      <c r="G120" s="644" t="str">
        <f>VLOOKUP(WWWW[[#This Row],[Village  Name]],SiteDB6[[Site Name]:[Location Type]],8,FALSE)</f>
        <v>Village</v>
      </c>
      <c r="H120" s="415" t="s">
        <v>2613</v>
      </c>
      <c r="I120" s="524">
        <v>142</v>
      </c>
      <c r="J120" s="524">
        <v>542</v>
      </c>
      <c r="K120" s="418">
        <v>42736</v>
      </c>
      <c r="L120" s="55">
        <v>44551</v>
      </c>
      <c r="M120" s="524"/>
      <c r="N120" s="524"/>
      <c r="O120" s="524">
        <v>11</v>
      </c>
      <c r="P120" s="524">
        <v>65</v>
      </c>
      <c r="Q120" s="524">
        <v>2</v>
      </c>
      <c r="R120" s="524"/>
      <c r="S120" s="524"/>
      <c r="T120" s="524"/>
      <c r="U120" s="551"/>
      <c r="V120" s="524">
        <v>56</v>
      </c>
      <c r="W120" s="524" t="s">
        <v>130</v>
      </c>
      <c r="X120" s="524"/>
      <c r="Y120" s="524"/>
      <c r="Z120" s="524"/>
      <c r="AA120" s="524"/>
      <c r="AB120" s="524"/>
      <c r="AC120" s="551"/>
      <c r="AD120" s="524"/>
      <c r="AE120" s="524"/>
      <c r="AF120" s="524"/>
      <c r="AG120" s="524"/>
      <c r="AH120" s="524"/>
      <c r="AI120" s="524"/>
      <c r="AJ120" s="524"/>
      <c r="AK120" s="524"/>
      <c r="AL120" s="524"/>
      <c r="AM120" s="524"/>
      <c r="AN120" s="551"/>
      <c r="AO120" s="477"/>
      <c r="AP120" s="477"/>
      <c r="AQ120" s="524"/>
      <c r="AR120" s="524"/>
      <c r="AS120" s="524"/>
      <c r="AT12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20" s="483">
        <f>WWWW[[#This Row],[%Equitable and continuous access to sufficient quantity of safe drinking water]]*WWWW[[#This Row],[Total PoP ]]</f>
        <v>542</v>
      </c>
      <c r="AV12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20" s="483">
        <f>WWWW[[#This Row],[% Access to unimproved water points]]*WWWW[[#This Row],[Total PoP ]]</f>
        <v>542</v>
      </c>
      <c r="AX12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2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542</v>
      </c>
      <c r="AZ120" s="483">
        <f>WWWW[[#This Row],[HRP1]]/250</f>
        <v>2.1680000000000001</v>
      </c>
      <c r="BA120" s="476">
        <f>1-WWWW[[#This Row],[% Equitable and continuous access to sufficient quantity of domestic water]]</f>
        <v>0</v>
      </c>
      <c r="BB120" s="483">
        <f>WWWW[[#This Row],[%equitable and continuous access to sufficient quantity of safe drinking and domestic water''s GAP]]*WWWW[[#This Row],[Total PoP ]]</f>
        <v>0</v>
      </c>
      <c r="BC120" s="478">
        <f>IF(WWWW[[#This Row],[Total required water points]]-WWWW[[#This Row],['#Water points coverage]]&lt;0,0,WWWW[[#This Row],[Total required water points]]-WWWW[[#This Row],['#Water points coverage]])</f>
        <v>0</v>
      </c>
      <c r="BD120" s="478">
        <f>ROUND(IF(WWWW[[#This Row],[Total PoP ]]&lt;250,1,WWWW[[#This Row],[Total PoP ]]/250),0)</f>
        <v>2</v>
      </c>
      <c r="BE12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0.61992619926199266</v>
      </c>
      <c r="BF120" s="483">
        <f>WWWW[[#This Row],[% people access to functioning Latrine]]*WWWW[[#This Row],[Total PoP ]]</f>
        <v>336</v>
      </c>
      <c r="BG120" s="478">
        <f>WWWW[[#This Row],['#_of_Functioning_latrines_in_school]]*50</f>
        <v>0</v>
      </c>
      <c r="BH120" s="478">
        <f>ROUND((WWWW[[#This Row],[Total PoP ]]/6),0)</f>
        <v>90</v>
      </c>
      <c r="BI120" s="478">
        <f>IF(WWWW[[#This Row],[Total required Latrines]]-(WWWW[[#This Row],['#_of_sanitary_fly-proof_HH_latrines]])&lt;0,0,WWWW[[#This Row],[Total required Latrines]]-(WWWW[[#This Row],['#_of_sanitary_fly-proof_HH_latrines]]))</f>
        <v>34</v>
      </c>
      <c r="BJ120" s="479">
        <f>1-WWWW[[#This Row],[% people access to functioning Latrine]]</f>
        <v>0.38007380073800734</v>
      </c>
      <c r="BK12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20" s="483">
        <f>IF(WWWW[[#This Row],['#_of_functional_handwashing_facilities_at_HH_level]]*6&gt;WWWW[[#This Row],[Total PoP ]],WWWW[[#This Row],[Total PoP ]],WWWW[[#This Row],['#_of_functional_handwashing_facilities_at_HH_level]]*6)</f>
        <v>0</v>
      </c>
      <c r="BM120" s="478">
        <f>IF(WWWW[[#This Row],['# people reached by regular dedicated hygiene promotion]]&gt;WWWW[[#This Row],['# People received regular supply of hygiene items]],WWWW[[#This Row],['# people reached by regular dedicated hygiene promotion]],WWWW[[#This Row],['# People received regular supply of hygiene items]])</f>
        <v>0</v>
      </c>
      <c r="BN120" s="476">
        <f>IF(WWWW[[#This Row],[HRP3]]/WWWW[[#This Row],[Total PoP ]]&gt;100%,100%,WWWW[[#This Row],[HRP3]]/WWWW[[#This Row],[Total PoP ]])</f>
        <v>0</v>
      </c>
      <c r="BO120" s="479">
        <f>1-WWWW[[#This Row],[Hygiene Coverage%]]</f>
        <v>1</v>
      </c>
      <c r="BP120" s="477">
        <f>WWWW[[#This Row],['# people reached by regular dedicated hygiene promotion]]/WWWW[[#This Row],[Total PoP ]]</f>
        <v>0</v>
      </c>
      <c r="BQ12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0" s="478">
        <f>WWWW[[#This Row],['#_of_affected_women_and_girls_receiving_a_sufficient_quantity_of_sanitary_pads]]</f>
        <v>0</v>
      </c>
      <c r="BS120" s="524">
        <f>IF(WWWW[[#This Row],['# People with access to soap]]&gt;WWWW[[#This Row],['# People with access to Sanity Pads]],WWWW[[#This Row],['# People with access to soap]],WWWW[[#This Row],['# People with access to Sanity Pads]])</f>
        <v>0</v>
      </c>
      <c r="BT120" s="483" t="str">
        <f>IF(OR(WWWW[[#This Row],['#of students in school]]="",WWWW[[#This Row],['#of students in school]]=0),"No","Yes")</f>
        <v>No</v>
      </c>
      <c r="BU120" s="480" t="str">
        <f>VLOOKUP(WWWW[[#This Row],[Village  Name]],SiteDB6[[Site Name]:[Location Type 1]],9,FALSE)</f>
        <v>Village</v>
      </c>
      <c r="BV120" s="480" t="str">
        <f>VLOOKUP(WWWW[[#This Row],[Village  Name]],SiteDB6[[Site Name]:[Type of Accommodation]],10,FALSE)</f>
        <v>Village</v>
      </c>
      <c r="BW120" s="480">
        <f>VLOOKUP(WWWW[[#This Row],[Village  Name]],SiteDB6[[Site Name]:[Ethnic or GCA/NGCA]],11,FALSE)</f>
        <v>0</v>
      </c>
      <c r="BX120" s="480">
        <f>VLOOKUP(WWWW[[#This Row],[Village  Name]],SiteDB6[[Site Name]:[Lat]],12,FALSE)</f>
        <v>20.438470840454102</v>
      </c>
      <c r="BY120" s="480">
        <f>VLOOKUP(WWWW[[#This Row],[Village  Name]],SiteDB6[[Site Name]:[Long]],13,FALSE)</f>
        <v>93.344322204589801</v>
      </c>
      <c r="BZ120" s="480">
        <f>VLOOKUP(WWWW[[#This Row],[Village  Name]],SiteDB6[[Site Name]:[Pcode]],3,FALSE)</f>
        <v>197100</v>
      </c>
      <c r="CA120" s="480" t="str">
        <f t="shared" si="5"/>
        <v>Covered</v>
      </c>
      <c r="CB120" s="505"/>
    </row>
    <row r="121" spans="1:80">
      <c r="A121" s="774" t="s">
        <v>3150</v>
      </c>
      <c r="B121" s="774" t="s">
        <v>314</v>
      </c>
      <c r="C121" s="415" t="s">
        <v>314</v>
      </c>
      <c r="D121" s="415" t="s">
        <v>307</v>
      </c>
      <c r="E121" s="415" t="s">
        <v>2648</v>
      </c>
      <c r="F121" s="415" t="s">
        <v>312</v>
      </c>
      <c r="G121" s="644" t="str">
        <f>VLOOKUP(WWWW[[#This Row],[Village  Name]],SiteDB6[[Site Name]:[Location Type]],8,FALSE)</f>
        <v>Village</v>
      </c>
      <c r="H121" s="415" t="s">
        <v>2614</v>
      </c>
      <c r="I121" s="524">
        <v>290</v>
      </c>
      <c r="J121" s="524">
        <v>1314</v>
      </c>
      <c r="K121" s="418">
        <v>42736</v>
      </c>
      <c r="L121" s="55">
        <v>44551</v>
      </c>
      <c r="M121" s="524"/>
      <c r="N121" s="524"/>
      <c r="O121" s="524">
        <v>7</v>
      </c>
      <c r="P121" s="524">
        <v>135</v>
      </c>
      <c r="Q121" s="524">
        <v>3</v>
      </c>
      <c r="R121" s="524"/>
      <c r="S121" s="524"/>
      <c r="T121" s="524"/>
      <c r="U121" s="551"/>
      <c r="V121" s="524">
        <v>159</v>
      </c>
      <c r="W121" s="524" t="s">
        <v>130</v>
      </c>
      <c r="X121" s="524"/>
      <c r="Y121" s="524"/>
      <c r="Z121" s="524"/>
      <c r="AA121" s="524"/>
      <c r="AB121" s="524"/>
      <c r="AC121" s="551"/>
      <c r="AD121" s="524"/>
      <c r="AE121" s="524"/>
      <c r="AF121" s="524"/>
      <c r="AG121" s="524"/>
      <c r="AH121" s="524"/>
      <c r="AI121" s="524"/>
      <c r="AJ121" s="524"/>
      <c r="AK121" s="524"/>
      <c r="AL121" s="524"/>
      <c r="AM121" s="524"/>
      <c r="AN121" s="551"/>
      <c r="AO121" s="477"/>
      <c r="AP121" s="477"/>
      <c r="AQ121" s="524"/>
      <c r="AR121" s="524"/>
      <c r="AS121" s="524"/>
      <c r="AT12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21" s="483">
        <f>WWWW[[#This Row],[%Equitable and continuous access to sufficient quantity of safe drinking water]]*WWWW[[#This Row],[Total PoP ]]</f>
        <v>1314</v>
      </c>
      <c r="AV12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21" s="483">
        <f>WWWW[[#This Row],[% Access to unimproved water points]]*WWWW[[#This Row],[Total PoP ]]</f>
        <v>1314</v>
      </c>
      <c r="AX12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2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1314</v>
      </c>
      <c r="AZ121" s="483">
        <f>WWWW[[#This Row],[HRP1]]/250</f>
        <v>5.2560000000000002</v>
      </c>
      <c r="BA121" s="476">
        <f>1-WWWW[[#This Row],[% Equitable and continuous access to sufficient quantity of domestic water]]</f>
        <v>0</v>
      </c>
      <c r="BB121" s="483">
        <f>WWWW[[#This Row],[%equitable and continuous access to sufficient quantity of safe drinking and domestic water''s GAP]]*WWWW[[#This Row],[Total PoP ]]</f>
        <v>0</v>
      </c>
      <c r="BC121" s="478">
        <f>IF(WWWW[[#This Row],[Total required water points]]-WWWW[[#This Row],['#Water points coverage]]&lt;0,0,WWWW[[#This Row],[Total required water points]]-WWWW[[#This Row],['#Water points coverage]])</f>
        <v>0</v>
      </c>
      <c r="BD121" s="478">
        <f>ROUND(IF(WWWW[[#This Row],[Total PoP ]]&lt;250,1,WWWW[[#This Row],[Total PoP ]]/250),0)</f>
        <v>5</v>
      </c>
      <c r="BE12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0.72602739726027399</v>
      </c>
      <c r="BF121" s="483">
        <f>WWWW[[#This Row],[% people access to functioning Latrine]]*WWWW[[#This Row],[Total PoP ]]</f>
        <v>954</v>
      </c>
      <c r="BG121" s="478">
        <f>WWWW[[#This Row],['#_of_Functioning_latrines_in_school]]*50</f>
        <v>0</v>
      </c>
      <c r="BH121" s="478">
        <f>ROUND((WWWW[[#This Row],[Total PoP ]]/6),0)</f>
        <v>219</v>
      </c>
      <c r="BI121" s="478">
        <f>IF(WWWW[[#This Row],[Total required Latrines]]-(WWWW[[#This Row],['#_of_sanitary_fly-proof_HH_latrines]])&lt;0,0,WWWW[[#This Row],[Total required Latrines]]-(WWWW[[#This Row],['#_of_sanitary_fly-proof_HH_latrines]]))</f>
        <v>60</v>
      </c>
      <c r="BJ121" s="479">
        <f>1-WWWW[[#This Row],[% people access to functioning Latrine]]</f>
        <v>0.27397260273972601</v>
      </c>
      <c r="BK12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21" s="483">
        <f>IF(WWWW[[#This Row],['#_of_functional_handwashing_facilities_at_HH_level]]*6&gt;WWWW[[#This Row],[Total PoP ]],WWWW[[#This Row],[Total PoP ]],WWWW[[#This Row],['#_of_functional_handwashing_facilities_at_HH_level]]*6)</f>
        <v>0</v>
      </c>
      <c r="BM121" s="478">
        <f>IF(WWWW[[#This Row],['# people reached by regular dedicated hygiene promotion]]&gt;WWWW[[#This Row],['# People received regular supply of hygiene items]],WWWW[[#This Row],['# people reached by regular dedicated hygiene promotion]],WWWW[[#This Row],['# People received regular supply of hygiene items]])</f>
        <v>0</v>
      </c>
      <c r="BN121" s="476">
        <f>IF(WWWW[[#This Row],[HRP3]]/WWWW[[#This Row],[Total PoP ]]&gt;100%,100%,WWWW[[#This Row],[HRP3]]/WWWW[[#This Row],[Total PoP ]])</f>
        <v>0</v>
      </c>
      <c r="BO121" s="479">
        <f>1-WWWW[[#This Row],[Hygiene Coverage%]]</f>
        <v>1</v>
      </c>
      <c r="BP121" s="477">
        <f>WWWW[[#This Row],['# people reached by regular dedicated hygiene promotion]]/WWWW[[#This Row],[Total PoP ]]</f>
        <v>0</v>
      </c>
      <c r="BQ12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1" s="478">
        <f>WWWW[[#This Row],['#_of_affected_women_and_girls_receiving_a_sufficient_quantity_of_sanitary_pads]]</f>
        <v>0</v>
      </c>
      <c r="BS121" s="524">
        <f>IF(WWWW[[#This Row],['# People with access to soap]]&gt;WWWW[[#This Row],['# People with access to Sanity Pads]],WWWW[[#This Row],['# People with access to soap]],WWWW[[#This Row],['# People with access to Sanity Pads]])</f>
        <v>0</v>
      </c>
      <c r="BT121" s="483" t="str">
        <f>IF(OR(WWWW[[#This Row],['#of students in school]]="",WWWW[[#This Row],['#of students in school]]=0),"No","Yes")</f>
        <v>No</v>
      </c>
      <c r="BU121" s="480" t="str">
        <f>VLOOKUP(WWWW[[#This Row],[Village  Name]],SiteDB6[[Site Name]:[Location Type 1]],9,FALSE)</f>
        <v>Village</v>
      </c>
      <c r="BV121" s="480" t="str">
        <f>VLOOKUP(WWWW[[#This Row],[Village  Name]],SiteDB6[[Site Name]:[Type of Accommodation]],10,FALSE)</f>
        <v>Village</v>
      </c>
      <c r="BW121" s="480">
        <f>VLOOKUP(WWWW[[#This Row],[Village  Name]],SiteDB6[[Site Name]:[Ethnic or GCA/NGCA]],11,FALSE)</f>
        <v>0</v>
      </c>
      <c r="BX121" s="480">
        <f>VLOOKUP(WWWW[[#This Row],[Village  Name]],SiteDB6[[Site Name]:[Lat]],12,FALSE)</f>
        <v>20.424299240112301</v>
      </c>
      <c r="BY121" s="480">
        <f>VLOOKUP(WWWW[[#This Row],[Village  Name]],SiteDB6[[Site Name]:[Long]],13,FALSE)</f>
        <v>93.337341308593807</v>
      </c>
      <c r="BZ121" s="480">
        <f>VLOOKUP(WWWW[[#This Row],[Village  Name]],SiteDB6[[Site Name]:[Pcode]],3,FALSE)</f>
        <v>197099</v>
      </c>
      <c r="CA121" s="480" t="str">
        <f t="shared" si="5"/>
        <v>Covered</v>
      </c>
      <c r="CB121" s="505"/>
    </row>
    <row r="122" spans="1:80">
      <c r="A122" s="774" t="s">
        <v>3150</v>
      </c>
      <c r="B122" s="774" t="s">
        <v>314</v>
      </c>
      <c r="C122" s="415" t="s">
        <v>314</v>
      </c>
      <c r="D122" s="415" t="s">
        <v>307</v>
      </c>
      <c r="E122" s="415" t="s">
        <v>2648</v>
      </c>
      <c r="F122" s="415" t="s">
        <v>312</v>
      </c>
      <c r="G122" s="644" t="str">
        <f>VLOOKUP(WWWW[[#This Row],[Village  Name]],SiteDB6[[Site Name]:[Location Type]],8,FALSE)</f>
        <v>Village</v>
      </c>
      <c r="H122" s="415" t="s">
        <v>2615</v>
      </c>
      <c r="I122" s="524">
        <v>215</v>
      </c>
      <c r="J122" s="524">
        <v>1125</v>
      </c>
      <c r="K122" s="418">
        <v>42736</v>
      </c>
      <c r="L122" s="55">
        <v>44551</v>
      </c>
      <c r="M122" s="524"/>
      <c r="N122" s="524"/>
      <c r="O122" s="524">
        <v>0</v>
      </c>
      <c r="P122" s="524">
        <v>40</v>
      </c>
      <c r="Q122" s="524">
        <v>1</v>
      </c>
      <c r="R122" s="524"/>
      <c r="S122" s="524"/>
      <c r="T122" s="524"/>
      <c r="U122" s="551"/>
      <c r="V122" s="524">
        <v>36</v>
      </c>
      <c r="W122" s="524" t="s">
        <v>130</v>
      </c>
      <c r="X122" s="524"/>
      <c r="Y122" s="524"/>
      <c r="Z122" s="524"/>
      <c r="AA122" s="524"/>
      <c r="AB122" s="524"/>
      <c r="AC122" s="551"/>
      <c r="AD122" s="524"/>
      <c r="AE122" s="524"/>
      <c r="AF122" s="524"/>
      <c r="AG122" s="524"/>
      <c r="AH122" s="524"/>
      <c r="AI122" s="524"/>
      <c r="AJ122" s="524"/>
      <c r="AK122" s="524"/>
      <c r="AL122" s="524"/>
      <c r="AM122" s="524"/>
      <c r="AN122" s="551"/>
      <c r="AO122" s="477"/>
      <c r="AP122" s="477"/>
      <c r="AQ122" s="524"/>
      <c r="AR122" s="524"/>
      <c r="AS122" s="524"/>
      <c r="AT12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22" s="483">
        <f>WWWW[[#This Row],[%Equitable and continuous access to sufficient quantity of safe drinking water]]*WWWW[[#This Row],[Total PoP ]]</f>
        <v>1125</v>
      </c>
      <c r="AV12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22" s="483">
        <f>WWWW[[#This Row],[% Access to unimproved water points]]*WWWW[[#This Row],[Total PoP ]]</f>
        <v>1125</v>
      </c>
      <c r="AX12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2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1125</v>
      </c>
      <c r="AZ122" s="483">
        <f>WWWW[[#This Row],[HRP1]]/250</f>
        <v>4.5</v>
      </c>
      <c r="BA122" s="476">
        <f>1-WWWW[[#This Row],[% Equitable and continuous access to sufficient quantity of domestic water]]</f>
        <v>0</v>
      </c>
      <c r="BB122" s="483">
        <f>WWWW[[#This Row],[%equitable and continuous access to sufficient quantity of safe drinking and domestic water''s GAP]]*WWWW[[#This Row],[Total PoP ]]</f>
        <v>0</v>
      </c>
      <c r="BC122" s="478">
        <f>IF(WWWW[[#This Row],[Total required water points]]-WWWW[[#This Row],['#Water points coverage]]&lt;0,0,WWWW[[#This Row],[Total required water points]]-WWWW[[#This Row],['#Water points coverage]])</f>
        <v>0.5</v>
      </c>
      <c r="BD122" s="478">
        <f>ROUND(IF(WWWW[[#This Row],[Total PoP ]]&lt;250,1,WWWW[[#This Row],[Total PoP ]]/250),0)</f>
        <v>5</v>
      </c>
      <c r="BE12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0.192</v>
      </c>
      <c r="BF122" s="483">
        <f>WWWW[[#This Row],[% people access to functioning Latrine]]*WWWW[[#This Row],[Total PoP ]]</f>
        <v>216</v>
      </c>
      <c r="BG122" s="478">
        <f>WWWW[[#This Row],['#_of_Functioning_latrines_in_school]]*50</f>
        <v>0</v>
      </c>
      <c r="BH122" s="478">
        <f>ROUND((WWWW[[#This Row],[Total PoP ]]/6),0)</f>
        <v>188</v>
      </c>
      <c r="BI122" s="478">
        <f>IF(WWWW[[#This Row],[Total required Latrines]]-(WWWW[[#This Row],['#_of_sanitary_fly-proof_HH_latrines]])&lt;0,0,WWWW[[#This Row],[Total required Latrines]]-(WWWW[[#This Row],['#_of_sanitary_fly-proof_HH_latrines]]))</f>
        <v>152</v>
      </c>
      <c r="BJ122" s="479">
        <f>1-WWWW[[#This Row],[% people access to functioning Latrine]]</f>
        <v>0.80800000000000005</v>
      </c>
      <c r="BK12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22" s="483">
        <f>IF(WWWW[[#This Row],['#_of_functional_handwashing_facilities_at_HH_level]]*6&gt;WWWW[[#This Row],[Total PoP ]],WWWW[[#This Row],[Total PoP ]],WWWW[[#This Row],['#_of_functional_handwashing_facilities_at_HH_level]]*6)</f>
        <v>0</v>
      </c>
      <c r="BM122" s="478">
        <f>IF(WWWW[[#This Row],['# people reached by regular dedicated hygiene promotion]]&gt;WWWW[[#This Row],['# People received regular supply of hygiene items]],WWWW[[#This Row],['# people reached by regular dedicated hygiene promotion]],WWWW[[#This Row],['# People received regular supply of hygiene items]])</f>
        <v>0</v>
      </c>
      <c r="BN122" s="476">
        <f>IF(WWWW[[#This Row],[HRP3]]/WWWW[[#This Row],[Total PoP ]]&gt;100%,100%,WWWW[[#This Row],[HRP3]]/WWWW[[#This Row],[Total PoP ]])</f>
        <v>0</v>
      </c>
      <c r="BO122" s="479">
        <f>1-WWWW[[#This Row],[Hygiene Coverage%]]</f>
        <v>1</v>
      </c>
      <c r="BP122" s="477">
        <f>WWWW[[#This Row],['# people reached by regular dedicated hygiene promotion]]/WWWW[[#This Row],[Total PoP ]]</f>
        <v>0</v>
      </c>
      <c r="BQ12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2" s="478">
        <f>WWWW[[#This Row],['#_of_affected_women_and_girls_receiving_a_sufficient_quantity_of_sanitary_pads]]</f>
        <v>0</v>
      </c>
      <c r="BS122" s="524">
        <f>IF(WWWW[[#This Row],['# People with access to soap]]&gt;WWWW[[#This Row],['# People with access to Sanity Pads]],WWWW[[#This Row],['# People with access to soap]],WWWW[[#This Row],['# People with access to Sanity Pads]])</f>
        <v>0</v>
      </c>
      <c r="BT122" s="483" t="str">
        <f>IF(OR(WWWW[[#This Row],['#of students in school]]="",WWWW[[#This Row],['#of students in school]]=0),"No","Yes")</f>
        <v>No</v>
      </c>
      <c r="BU122" s="480" t="str">
        <f>VLOOKUP(WWWW[[#This Row],[Village  Name]],SiteDB6[[Site Name]:[Location Type 1]],9,FALSE)</f>
        <v>Village</v>
      </c>
      <c r="BV122" s="480" t="str">
        <f>VLOOKUP(WWWW[[#This Row],[Village  Name]],SiteDB6[[Site Name]:[Type of Accommodation]],10,FALSE)</f>
        <v>Village</v>
      </c>
      <c r="BW122" s="480">
        <f>VLOOKUP(WWWW[[#This Row],[Village  Name]],SiteDB6[[Site Name]:[Ethnic or GCA/NGCA]],11,FALSE)</f>
        <v>0</v>
      </c>
      <c r="BX122" s="480">
        <f>VLOOKUP(WWWW[[#This Row],[Village  Name]],SiteDB6[[Site Name]:[Lat]],12,FALSE)</f>
        <v>20.470190048217798</v>
      </c>
      <c r="BY122" s="480">
        <f>VLOOKUP(WWWW[[#This Row],[Village  Name]],SiteDB6[[Site Name]:[Long]],13,FALSE)</f>
        <v>93.3311767578125</v>
      </c>
      <c r="BZ122" s="480">
        <f>VLOOKUP(WWWW[[#This Row],[Village  Name]],SiteDB6[[Site Name]:[Pcode]],3,FALSE)</f>
        <v>197102</v>
      </c>
      <c r="CA122" s="480" t="str">
        <f t="shared" si="5"/>
        <v>Covered</v>
      </c>
      <c r="CB122" s="505"/>
    </row>
    <row r="123" spans="1:80">
      <c r="A123" s="774" t="s">
        <v>3150</v>
      </c>
      <c r="B123" s="774" t="s">
        <v>314</v>
      </c>
      <c r="C123" s="415" t="s">
        <v>314</v>
      </c>
      <c r="D123" s="415" t="s">
        <v>307</v>
      </c>
      <c r="E123" s="415" t="s">
        <v>2648</v>
      </c>
      <c r="F123" s="415" t="s">
        <v>312</v>
      </c>
      <c r="G123" s="644" t="str">
        <f>VLOOKUP(WWWW[[#This Row],[Village  Name]],SiteDB6[[Site Name]:[Location Type]],8,FALSE)</f>
        <v>Village</v>
      </c>
      <c r="H123" s="415" t="s">
        <v>2616</v>
      </c>
      <c r="I123" s="524">
        <v>181</v>
      </c>
      <c r="J123" s="524">
        <v>940</v>
      </c>
      <c r="K123" s="418">
        <v>42736</v>
      </c>
      <c r="L123" s="55">
        <v>44551</v>
      </c>
      <c r="M123" s="524"/>
      <c r="N123" s="524"/>
      <c r="O123" s="524">
        <v>0</v>
      </c>
      <c r="P123" s="524">
        <v>78</v>
      </c>
      <c r="Q123" s="524">
        <v>2</v>
      </c>
      <c r="R123" s="524"/>
      <c r="S123" s="524"/>
      <c r="T123" s="524"/>
      <c r="U123" s="551"/>
      <c r="V123" s="524">
        <v>88</v>
      </c>
      <c r="W123" s="524" t="s">
        <v>130</v>
      </c>
      <c r="X123" s="524"/>
      <c r="Y123" s="524"/>
      <c r="Z123" s="524"/>
      <c r="AA123" s="524"/>
      <c r="AB123" s="524"/>
      <c r="AC123" s="551"/>
      <c r="AD123" s="524"/>
      <c r="AE123" s="524"/>
      <c r="AF123" s="524"/>
      <c r="AG123" s="524"/>
      <c r="AH123" s="524"/>
      <c r="AI123" s="524"/>
      <c r="AJ123" s="524"/>
      <c r="AK123" s="524"/>
      <c r="AL123" s="524"/>
      <c r="AM123" s="524"/>
      <c r="AN123" s="551"/>
      <c r="AO123" s="477"/>
      <c r="AP123" s="477"/>
      <c r="AQ123" s="524"/>
      <c r="AR123" s="524"/>
      <c r="AS123" s="524"/>
      <c r="AT12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23" s="483">
        <f>WWWW[[#This Row],[%Equitable and continuous access to sufficient quantity of safe drinking water]]*WWWW[[#This Row],[Total PoP ]]</f>
        <v>940</v>
      </c>
      <c r="AV12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23" s="483">
        <f>WWWW[[#This Row],[% Access to unimproved water points]]*WWWW[[#This Row],[Total PoP ]]</f>
        <v>940</v>
      </c>
      <c r="AX12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2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940</v>
      </c>
      <c r="AZ123" s="483">
        <f>WWWW[[#This Row],[HRP1]]/250</f>
        <v>3.76</v>
      </c>
      <c r="BA123" s="476">
        <f>1-WWWW[[#This Row],[% Equitable and continuous access to sufficient quantity of domestic water]]</f>
        <v>0</v>
      </c>
      <c r="BB123" s="483">
        <f>WWWW[[#This Row],[%equitable and continuous access to sufficient quantity of safe drinking and domestic water''s GAP]]*WWWW[[#This Row],[Total PoP ]]</f>
        <v>0</v>
      </c>
      <c r="BC123" s="478">
        <f>IF(WWWW[[#This Row],[Total required water points]]-WWWW[[#This Row],['#Water points coverage]]&lt;0,0,WWWW[[#This Row],[Total required water points]]-WWWW[[#This Row],['#Water points coverage]])</f>
        <v>0.24000000000000021</v>
      </c>
      <c r="BD123" s="478">
        <f>ROUND(IF(WWWW[[#This Row],[Total PoP ]]&lt;250,1,WWWW[[#This Row],[Total PoP ]]/250),0)</f>
        <v>4</v>
      </c>
      <c r="BE12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0.5617021276595745</v>
      </c>
      <c r="BF123" s="483">
        <f>WWWW[[#This Row],[% people access to functioning Latrine]]*WWWW[[#This Row],[Total PoP ]]</f>
        <v>528</v>
      </c>
      <c r="BG123" s="478">
        <f>WWWW[[#This Row],['#_of_Functioning_latrines_in_school]]*50</f>
        <v>0</v>
      </c>
      <c r="BH123" s="478">
        <f>ROUND((WWWW[[#This Row],[Total PoP ]]/6),0)</f>
        <v>157</v>
      </c>
      <c r="BI123" s="478">
        <f>IF(WWWW[[#This Row],[Total required Latrines]]-(WWWW[[#This Row],['#_of_sanitary_fly-proof_HH_latrines]])&lt;0,0,WWWW[[#This Row],[Total required Latrines]]-(WWWW[[#This Row],['#_of_sanitary_fly-proof_HH_latrines]]))</f>
        <v>69</v>
      </c>
      <c r="BJ123" s="479">
        <f>1-WWWW[[#This Row],[% people access to functioning Latrine]]</f>
        <v>0.4382978723404255</v>
      </c>
      <c r="BK12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23" s="483">
        <f>IF(WWWW[[#This Row],['#_of_functional_handwashing_facilities_at_HH_level]]*6&gt;WWWW[[#This Row],[Total PoP ]],WWWW[[#This Row],[Total PoP ]],WWWW[[#This Row],['#_of_functional_handwashing_facilities_at_HH_level]]*6)</f>
        <v>0</v>
      </c>
      <c r="BM123" s="478">
        <f>IF(WWWW[[#This Row],['# people reached by regular dedicated hygiene promotion]]&gt;WWWW[[#This Row],['# People received regular supply of hygiene items]],WWWW[[#This Row],['# people reached by regular dedicated hygiene promotion]],WWWW[[#This Row],['# People received regular supply of hygiene items]])</f>
        <v>0</v>
      </c>
      <c r="BN123" s="476">
        <f>IF(WWWW[[#This Row],[HRP3]]/WWWW[[#This Row],[Total PoP ]]&gt;100%,100%,WWWW[[#This Row],[HRP3]]/WWWW[[#This Row],[Total PoP ]])</f>
        <v>0</v>
      </c>
      <c r="BO123" s="479">
        <f>1-WWWW[[#This Row],[Hygiene Coverage%]]</f>
        <v>1</v>
      </c>
      <c r="BP123" s="477">
        <f>WWWW[[#This Row],['# people reached by regular dedicated hygiene promotion]]/WWWW[[#This Row],[Total PoP ]]</f>
        <v>0</v>
      </c>
      <c r="BQ12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3" s="478">
        <f>WWWW[[#This Row],['#_of_affected_women_and_girls_receiving_a_sufficient_quantity_of_sanitary_pads]]</f>
        <v>0</v>
      </c>
      <c r="BS123" s="524">
        <f>IF(WWWW[[#This Row],['# People with access to soap]]&gt;WWWW[[#This Row],['# People with access to Sanity Pads]],WWWW[[#This Row],['# People with access to soap]],WWWW[[#This Row],['# People with access to Sanity Pads]])</f>
        <v>0</v>
      </c>
      <c r="BT123" s="483" t="str">
        <f>IF(OR(WWWW[[#This Row],['#of students in school]]="",WWWW[[#This Row],['#of students in school]]=0),"No","Yes")</f>
        <v>No</v>
      </c>
      <c r="BU123" s="480" t="str">
        <f>VLOOKUP(WWWW[[#This Row],[Village  Name]],SiteDB6[[Site Name]:[Location Type 1]],9,FALSE)</f>
        <v>Village</v>
      </c>
      <c r="BV123" s="480" t="str">
        <f>VLOOKUP(WWWW[[#This Row],[Village  Name]],SiteDB6[[Site Name]:[Type of Accommodation]],10,FALSE)</f>
        <v>Village</v>
      </c>
      <c r="BW123" s="480">
        <f>VLOOKUP(WWWW[[#This Row],[Village  Name]],SiteDB6[[Site Name]:[Ethnic or GCA/NGCA]],11,FALSE)</f>
        <v>0</v>
      </c>
      <c r="BX123" s="480">
        <f>VLOOKUP(WWWW[[#This Row],[Village  Name]],SiteDB6[[Site Name]:[Lat]],12,FALSE)</f>
        <v>20.494003295898398</v>
      </c>
      <c r="BY123" s="480">
        <f>VLOOKUP(WWWW[[#This Row],[Village  Name]],SiteDB6[[Site Name]:[Long]],13,FALSE)</f>
        <v>93.324035644531307</v>
      </c>
      <c r="BZ123" s="480">
        <f>VLOOKUP(WWWW[[#This Row],[Village  Name]],SiteDB6[[Site Name]:[Pcode]],3,FALSE)</f>
        <v>220651</v>
      </c>
      <c r="CA123" s="480" t="str">
        <f t="shared" si="5"/>
        <v>Covered</v>
      </c>
      <c r="CB123" s="505"/>
    </row>
    <row r="124" spans="1:80">
      <c r="A124" s="774" t="s">
        <v>3150</v>
      </c>
      <c r="B124" s="774" t="s">
        <v>314</v>
      </c>
      <c r="C124" s="415" t="s">
        <v>314</v>
      </c>
      <c r="D124" s="415" t="s">
        <v>307</v>
      </c>
      <c r="E124" s="415" t="s">
        <v>2648</v>
      </c>
      <c r="F124" s="415" t="s">
        <v>312</v>
      </c>
      <c r="G124" s="644" t="str">
        <f>VLOOKUP(WWWW[[#This Row],[Village  Name]],SiteDB6[[Site Name]:[Location Type]],8,FALSE)</f>
        <v>Village</v>
      </c>
      <c r="H124" s="415" t="s">
        <v>2617</v>
      </c>
      <c r="I124" s="524">
        <v>170</v>
      </c>
      <c r="J124" s="524">
        <v>743</v>
      </c>
      <c r="K124" s="418">
        <v>42736</v>
      </c>
      <c r="L124" s="55">
        <v>44551</v>
      </c>
      <c r="M124" s="524"/>
      <c r="N124" s="524"/>
      <c r="O124" s="524">
        <v>14</v>
      </c>
      <c r="P124" s="524">
        <v>69</v>
      </c>
      <c r="Q124" s="524">
        <v>3</v>
      </c>
      <c r="R124" s="524"/>
      <c r="S124" s="524"/>
      <c r="T124" s="524"/>
      <c r="U124" s="551"/>
      <c r="V124" s="524">
        <v>71</v>
      </c>
      <c r="W124" s="524" t="s">
        <v>130</v>
      </c>
      <c r="X124" s="524"/>
      <c r="Y124" s="524"/>
      <c r="Z124" s="524"/>
      <c r="AA124" s="524"/>
      <c r="AB124" s="524"/>
      <c r="AC124" s="551"/>
      <c r="AD124" s="524"/>
      <c r="AE124" s="524"/>
      <c r="AF124" s="524"/>
      <c r="AG124" s="524"/>
      <c r="AH124" s="524"/>
      <c r="AI124" s="524"/>
      <c r="AJ124" s="524"/>
      <c r="AK124" s="524"/>
      <c r="AL124" s="524"/>
      <c r="AM124" s="524"/>
      <c r="AN124" s="551"/>
      <c r="AO124" s="477"/>
      <c r="AP124" s="477"/>
      <c r="AQ124" s="524"/>
      <c r="AR124" s="524"/>
      <c r="AS124" s="524"/>
      <c r="AT12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24" s="483">
        <f>WWWW[[#This Row],[%Equitable and continuous access to sufficient quantity of safe drinking water]]*WWWW[[#This Row],[Total PoP ]]</f>
        <v>743</v>
      </c>
      <c r="AV12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24" s="483">
        <f>WWWW[[#This Row],[% Access to unimproved water points]]*WWWW[[#This Row],[Total PoP ]]</f>
        <v>743</v>
      </c>
      <c r="AX12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2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743</v>
      </c>
      <c r="AZ124" s="483">
        <f>WWWW[[#This Row],[HRP1]]/250</f>
        <v>2.972</v>
      </c>
      <c r="BA124" s="476">
        <f>1-WWWW[[#This Row],[% Equitable and continuous access to sufficient quantity of domestic water]]</f>
        <v>0</v>
      </c>
      <c r="BB124" s="483">
        <f>WWWW[[#This Row],[%equitable and continuous access to sufficient quantity of safe drinking and domestic water''s GAP]]*WWWW[[#This Row],[Total PoP ]]</f>
        <v>0</v>
      </c>
      <c r="BC124" s="478">
        <f>IF(WWWW[[#This Row],[Total required water points]]-WWWW[[#This Row],['#Water points coverage]]&lt;0,0,WWWW[[#This Row],[Total required water points]]-WWWW[[#This Row],['#Water points coverage]])</f>
        <v>2.8000000000000025E-2</v>
      </c>
      <c r="BD124" s="478">
        <f>ROUND(IF(WWWW[[#This Row],[Total PoP ]]&lt;250,1,WWWW[[#This Row],[Total PoP ]]/250),0)</f>
        <v>3</v>
      </c>
      <c r="BE12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0.57335127860026913</v>
      </c>
      <c r="BF124" s="483">
        <f>WWWW[[#This Row],[% people access to functioning Latrine]]*WWWW[[#This Row],[Total PoP ]]</f>
        <v>425.99999999999994</v>
      </c>
      <c r="BG124" s="478">
        <f>WWWW[[#This Row],['#_of_Functioning_latrines_in_school]]*50</f>
        <v>0</v>
      </c>
      <c r="BH124" s="478">
        <f>ROUND((WWWW[[#This Row],[Total PoP ]]/6),0)</f>
        <v>124</v>
      </c>
      <c r="BI124" s="478">
        <f>IF(WWWW[[#This Row],[Total required Latrines]]-(WWWW[[#This Row],['#_of_sanitary_fly-proof_HH_latrines]])&lt;0,0,WWWW[[#This Row],[Total required Latrines]]-(WWWW[[#This Row],['#_of_sanitary_fly-proof_HH_latrines]]))</f>
        <v>53</v>
      </c>
      <c r="BJ124" s="479">
        <f>1-WWWW[[#This Row],[% people access to functioning Latrine]]</f>
        <v>0.42664872139973087</v>
      </c>
      <c r="BK12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24" s="483">
        <f>IF(WWWW[[#This Row],['#_of_functional_handwashing_facilities_at_HH_level]]*6&gt;WWWW[[#This Row],[Total PoP ]],WWWW[[#This Row],[Total PoP ]],WWWW[[#This Row],['#_of_functional_handwashing_facilities_at_HH_level]]*6)</f>
        <v>0</v>
      </c>
      <c r="BM124" s="478">
        <f>IF(WWWW[[#This Row],['# people reached by regular dedicated hygiene promotion]]&gt;WWWW[[#This Row],['# People received regular supply of hygiene items]],WWWW[[#This Row],['# people reached by regular dedicated hygiene promotion]],WWWW[[#This Row],['# People received regular supply of hygiene items]])</f>
        <v>0</v>
      </c>
      <c r="BN124" s="476">
        <f>IF(WWWW[[#This Row],[HRP3]]/WWWW[[#This Row],[Total PoP ]]&gt;100%,100%,WWWW[[#This Row],[HRP3]]/WWWW[[#This Row],[Total PoP ]])</f>
        <v>0</v>
      </c>
      <c r="BO124" s="479">
        <f>1-WWWW[[#This Row],[Hygiene Coverage%]]</f>
        <v>1</v>
      </c>
      <c r="BP124" s="477">
        <f>WWWW[[#This Row],['# people reached by regular dedicated hygiene promotion]]/WWWW[[#This Row],[Total PoP ]]</f>
        <v>0</v>
      </c>
      <c r="BQ12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4" s="478">
        <f>WWWW[[#This Row],['#_of_affected_women_and_girls_receiving_a_sufficient_quantity_of_sanitary_pads]]</f>
        <v>0</v>
      </c>
      <c r="BS124" s="524">
        <f>IF(WWWW[[#This Row],['# People with access to soap]]&gt;WWWW[[#This Row],['# People with access to Sanity Pads]],WWWW[[#This Row],['# People with access to soap]],WWWW[[#This Row],['# People with access to Sanity Pads]])</f>
        <v>0</v>
      </c>
      <c r="BT124" s="483" t="str">
        <f>IF(OR(WWWW[[#This Row],['#of students in school]]="",WWWW[[#This Row],['#of students in school]]=0),"No","Yes")</f>
        <v>No</v>
      </c>
      <c r="BU124" s="480" t="str">
        <f>VLOOKUP(WWWW[[#This Row],[Village  Name]],SiteDB6[[Site Name]:[Location Type 1]],9,FALSE)</f>
        <v>Village</v>
      </c>
      <c r="BV124" s="480" t="str">
        <f>VLOOKUP(WWWW[[#This Row],[Village  Name]],SiteDB6[[Site Name]:[Type of Accommodation]],10,FALSE)</f>
        <v>Village</v>
      </c>
      <c r="BW124" s="480">
        <f>VLOOKUP(WWWW[[#This Row],[Village  Name]],SiteDB6[[Site Name]:[Ethnic or GCA/NGCA]],11,FALSE)</f>
        <v>0</v>
      </c>
      <c r="BX124" s="480">
        <f>VLOOKUP(WWWW[[#This Row],[Village  Name]],SiteDB6[[Site Name]:[Lat]],12,FALSE)</f>
        <v>20.476139068603501</v>
      </c>
      <c r="BY124" s="480">
        <f>VLOOKUP(WWWW[[#This Row],[Village  Name]],SiteDB6[[Site Name]:[Long]],13,FALSE)</f>
        <v>93.338516235351605</v>
      </c>
      <c r="BZ124" s="480">
        <f>VLOOKUP(WWWW[[#This Row],[Village  Name]],SiteDB6[[Site Name]:[Pcode]],3,FALSE)</f>
        <v>197103</v>
      </c>
      <c r="CA124" s="480" t="str">
        <f t="shared" si="5"/>
        <v>Covered</v>
      </c>
      <c r="CB124" s="505"/>
    </row>
    <row r="125" spans="1:80">
      <c r="A125" s="774" t="s">
        <v>3150</v>
      </c>
      <c r="B125" s="774" t="s">
        <v>314</v>
      </c>
      <c r="C125" s="415" t="s">
        <v>314</v>
      </c>
      <c r="D125" s="415" t="s">
        <v>307</v>
      </c>
      <c r="E125" s="415" t="s">
        <v>2648</v>
      </c>
      <c r="F125" s="415" t="s">
        <v>312</v>
      </c>
      <c r="G125" s="644" t="str">
        <f>VLOOKUP(WWWW[[#This Row],[Village  Name]],SiteDB6[[Site Name]:[Location Type]],8,FALSE)</f>
        <v>Village</v>
      </c>
      <c r="H125" s="415" t="s">
        <v>462</v>
      </c>
      <c r="I125" s="524">
        <v>121</v>
      </c>
      <c r="J125" s="524">
        <v>421</v>
      </c>
      <c r="K125" s="418">
        <v>42736</v>
      </c>
      <c r="L125" s="55">
        <v>44551</v>
      </c>
      <c r="M125" s="524"/>
      <c r="N125" s="524"/>
      <c r="O125" s="524">
        <v>0</v>
      </c>
      <c r="P125" s="524">
        <v>98</v>
      </c>
      <c r="Q125" s="524">
        <v>2</v>
      </c>
      <c r="R125" s="524"/>
      <c r="S125" s="524"/>
      <c r="T125" s="524"/>
      <c r="U125" s="551"/>
      <c r="V125" s="524">
        <v>112</v>
      </c>
      <c r="W125" s="524" t="s">
        <v>130</v>
      </c>
      <c r="X125" s="524"/>
      <c r="Y125" s="524"/>
      <c r="Z125" s="524"/>
      <c r="AA125" s="524"/>
      <c r="AB125" s="524"/>
      <c r="AC125" s="551"/>
      <c r="AD125" s="524"/>
      <c r="AE125" s="524"/>
      <c r="AF125" s="524"/>
      <c r="AG125" s="524"/>
      <c r="AH125" s="524"/>
      <c r="AI125" s="524"/>
      <c r="AJ125" s="524"/>
      <c r="AK125" s="524"/>
      <c r="AL125" s="524"/>
      <c r="AM125" s="524"/>
      <c r="AN125" s="551"/>
      <c r="AO125" s="477"/>
      <c r="AP125" s="477"/>
      <c r="AQ125" s="524"/>
      <c r="AR125" s="524"/>
      <c r="AS125" s="524"/>
      <c r="AT12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25" s="483">
        <f>WWWW[[#This Row],[%Equitable and continuous access to sufficient quantity of safe drinking water]]*WWWW[[#This Row],[Total PoP ]]</f>
        <v>421</v>
      </c>
      <c r="AV12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25" s="483">
        <f>WWWW[[#This Row],[% Access to unimproved water points]]*WWWW[[#This Row],[Total PoP ]]</f>
        <v>421</v>
      </c>
      <c r="AX12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2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421</v>
      </c>
      <c r="AZ125" s="483">
        <f>WWWW[[#This Row],[HRP1]]/250</f>
        <v>1.6839999999999999</v>
      </c>
      <c r="BA125" s="476">
        <f>1-WWWW[[#This Row],[% Equitable and continuous access to sufficient quantity of domestic water]]</f>
        <v>0</v>
      </c>
      <c r="BB125" s="483">
        <f>WWWW[[#This Row],[%equitable and continuous access to sufficient quantity of safe drinking and domestic water''s GAP]]*WWWW[[#This Row],[Total PoP ]]</f>
        <v>0</v>
      </c>
      <c r="BC125" s="478">
        <f>IF(WWWW[[#This Row],[Total required water points]]-WWWW[[#This Row],['#Water points coverage]]&lt;0,0,WWWW[[#This Row],[Total required water points]]-WWWW[[#This Row],['#Water points coverage]])</f>
        <v>0.31600000000000006</v>
      </c>
      <c r="BD125" s="478">
        <f>ROUND(IF(WWWW[[#This Row],[Total PoP ]]&lt;250,1,WWWW[[#This Row],[Total PoP ]]/250),0)</f>
        <v>2</v>
      </c>
      <c r="BE12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25" s="483">
        <f>WWWW[[#This Row],[% people access to functioning Latrine]]*WWWW[[#This Row],[Total PoP ]]</f>
        <v>421</v>
      </c>
      <c r="BG125" s="478">
        <f>WWWW[[#This Row],['#_of_Functioning_latrines_in_school]]*50</f>
        <v>0</v>
      </c>
      <c r="BH125" s="478">
        <f>ROUND((WWWW[[#This Row],[Total PoP ]]/6),0)</f>
        <v>70</v>
      </c>
      <c r="BI125" s="478">
        <f>IF(WWWW[[#This Row],[Total required Latrines]]-(WWWW[[#This Row],['#_of_sanitary_fly-proof_HH_latrines]])&lt;0,0,WWWW[[#This Row],[Total required Latrines]]-(WWWW[[#This Row],['#_of_sanitary_fly-proof_HH_latrines]]))</f>
        <v>0</v>
      </c>
      <c r="BJ125" s="479">
        <f>1-WWWW[[#This Row],[% people access to functioning Latrine]]</f>
        <v>0</v>
      </c>
      <c r="BK12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25" s="483">
        <f>IF(WWWW[[#This Row],['#_of_functional_handwashing_facilities_at_HH_level]]*6&gt;WWWW[[#This Row],[Total PoP ]],WWWW[[#This Row],[Total PoP ]],WWWW[[#This Row],['#_of_functional_handwashing_facilities_at_HH_level]]*6)</f>
        <v>0</v>
      </c>
      <c r="BM125" s="478">
        <f>IF(WWWW[[#This Row],['# people reached by regular dedicated hygiene promotion]]&gt;WWWW[[#This Row],['# People received regular supply of hygiene items]],WWWW[[#This Row],['# people reached by regular dedicated hygiene promotion]],WWWW[[#This Row],['# People received regular supply of hygiene items]])</f>
        <v>0</v>
      </c>
      <c r="BN125" s="476">
        <f>IF(WWWW[[#This Row],[HRP3]]/WWWW[[#This Row],[Total PoP ]]&gt;100%,100%,WWWW[[#This Row],[HRP3]]/WWWW[[#This Row],[Total PoP ]])</f>
        <v>0</v>
      </c>
      <c r="BO125" s="479">
        <f>1-WWWW[[#This Row],[Hygiene Coverage%]]</f>
        <v>1</v>
      </c>
      <c r="BP125" s="477">
        <f>WWWW[[#This Row],['# people reached by regular dedicated hygiene promotion]]/WWWW[[#This Row],[Total PoP ]]</f>
        <v>0</v>
      </c>
      <c r="BQ12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5" s="478">
        <f>WWWW[[#This Row],['#_of_affected_women_and_girls_receiving_a_sufficient_quantity_of_sanitary_pads]]</f>
        <v>0</v>
      </c>
      <c r="BS125" s="524">
        <f>IF(WWWW[[#This Row],['# People with access to soap]]&gt;WWWW[[#This Row],['# People with access to Sanity Pads]],WWWW[[#This Row],['# People with access to soap]],WWWW[[#This Row],['# People with access to Sanity Pads]])</f>
        <v>0</v>
      </c>
      <c r="BT125" s="483" t="str">
        <f>IF(OR(WWWW[[#This Row],['#of students in school]]="",WWWW[[#This Row],['#of students in school]]=0),"No","Yes")</f>
        <v>No</v>
      </c>
      <c r="BU125" s="480" t="str">
        <f>VLOOKUP(WWWW[[#This Row],[Village  Name]],SiteDB6[[Site Name]:[Location Type 1]],9,FALSE)</f>
        <v>Village</v>
      </c>
      <c r="BV125" s="480" t="str">
        <f>VLOOKUP(WWWW[[#This Row],[Village  Name]],SiteDB6[[Site Name]:[Type of Accommodation]],10,FALSE)</f>
        <v>Village</v>
      </c>
      <c r="BW125" s="480" t="str">
        <f>VLOOKUP(WWWW[[#This Row],[Village  Name]],SiteDB6[[Site Name]:[Ethnic or GCA/NGCA]],11,FALSE)</f>
        <v>Mixed</v>
      </c>
      <c r="BX125" s="480">
        <f>VLOOKUP(WWWW[[#This Row],[Village  Name]],SiteDB6[[Site Name]:[Lat]],12,FALSE)</f>
        <v>20.394809720000001</v>
      </c>
      <c r="BY125" s="480">
        <f>VLOOKUP(WWWW[[#This Row],[Village  Name]],SiteDB6[[Site Name]:[Long]],13,FALSE)</f>
        <v>93.251609799999997</v>
      </c>
      <c r="BZ125" s="480">
        <f>VLOOKUP(WWWW[[#This Row],[Village  Name]],SiteDB6[[Site Name]:[Pcode]],3,FALSE)</f>
        <v>196994</v>
      </c>
      <c r="CA125" s="480" t="str">
        <f t="shared" si="5"/>
        <v>Covered</v>
      </c>
      <c r="CB125" s="505"/>
    </row>
    <row r="126" spans="1:80">
      <c r="A126" s="774" t="s">
        <v>3150</v>
      </c>
      <c r="B126" s="774" t="s">
        <v>314</v>
      </c>
      <c r="C126" s="415" t="s">
        <v>314</v>
      </c>
      <c r="D126" s="415" t="s">
        <v>307</v>
      </c>
      <c r="E126" s="415" t="s">
        <v>2648</v>
      </c>
      <c r="F126" s="415" t="s">
        <v>312</v>
      </c>
      <c r="G126" s="644" t="str">
        <f>VLOOKUP(WWWW[[#This Row],[Village  Name]],SiteDB6[[Site Name]:[Location Type]],8,FALSE)</f>
        <v>Village</v>
      </c>
      <c r="H126" s="415" t="s">
        <v>1747</v>
      </c>
      <c r="I126" s="524">
        <v>203</v>
      </c>
      <c r="J126" s="524">
        <v>1118</v>
      </c>
      <c r="K126" s="418">
        <v>42736</v>
      </c>
      <c r="L126" s="55">
        <v>44551</v>
      </c>
      <c r="M126" s="524"/>
      <c r="N126" s="524"/>
      <c r="O126" s="524">
        <v>18</v>
      </c>
      <c r="P126" s="524">
        <v>111</v>
      </c>
      <c r="Q126" s="524">
        <v>2</v>
      </c>
      <c r="R126" s="524"/>
      <c r="S126" s="524"/>
      <c r="T126" s="524"/>
      <c r="U126" s="551"/>
      <c r="V126" s="524">
        <v>97</v>
      </c>
      <c r="W126" s="524" t="s">
        <v>130</v>
      </c>
      <c r="X126" s="524"/>
      <c r="Y126" s="524"/>
      <c r="Z126" s="524"/>
      <c r="AA126" s="524"/>
      <c r="AB126" s="524"/>
      <c r="AC126" s="551"/>
      <c r="AD126" s="524"/>
      <c r="AE126" s="524"/>
      <c r="AF126" s="524"/>
      <c r="AG126" s="524"/>
      <c r="AH126" s="524"/>
      <c r="AI126" s="524"/>
      <c r="AJ126" s="524"/>
      <c r="AK126" s="524"/>
      <c r="AL126" s="524"/>
      <c r="AM126" s="524"/>
      <c r="AN126" s="551"/>
      <c r="AO126" s="477"/>
      <c r="AP126" s="477"/>
      <c r="AQ126" s="524"/>
      <c r="AR126" s="524"/>
      <c r="AS126" s="524"/>
      <c r="AT12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26" s="483">
        <f>WWWW[[#This Row],[%Equitable and continuous access to sufficient quantity of safe drinking water]]*WWWW[[#This Row],[Total PoP ]]</f>
        <v>1118</v>
      </c>
      <c r="AV12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26" s="483">
        <f>WWWW[[#This Row],[% Access to unimproved water points]]*WWWW[[#This Row],[Total PoP ]]</f>
        <v>1118</v>
      </c>
      <c r="AX12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2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1118</v>
      </c>
      <c r="AZ126" s="483">
        <f>WWWW[[#This Row],[HRP1]]/250</f>
        <v>4.4720000000000004</v>
      </c>
      <c r="BA126" s="476">
        <f>1-WWWW[[#This Row],[% Equitable and continuous access to sufficient quantity of domestic water]]</f>
        <v>0</v>
      </c>
      <c r="BB126" s="483">
        <f>WWWW[[#This Row],[%equitable and continuous access to sufficient quantity of safe drinking and domestic water''s GAP]]*WWWW[[#This Row],[Total PoP ]]</f>
        <v>0</v>
      </c>
      <c r="BC126" s="478">
        <f>IF(WWWW[[#This Row],[Total required water points]]-WWWW[[#This Row],['#Water points coverage]]&lt;0,0,WWWW[[#This Row],[Total required water points]]-WWWW[[#This Row],['#Water points coverage]])</f>
        <v>0</v>
      </c>
      <c r="BD126" s="478">
        <f>ROUND(IF(WWWW[[#This Row],[Total PoP ]]&lt;250,1,WWWW[[#This Row],[Total PoP ]]/250),0)</f>
        <v>4</v>
      </c>
      <c r="BE12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0.52057245080500891</v>
      </c>
      <c r="BF126" s="483">
        <f>WWWW[[#This Row],[% people access to functioning Latrine]]*WWWW[[#This Row],[Total PoP ]]</f>
        <v>582</v>
      </c>
      <c r="BG126" s="478">
        <f>WWWW[[#This Row],['#_of_Functioning_latrines_in_school]]*50</f>
        <v>0</v>
      </c>
      <c r="BH126" s="478">
        <f>ROUND((WWWW[[#This Row],[Total PoP ]]/6),0)</f>
        <v>186</v>
      </c>
      <c r="BI126" s="478">
        <f>IF(WWWW[[#This Row],[Total required Latrines]]-(WWWW[[#This Row],['#_of_sanitary_fly-proof_HH_latrines]])&lt;0,0,WWWW[[#This Row],[Total required Latrines]]-(WWWW[[#This Row],['#_of_sanitary_fly-proof_HH_latrines]]))</f>
        <v>89</v>
      </c>
      <c r="BJ126" s="479">
        <f>1-WWWW[[#This Row],[% people access to functioning Latrine]]</f>
        <v>0.47942754919499109</v>
      </c>
      <c r="BK12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26" s="483">
        <f>IF(WWWW[[#This Row],['#_of_functional_handwashing_facilities_at_HH_level]]*6&gt;WWWW[[#This Row],[Total PoP ]],WWWW[[#This Row],[Total PoP ]],WWWW[[#This Row],['#_of_functional_handwashing_facilities_at_HH_level]]*6)</f>
        <v>0</v>
      </c>
      <c r="BM126" s="478">
        <f>IF(WWWW[[#This Row],['# people reached by regular dedicated hygiene promotion]]&gt;WWWW[[#This Row],['# People received regular supply of hygiene items]],WWWW[[#This Row],['# people reached by regular dedicated hygiene promotion]],WWWW[[#This Row],['# People received regular supply of hygiene items]])</f>
        <v>0</v>
      </c>
      <c r="BN126" s="476">
        <f>IF(WWWW[[#This Row],[HRP3]]/WWWW[[#This Row],[Total PoP ]]&gt;100%,100%,WWWW[[#This Row],[HRP3]]/WWWW[[#This Row],[Total PoP ]])</f>
        <v>0</v>
      </c>
      <c r="BO126" s="479">
        <f>1-WWWW[[#This Row],[Hygiene Coverage%]]</f>
        <v>1</v>
      </c>
      <c r="BP126" s="477">
        <f>WWWW[[#This Row],['# people reached by regular dedicated hygiene promotion]]/WWWW[[#This Row],[Total PoP ]]</f>
        <v>0</v>
      </c>
      <c r="BQ12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6" s="478">
        <f>WWWW[[#This Row],['#_of_affected_women_and_girls_receiving_a_sufficient_quantity_of_sanitary_pads]]</f>
        <v>0</v>
      </c>
      <c r="BS126" s="524">
        <f>IF(WWWW[[#This Row],['# People with access to soap]]&gt;WWWW[[#This Row],['# People with access to Sanity Pads]],WWWW[[#This Row],['# People with access to soap]],WWWW[[#This Row],['# People with access to Sanity Pads]])</f>
        <v>0</v>
      </c>
      <c r="BT126" s="483" t="str">
        <f>IF(OR(WWWW[[#This Row],['#of students in school]]="",WWWW[[#This Row],['#of students in school]]=0),"No","Yes")</f>
        <v>No</v>
      </c>
      <c r="BU126" s="480" t="str">
        <f>VLOOKUP(WWWW[[#This Row],[Village  Name]],SiteDB6[[Site Name]:[Location Type 1]],9,FALSE)</f>
        <v>Village</v>
      </c>
      <c r="BV126" s="480" t="str">
        <f>VLOOKUP(WWWW[[#This Row],[Village  Name]],SiteDB6[[Site Name]:[Type of Accommodation]],10,FALSE)</f>
        <v>Village</v>
      </c>
      <c r="BW126" s="480">
        <f>VLOOKUP(WWWW[[#This Row],[Village  Name]],SiteDB6[[Site Name]:[Ethnic or GCA/NGCA]],11,FALSE)</f>
        <v>0</v>
      </c>
      <c r="BX126" s="480">
        <f>VLOOKUP(WWWW[[#This Row],[Village  Name]],SiteDB6[[Site Name]:[Lat]],12,FALSE)</f>
        <v>20.391029357910199</v>
      </c>
      <c r="BY126" s="480">
        <f>VLOOKUP(WWWW[[#This Row],[Village  Name]],SiteDB6[[Site Name]:[Long]],13,FALSE)</f>
        <v>93.257637023925795</v>
      </c>
      <c r="BZ126" s="480">
        <f>VLOOKUP(WWWW[[#This Row],[Village  Name]],SiteDB6[[Site Name]:[Pcode]],3,FALSE)</f>
        <v>196997</v>
      </c>
      <c r="CA126" s="480" t="str">
        <f t="shared" si="5"/>
        <v>Covered</v>
      </c>
      <c r="CB126" s="505"/>
    </row>
    <row r="127" spans="1:80">
      <c r="A127" s="774" t="s">
        <v>3150</v>
      </c>
      <c r="B127" s="774" t="s">
        <v>314</v>
      </c>
      <c r="C127" s="415" t="s">
        <v>314</v>
      </c>
      <c r="D127" s="415" t="s">
        <v>307</v>
      </c>
      <c r="E127" s="415" t="s">
        <v>2648</v>
      </c>
      <c r="F127" s="415" t="s">
        <v>312</v>
      </c>
      <c r="G127" s="644" t="str">
        <f>VLOOKUP(WWWW[[#This Row],[Village  Name]],SiteDB6[[Site Name]:[Location Type]],8,FALSE)</f>
        <v>Village</v>
      </c>
      <c r="H127" s="415" t="s">
        <v>463</v>
      </c>
      <c r="I127" s="524">
        <v>31</v>
      </c>
      <c r="J127" s="524">
        <v>170</v>
      </c>
      <c r="K127" s="418">
        <v>42736</v>
      </c>
      <c r="L127" s="55">
        <v>44551</v>
      </c>
      <c r="M127" s="524"/>
      <c r="N127" s="524"/>
      <c r="O127" s="524">
        <v>0</v>
      </c>
      <c r="P127" s="524">
        <v>54</v>
      </c>
      <c r="Q127" s="524">
        <v>4</v>
      </c>
      <c r="R127" s="524"/>
      <c r="S127" s="524"/>
      <c r="T127" s="524"/>
      <c r="U127" s="551"/>
      <c r="V127" s="524">
        <v>154</v>
      </c>
      <c r="W127" s="524" t="s">
        <v>130</v>
      </c>
      <c r="X127" s="524"/>
      <c r="Y127" s="524"/>
      <c r="Z127" s="524"/>
      <c r="AA127" s="524"/>
      <c r="AB127" s="524"/>
      <c r="AC127" s="551"/>
      <c r="AD127" s="524"/>
      <c r="AE127" s="524"/>
      <c r="AF127" s="524"/>
      <c r="AG127" s="524"/>
      <c r="AH127" s="524"/>
      <c r="AI127" s="524"/>
      <c r="AJ127" s="524"/>
      <c r="AK127" s="524"/>
      <c r="AL127" s="524"/>
      <c r="AM127" s="524"/>
      <c r="AN127" s="551"/>
      <c r="AO127" s="477"/>
      <c r="AP127" s="477"/>
      <c r="AQ127" s="524"/>
      <c r="AR127" s="524"/>
      <c r="AS127" s="524"/>
      <c r="AT12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27" s="483">
        <f>WWWW[[#This Row],[%Equitable and continuous access to sufficient quantity of safe drinking water]]*WWWW[[#This Row],[Total PoP ]]</f>
        <v>170</v>
      </c>
      <c r="AV12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27" s="483">
        <f>WWWW[[#This Row],[% Access to unimproved water points]]*WWWW[[#This Row],[Total PoP ]]</f>
        <v>170</v>
      </c>
      <c r="AX12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2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170</v>
      </c>
      <c r="AZ127" s="483">
        <f>WWWW[[#This Row],[HRP1]]/250</f>
        <v>0.68</v>
      </c>
      <c r="BA127" s="476">
        <f>1-WWWW[[#This Row],[% Equitable and continuous access to sufficient quantity of domestic water]]</f>
        <v>0</v>
      </c>
      <c r="BB127" s="483">
        <f>WWWW[[#This Row],[%equitable and continuous access to sufficient quantity of safe drinking and domestic water''s GAP]]*WWWW[[#This Row],[Total PoP ]]</f>
        <v>0</v>
      </c>
      <c r="BC127" s="478">
        <f>IF(WWWW[[#This Row],[Total required water points]]-WWWW[[#This Row],['#Water points coverage]]&lt;0,0,WWWW[[#This Row],[Total required water points]]-WWWW[[#This Row],['#Water points coverage]])</f>
        <v>0.31999999999999995</v>
      </c>
      <c r="BD127" s="478">
        <f>ROUND(IF(WWWW[[#This Row],[Total PoP ]]&lt;250,1,WWWW[[#This Row],[Total PoP ]]/250),0)</f>
        <v>1</v>
      </c>
      <c r="BE12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27" s="483">
        <f>WWWW[[#This Row],[% people access to functioning Latrine]]*WWWW[[#This Row],[Total PoP ]]</f>
        <v>170</v>
      </c>
      <c r="BG127" s="478">
        <f>WWWW[[#This Row],['#_of_Functioning_latrines_in_school]]*50</f>
        <v>0</v>
      </c>
      <c r="BH127" s="478">
        <f>ROUND((WWWW[[#This Row],[Total PoP ]]/6),0)</f>
        <v>28</v>
      </c>
      <c r="BI127" s="478">
        <f>IF(WWWW[[#This Row],[Total required Latrines]]-(WWWW[[#This Row],['#_of_sanitary_fly-proof_HH_latrines]])&lt;0,0,WWWW[[#This Row],[Total required Latrines]]-(WWWW[[#This Row],['#_of_sanitary_fly-proof_HH_latrines]]))</f>
        <v>0</v>
      </c>
      <c r="BJ127" s="479">
        <f>1-WWWW[[#This Row],[% people access to functioning Latrine]]</f>
        <v>0</v>
      </c>
      <c r="BK12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27" s="483">
        <f>IF(WWWW[[#This Row],['#_of_functional_handwashing_facilities_at_HH_level]]*6&gt;WWWW[[#This Row],[Total PoP ]],WWWW[[#This Row],[Total PoP ]],WWWW[[#This Row],['#_of_functional_handwashing_facilities_at_HH_level]]*6)</f>
        <v>0</v>
      </c>
      <c r="BM127" s="478">
        <f>IF(WWWW[[#This Row],['# people reached by regular dedicated hygiene promotion]]&gt;WWWW[[#This Row],['# People received regular supply of hygiene items]],WWWW[[#This Row],['# people reached by regular dedicated hygiene promotion]],WWWW[[#This Row],['# People received regular supply of hygiene items]])</f>
        <v>0</v>
      </c>
      <c r="BN127" s="476">
        <f>IF(WWWW[[#This Row],[HRP3]]/WWWW[[#This Row],[Total PoP ]]&gt;100%,100%,WWWW[[#This Row],[HRP3]]/WWWW[[#This Row],[Total PoP ]])</f>
        <v>0</v>
      </c>
      <c r="BO127" s="479">
        <f>1-WWWW[[#This Row],[Hygiene Coverage%]]</f>
        <v>1</v>
      </c>
      <c r="BP127" s="477">
        <f>WWWW[[#This Row],['# people reached by regular dedicated hygiene promotion]]/WWWW[[#This Row],[Total PoP ]]</f>
        <v>0</v>
      </c>
      <c r="BQ12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7" s="478">
        <f>WWWW[[#This Row],['#_of_affected_women_and_girls_receiving_a_sufficient_quantity_of_sanitary_pads]]</f>
        <v>0</v>
      </c>
      <c r="BS127" s="524">
        <f>IF(WWWW[[#This Row],['# People with access to soap]]&gt;WWWW[[#This Row],['# People with access to Sanity Pads]],WWWW[[#This Row],['# People with access to soap]],WWWW[[#This Row],['# People with access to Sanity Pads]])</f>
        <v>0</v>
      </c>
      <c r="BT127" s="483" t="str">
        <f>IF(OR(WWWW[[#This Row],['#of students in school]]="",WWWW[[#This Row],['#of students in school]]=0),"No","Yes")</f>
        <v>No</v>
      </c>
      <c r="BU127" s="480" t="str">
        <f>VLOOKUP(WWWW[[#This Row],[Village  Name]],SiteDB6[[Site Name]:[Location Type 1]],9,FALSE)</f>
        <v>Village</v>
      </c>
      <c r="BV127" s="480" t="str">
        <f>VLOOKUP(WWWW[[#This Row],[Village  Name]],SiteDB6[[Site Name]:[Type of Accommodation]],10,FALSE)</f>
        <v>Village</v>
      </c>
      <c r="BW127" s="480" t="str">
        <f>VLOOKUP(WWWW[[#This Row],[Village  Name]],SiteDB6[[Site Name]:[Ethnic or GCA/NGCA]],11,FALSE)</f>
        <v>Rakhine</v>
      </c>
      <c r="BX127" s="480">
        <f>VLOOKUP(WWWW[[#This Row],[Village  Name]],SiteDB6[[Site Name]:[Lat]],12,FALSE)</f>
        <v>20.396680830000001</v>
      </c>
      <c r="BY127" s="480">
        <f>VLOOKUP(WWWW[[#This Row],[Village  Name]],SiteDB6[[Site Name]:[Long]],13,FALSE)</f>
        <v>93.252868649999996</v>
      </c>
      <c r="BZ127" s="480">
        <f>VLOOKUP(WWWW[[#This Row],[Village  Name]],SiteDB6[[Site Name]:[Pcode]],3,FALSE)</f>
        <v>196998</v>
      </c>
      <c r="CA127" s="480" t="str">
        <f t="shared" si="5"/>
        <v>Covered</v>
      </c>
      <c r="CB127" s="505"/>
    </row>
    <row r="128" spans="1:80">
      <c r="A128" s="774" t="s">
        <v>3150</v>
      </c>
      <c r="B128" s="774" t="s">
        <v>314</v>
      </c>
      <c r="C128" s="415" t="s">
        <v>314</v>
      </c>
      <c r="D128" s="415" t="s">
        <v>327</v>
      </c>
      <c r="E128" s="415" t="s">
        <v>2648</v>
      </c>
      <c r="F128" s="415" t="s">
        <v>312</v>
      </c>
      <c r="G128" s="644" t="str">
        <f>VLOOKUP(WWWW[[#This Row],[Village  Name]],SiteDB6[[Site Name]:[Location Type]],8,FALSE)</f>
        <v>Village</v>
      </c>
      <c r="H128" s="415" t="s">
        <v>2618</v>
      </c>
      <c r="I128" s="524">
        <v>180</v>
      </c>
      <c r="J128" s="524">
        <v>964</v>
      </c>
      <c r="K128" s="418">
        <v>42736</v>
      </c>
      <c r="L128" s="55">
        <v>44551</v>
      </c>
      <c r="M128" s="524"/>
      <c r="N128" s="524"/>
      <c r="O128" s="524">
        <v>3</v>
      </c>
      <c r="P128" s="524">
        <v>76</v>
      </c>
      <c r="Q128" s="524">
        <v>3</v>
      </c>
      <c r="R128" s="524"/>
      <c r="S128" s="524"/>
      <c r="T128" s="524"/>
      <c r="U128" s="551"/>
      <c r="V128" s="524">
        <v>116</v>
      </c>
      <c r="W128" s="524" t="s">
        <v>130</v>
      </c>
      <c r="X128" s="524"/>
      <c r="Y128" s="524"/>
      <c r="Z128" s="524"/>
      <c r="AA128" s="524"/>
      <c r="AB128" s="524"/>
      <c r="AC128" s="551"/>
      <c r="AD128" s="524"/>
      <c r="AE128" s="524"/>
      <c r="AF128" s="524"/>
      <c r="AG128" s="524"/>
      <c r="AH128" s="524"/>
      <c r="AI128" s="524"/>
      <c r="AJ128" s="524"/>
      <c r="AK128" s="524"/>
      <c r="AL128" s="524"/>
      <c r="AM128" s="524"/>
      <c r="AN128" s="551"/>
      <c r="AO128" s="477"/>
      <c r="AP128" s="477"/>
      <c r="AQ128" s="524"/>
      <c r="AR128" s="524"/>
      <c r="AS128" s="524"/>
      <c r="AT12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28" s="483">
        <f>WWWW[[#This Row],[%Equitable and continuous access to sufficient quantity of safe drinking water]]*WWWW[[#This Row],[Total PoP ]]</f>
        <v>964</v>
      </c>
      <c r="AV12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28" s="483">
        <f>WWWW[[#This Row],[% Access to unimproved water points]]*WWWW[[#This Row],[Total PoP ]]</f>
        <v>964</v>
      </c>
      <c r="AX12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2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964</v>
      </c>
      <c r="AZ128" s="483">
        <f>WWWW[[#This Row],[HRP1]]/250</f>
        <v>3.8559999999999999</v>
      </c>
      <c r="BA128" s="476">
        <f>1-WWWW[[#This Row],[% Equitable and continuous access to sufficient quantity of domestic water]]</f>
        <v>0</v>
      </c>
      <c r="BB128" s="483">
        <f>WWWW[[#This Row],[%equitable and continuous access to sufficient quantity of safe drinking and domestic water''s GAP]]*WWWW[[#This Row],[Total PoP ]]</f>
        <v>0</v>
      </c>
      <c r="BC128" s="478">
        <f>IF(WWWW[[#This Row],[Total required water points]]-WWWW[[#This Row],['#Water points coverage]]&lt;0,0,WWWW[[#This Row],[Total required water points]]-WWWW[[#This Row],['#Water points coverage]])</f>
        <v>0.14400000000000013</v>
      </c>
      <c r="BD128" s="478">
        <f>ROUND(IF(WWWW[[#This Row],[Total PoP ]]&lt;250,1,WWWW[[#This Row],[Total PoP ]]/250),0)</f>
        <v>4</v>
      </c>
      <c r="BE12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0.72199170124481327</v>
      </c>
      <c r="BF128" s="483">
        <f>WWWW[[#This Row],[% people access to functioning Latrine]]*WWWW[[#This Row],[Total PoP ]]</f>
        <v>696</v>
      </c>
      <c r="BG128" s="478">
        <f>WWWW[[#This Row],['#_of_Functioning_latrines_in_school]]*50</f>
        <v>0</v>
      </c>
      <c r="BH128" s="478">
        <f>ROUND((WWWW[[#This Row],[Total PoP ]]/6),0)</f>
        <v>161</v>
      </c>
      <c r="BI128" s="478">
        <f>IF(WWWW[[#This Row],[Total required Latrines]]-(WWWW[[#This Row],['#_of_sanitary_fly-proof_HH_latrines]])&lt;0,0,WWWW[[#This Row],[Total required Latrines]]-(WWWW[[#This Row],['#_of_sanitary_fly-proof_HH_latrines]]))</f>
        <v>45</v>
      </c>
      <c r="BJ128" s="479">
        <f>1-WWWW[[#This Row],[% people access to functioning Latrine]]</f>
        <v>0.27800829875518673</v>
      </c>
      <c r="BK12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28" s="483">
        <f>IF(WWWW[[#This Row],['#_of_functional_handwashing_facilities_at_HH_level]]*6&gt;WWWW[[#This Row],[Total PoP ]],WWWW[[#This Row],[Total PoP ]],WWWW[[#This Row],['#_of_functional_handwashing_facilities_at_HH_level]]*6)</f>
        <v>0</v>
      </c>
      <c r="BM128" s="478">
        <f>IF(WWWW[[#This Row],['# people reached by regular dedicated hygiene promotion]]&gt;WWWW[[#This Row],['# People received regular supply of hygiene items]],WWWW[[#This Row],['# people reached by regular dedicated hygiene promotion]],WWWW[[#This Row],['# People received regular supply of hygiene items]])</f>
        <v>0</v>
      </c>
      <c r="BN128" s="476">
        <f>IF(WWWW[[#This Row],[HRP3]]/WWWW[[#This Row],[Total PoP ]]&gt;100%,100%,WWWW[[#This Row],[HRP3]]/WWWW[[#This Row],[Total PoP ]])</f>
        <v>0</v>
      </c>
      <c r="BO128" s="479">
        <f>1-WWWW[[#This Row],[Hygiene Coverage%]]</f>
        <v>1</v>
      </c>
      <c r="BP128" s="477">
        <f>WWWW[[#This Row],['# people reached by regular dedicated hygiene promotion]]/WWWW[[#This Row],[Total PoP ]]</f>
        <v>0</v>
      </c>
      <c r="BQ12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8" s="478">
        <f>WWWW[[#This Row],['#_of_affected_women_and_girls_receiving_a_sufficient_quantity_of_sanitary_pads]]</f>
        <v>0</v>
      </c>
      <c r="BS128" s="524">
        <f>IF(WWWW[[#This Row],['# People with access to soap]]&gt;WWWW[[#This Row],['# People with access to Sanity Pads]],WWWW[[#This Row],['# People with access to soap]],WWWW[[#This Row],['# People with access to Sanity Pads]])</f>
        <v>0</v>
      </c>
      <c r="BT128" s="483" t="str">
        <f>IF(OR(WWWW[[#This Row],['#of students in school]]="",WWWW[[#This Row],['#of students in school]]=0),"No","Yes")</f>
        <v>No</v>
      </c>
      <c r="BU128" s="480" t="str">
        <f>VLOOKUP(WWWW[[#This Row],[Village  Name]],SiteDB6[[Site Name]:[Location Type 1]],9,FALSE)</f>
        <v>Village</v>
      </c>
      <c r="BV128" s="480" t="str">
        <f>VLOOKUP(WWWW[[#This Row],[Village  Name]],SiteDB6[[Site Name]:[Type of Accommodation]],10,FALSE)</f>
        <v>Village</v>
      </c>
      <c r="BW128" s="480">
        <f>VLOOKUP(WWWW[[#This Row],[Village  Name]],SiteDB6[[Site Name]:[Ethnic or GCA/NGCA]],11,FALSE)</f>
        <v>0</v>
      </c>
      <c r="BX128" s="480">
        <f>VLOOKUP(WWWW[[#This Row],[Village  Name]],SiteDB6[[Site Name]:[Lat]],12,FALSE)</f>
        <v>20.410079956054702</v>
      </c>
      <c r="BY128" s="480">
        <f>VLOOKUP(WWWW[[#This Row],[Village  Name]],SiteDB6[[Site Name]:[Long]],13,FALSE)</f>
        <v>93.37109375</v>
      </c>
      <c r="BZ128" s="480">
        <f>VLOOKUP(WWWW[[#This Row],[Village  Name]],SiteDB6[[Site Name]:[Pcode]],3,FALSE)</f>
        <v>197114</v>
      </c>
      <c r="CA128" s="480" t="str">
        <f t="shared" si="5"/>
        <v>Covered</v>
      </c>
      <c r="CB128" s="505"/>
    </row>
    <row r="129" spans="1:96">
      <c r="A129" s="774" t="s">
        <v>3150</v>
      </c>
      <c r="B129" s="774" t="s">
        <v>314</v>
      </c>
      <c r="C129" s="415" t="s">
        <v>314</v>
      </c>
      <c r="D129" s="415" t="s">
        <v>327</v>
      </c>
      <c r="E129" s="415" t="s">
        <v>2648</v>
      </c>
      <c r="F129" s="415" t="s">
        <v>312</v>
      </c>
      <c r="G129" s="644" t="str">
        <f>VLOOKUP(WWWW[[#This Row],[Village  Name]],SiteDB6[[Site Name]:[Location Type]],8,FALSE)</f>
        <v>Village</v>
      </c>
      <c r="H129" s="415" t="s">
        <v>2619</v>
      </c>
      <c r="I129" s="524">
        <v>130</v>
      </c>
      <c r="J129" s="524">
        <v>398</v>
      </c>
      <c r="K129" s="418">
        <v>42736</v>
      </c>
      <c r="L129" s="55">
        <v>44551</v>
      </c>
      <c r="M129" s="524"/>
      <c r="N129" s="524"/>
      <c r="O129" s="524">
        <v>43</v>
      </c>
      <c r="P129" s="524">
        <v>48</v>
      </c>
      <c r="Q129" s="524">
        <v>2</v>
      </c>
      <c r="R129" s="524"/>
      <c r="S129" s="524"/>
      <c r="T129" s="524"/>
      <c r="U129" s="551"/>
      <c r="V129" s="524">
        <v>78</v>
      </c>
      <c r="W129" s="524" t="s">
        <v>130</v>
      </c>
      <c r="X129" s="524"/>
      <c r="Y129" s="524"/>
      <c r="Z129" s="524"/>
      <c r="AA129" s="524"/>
      <c r="AB129" s="524"/>
      <c r="AC129" s="551"/>
      <c r="AD129" s="524"/>
      <c r="AE129" s="524"/>
      <c r="AF129" s="524"/>
      <c r="AG129" s="524"/>
      <c r="AH129" s="524"/>
      <c r="AI129" s="524"/>
      <c r="AJ129" s="524"/>
      <c r="AK129" s="524"/>
      <c r="AL129" s="524"/>
      <c r="AM129" s="524"/>
      <c r="AN129" s="551"/>
      <c r="AO129" s="477"/>
      <c r="AP129" s="477"/>
      <c r="AQ129" s="524"/>
      <c r="AR129" s="524"/>
      <c r="AS129" s="524"/>
      <c r="AT12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29" s="483">
        <f>WWWW[[#This Row],[%Equitable and continuous access to sufficient quantity of safe drinking water]]*WWWW[[#This Row],[Total PoP ]]</f>
        <v>398</v>
      </c>
      <c r="AV12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29" s="483">
        <f>WWWW[[#This Row],[% Access to unimproved water points]]*WWWW[[#This Row],[Total PoP ]]</f>
        <v>398</v>
      </c>
      <c r="AX12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2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398</v>
      </c>
      <c r="AZ129" s="483">
        <f>WWWW[[#This Row],[HRP1]]/250</f>
        <v>1.5920000000000001</v>
      </c>
      <c r="BA129" s="476">
        <f>1-WWWW[[#This Row],[% Equitable and continuous access to sufficient quantity of domestic water]]</f>
        <v>0</v>
      </c>
      <c r="BB129" s="483">
        <f>WWWW[[#This Row],[%equitable and continuous access to sufficient quantity of safe drinking and domestic water''s GAP]]*WWWW[[#This Row],[Total PoP ]]</f>
        <v>0</v>
      </c>
      <c r="BC129" s="478">
        <f>IF(WWWW[[#This Row],[Total required water points]]-WWWW[[#This Row],['#Water points coverage]]&lt;0,0,WWWW[[#This Row],[Total required water points]]-WWWW[[#This Row],['#Water points coverage]])</f>
        <v>0.40799999999999992</v>
      </c>
      <c r="BD129" s="478">
        <f>ROUND(IF(WWWW[[#This Row],[Total PoP ]]&lt;250,1,WWWW[[#This Row],[Total PoP ]]/250),0)</f>
        <v>2</v>
      </c>
      <c r="BE12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29" s="483">
        <f>WWWW[[#This Row],[% people access to functioning Latrine]]*WWWW[[#This Row],[Total PoP ]]</f>
        <v>398</v>
      </c>
      <c r="BG129" s="478">
        <f>WWWW[[#This Row],['#_of_Functioning_latrines_in_school]]*50</f>
        <v>0</v>
      </c>
      <c r="BH129" s="478">
        <f>ROUND((WWWW[[#This Row],[Total PoP ]]/6),0)</f>
        <v>66</v>
      </c>
      <c r="BI129" s="478">
        <f>IF(WWWW[[#This Row],[Total required Latrines]]-(WWWW[[#This Row],['#_of_sanitary_fly-proof_HH_latrines]])&lt;0,0,WWWW[[#This Row],[Total required Latrines]]-(WWWW[[#This Row],['#_of_sanitary_fly-proof_HH_latrines]]))</f>
        <v>0</v>
      </c>
      <c r="BJ129" s="479">
        <f>1-WWWW[[#This Row],[% people access to functioning Latrine]]</f>
        <v>0</v>
      </c>
      <c r="BK12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29" s="483">
        <f>IF(WWWW[[#This Row],['#_of_functional_handwashing_facilities_at_HH_level]]*6&gt;WWWW[[#This Row],[Total PoP ]],WWWW[[#This Row],[Total PoP ]],WWWW[[#This Row],['#_of_functional_handwashing_facilities_at_HH_level]]*6)</f>
        <v>0</v>
      </c>
      <c r="BM129" s="478">
        <f>IF(WWWW[[#This Row],['# people reached by regular dedicated hygiene promotion]]&gt;WWWW[[#This Row],['# People received regular supply of hygiene items]],WWWW[[#This Row],['# people reached by regular dedicated hygiene promotion]],WWWW[[#This Row],['# People received regular supply of hygiene items]])</f>
        <v>0</v>
      </c>
      <c r="BN129" s="476">
        <f>IF(WWWW[[#This Row],[HRP3]]/WWWW[[#This Row],[Total PoP ]]&gt;100%,100%,WWWW[[#This Row],[HRP3]]/WWWW[[#This Row],[Total PoP ]])</f>
        <v>0</v>
      </c>
      <c r="BO129" s="479">
        <f>1-WWWW[[#This Row],[Hygiene Coverage%]]</f>
        <v>1</v>
      </c>
      <c r="BP129" s="477">
        <f>WWWW[[#This Row],['# people reached by regular dedicated hygiene promotion]]/WWWW[[#This Row],[Total PoP ]]</f>
        <v>0</v>
      </c>
      <c r="BQ12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29" s="478">
        <f>WWWW[[#This Row],['#_of_affected_women_and_girls_receiving_a_sufficient_quantity_of_sanitary_pads]]</f>
        <v>0</v>
      </c>
      <c r="BS129" s="524">
        <f>IF(WWWW[[#This Row],['# People with access to soap]]&gt;WWWW[[#This Row],['# People with access to Sanity Pads]],WWWW[[#This Row],['# People with access to soap]],WWWW[[#This Row],['# People with access to Sanity Pads]])</f>
        <v>0</v>
      </c>
      <c r="BT129" s="483" t="str">
        <f>IF(OR(WWWW[[#This Row],['#of students in school]]="",WWWW[[#This Row],['#of students in school]]=0),"No","Yes")</f>
        <v>No</v>
      </c>
      <c r="BU129" s="480" t="str">
        <f>VLOOKUP(WWWW[[#This Row],[Village  Name]],SiteDB6[[Site Name]:[Location Type 1]],9,FALSE)</f>
        <v>Village</v>
      </c>
      <c r="BV129" s="480" t="str">
        <f>VLOOKUP(WWWW[[#This Row],[Village  Name]],SiteDB6[[Site Name]:[Type of Accommodation]],10,FALSE)</f>
        <v>Village</v>
      </c>
      <c r="BW129" s="480">
        <f>VLOOKUP(WWWW[[#This Row],[Village  Name]],SiteDB6[[Site Name]:[Ethnic or GCA/NGCA]],11,FALSE)</f>
        <v>0</v>
      </c>
      <c r="BX129" s="480">
        <f>VLOOKUP(WWWW[[#This Row],[Village  Name]],SiteDB6[[Site Name]:[Lat]],12,FALSE)</f>
        <v>20.382389068603501</v>
      </c>
      <c r="BY129" s="480">
        <f>VLOOKUP(WWWW[[#This Row],[Village  Name]],SiteDB6[[Site Name]:[Long]],13,FALSE)</f>
        <v>93.373863220214801</v>
      </c>
      <c r="BZ129" s="480">
        <f>VLOOKUP(WWWW[[#This Row],[Village  Name]],SiteDB6[[Site Name]:[Pcode]],3,FALSE)</f>
        <v>197111</v>
      </c>
      <c r="CA129" s="480" t="str">
        <f t="shared" si="5"/>
        <v>Covered</v>
      </c>
      <c r="CB129" s="505"/>
    </row>
    <row r="130" spans="1:96">
      <c r="A130" s="774" t="s">
        <v>3150</v>
      </c>
      <c r="B130" s="774" t="s">
        <v>314</v>
      </c>
      <c r="C130" s="415" t="s">
        <v>314</v>
      </c>
      <c r="D130" s="415" t="s">
        <v>327</v>
      </c>
      <c r="E130" s="415" t="s">
        <v>2648</v>
      </c>
      <c r="F130" s="415" t="s">
        <v>312</v>
      </c>
      <c r="G130" s="644" t="str">
        <f>VLOOKUP(WWWW[[#This Row],[Village  Name]],SiteDB6[[Site Name]:[Location Type]],8,FALSE)</f>
        <v>Village</v>
      </c>
      <c r="H130" s="415" t="s">
        <v>2620</v>
      </c>
      <c r="I130" s="524">
        <v>191</v>
      </c>
      <c r="J130" s="524">
        <v>713</v>
      </c>
      <c r="K130" s="418">
        <v>42736</v>
      </c>
      <c r="L130" s="55">
        <v>44551</v>
      </c>
      <c r="M130" s="524"/>
      <c r="N130" s="524"/>
      <c r="O130" s="524">
        <v>11</v>
      </c>
      <c r="P130" s="524">
        <v>93</v>
      </c>
      <c r="Q130" s="524">
        <v>2</v>
      </c>
      <c r="R130" s="524"/>
      <c r="S130" s="524"/>
      <c r="T130" s="524"/>
      <c r="U130" s="551"/>
      <c r="V130" s="524">
        <v>89</v>
      </c>
      <c r="W130" s="524" t="s">
        <v>130</v>
      </c>
      <c r="X130" s="524"/>
      <c r="Y130" s="524"/>
      <c r="Z130" s="524"/>
      <c r="AA130" s="524"/>
      <c r="AB130" s="524"/>
      <c r="AC130" s="551"/>
      <c r="AD130" s="524"/>
      <c r="AE130" s="524"/>
      <c r="AF130" s="524"/>
      <c r="AG130" s="524"/>
      <c r="AH130" s="524"/>
      <c r="AI130" s="524"/>
      <c r="AJ130" s="524"/>
      <c r="AK130" s="524"/>
      <c r="AL130" s="524"/>
      <c r="AM130" s="524"/>
      <c r="AN130" s="551"/>
      <c r="AO130" s="477"/>
      <c r="AP130" s="477"/>
      <c r="AQ130" s="524"/>
      <c r="AR130" s="524"/>
      <c r="AS130" s="524"/>
      <c r="AT13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30" s="483">
        <f>WWWW[[#This Row],[%Equitable and continuous access to sufficient quantity of safe drinking water]]*WWWW[[#This Row],[Total PoP ]]</f>
        <v>713</v>
      </c>
      <c r="AV13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30" s="483">
        <f>WWWW[[#This Row],[% Access to unimproved water points]]*WWWW[[#This Row],[Total PoP ]]</f>
        <v>713</v>
      </c>
      <c r="AX13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3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713</v>
      </c>
      <c r="AZ130" s="483">
        <f>WWWW[[#This Row],[HRP1]]/250</f>
        <v>2.8519999999999999</v>
      </c>
      <c r="BA130" s="476">
        <f>1-WWWW[[#This Row],[% Equitable and continuous access to sufficient quantity of domestic water]]</f>
        <v>0</v>
      </c>
      <c r="BB130" s="483">
        <f>WWWW[[#This Row],[%equitable and continuous access to sufficient quantity of safe drinking and domestic water''s GAP]]*WWWW[[#This Row],[Total PoP ]]</f>
        <v>0</v>
      </c>
      <c r="BC130" s="478">
        <f>IF(WWWW[[#This Row],[Total required water points]]-WWWW[[#This Row],['#Water points coverage]]&lt;0,0,WWWW[[#This Row],[Total required water points]]-WWWW[[#This Row],['#Water points coverage]])</f>
        <v>0.14800000000000013</v>
      </c>
      <c r="BD130" s="478">
        <f>ROUND(IF(WWWW[[#This Row],[Total PoP ]]&lt;250,1,WWWW[[#This Row],[Total PoP ]]/250),0)</f>
        <v>3</v>
      </c>
      <c r="BE13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0.74894810659186539</v>
      </c>
      <c r="BF130" s="483">
        <f>WWWW[[#This Row],[% people access to functioning Latrine]]*WWWW[[#This Row],[Total PoP ]]</f>
        <v>534</v>
      </c>
      <c r="BG130" s="478">
        <f>WWWW[[#This Row],['#_of_Functioning_latrines_in_school]]*50</f>
        <v>0</v>
      </c>
      <c r="BH130" s="478">
        <f>ROUND((WWWW[[#This Row],[Total PoP ]]/6),0)</f>
        <v>119</v>
      </c>
      <c r="BI130" s="478">
        <f>IF(WWWW[[#This Row],[Total required Latrines]]-(WWWW[[#This Row],['#_of_sanitary_fly-proof_HH_latrines]])&lt;0,0,WWWW[[#This Row],[Total required Latrines]]-(WWWW[[#This Row],['#_of_sanitary_fly-proof_HH_latrines]]))</f>
        <v>30</v>
      </c>
      <c r="BJ130" s="479">
        <f>1-WWWW[[#This Row],[% people access to functioning Latrine]]</f>
        <v>0.25105189340813461</v>
      </c>
      <c r="BK13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30" s="483">
        <f>IF(WWWW[[#This Row],['#_of_functional_handwashing_facilities_at_HH_level]]*6&gt;WWWW[[#This Row],[Total PoP ]],WWWW[[#This Row],[Total PoP ]],WWWW[[#This Row],['#_of_functional_handwashing_facilities_at_HH_level]]*6)</f>
        <v>0</v>
      </c>
      <c r="BM130" s="478">
        <f>IF(WWWW[[#This Row],['# people reached by regular dedicated hygiene promotion]]&gt;WWWW[[#This Row],['# People received regular supply of hygiene items]],WWWW[[#This Row],['# people reached by regular dedicated hygiene promotion]],WWWW[[#This Row],['# People received regular supply of hygiene items]])</f>
        <v>0</v>
      </c>
      <c r="BN130" s="476">
        <f>IF(WWWW[[#This Row],[HRP3]]/WWWW[[#This Row],[Total PoP ]]&gt;100%,100%,WWWW[[#This Row],[HRP3]]/WWWW[[#This Row],[Total PoP ]])</f>
        <v>0</v>
      </c>
      <c r="BO130" s="479">
        <f>1-WWWW[[#This Row],[Hygiene Coverage%]]</f>
        <v>1</v>
      </c>
      <c r="BP130" s="477">
        <f>WWWW[[#This Row],['# people reached by regular dedicated hygiene promotion]]/WWWW[[#This Row],[Total PoP ]]</f>
        <v>0</v>
      </c>
      <c r="BQ13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30" s="478">
        <f>WWWW[[#This Row],['#_of_affected_women_and_girls_receiving_a_sufficient_quantity_of_sanitary_pads]]</f>
        <v>0</v>
      </c>
      <c r="BS130" s="524">
        <f>IF(WWWW[[#This Row],['# People with access to soap]]&gt;WWWW[[#This Row],['# People with access to Sanity Pads]],WWWW[[#This Row],['# People with access to soap]],WWWW[[#This Row],['# People with access to Sanity Pads]])</f>
        <v>0</v>
      </c>
      <c r="BT130" s="483" t="str">
        <f>IF(OR(WWWW[[#This Row],['#of students in school]]="",WWWW[[#This Row],['#of students in school]]=0),"No","Yes")</f>
        <v>No</v>
      </c>
      <c r="BU130" s="480" t="str">
        <f>VLOOKUP(WWWW[[#This Row],[Village  Name]],SiteDB6[[Site Name]:[Location Type 1]],9,FALSE)</f>
        <v>Village</v>
      </c>
      <c r="BV130" s="480" t="str">
        <f>VLOOKUP(WWWW[[#This Row],[Village  Name]],SiteDB6[[Site Name]:[Type of Accommodation]],10,FALSE)</f>
        <v>Village</v>
      </c>
      <c r="BW130" s="480">
        <f>VLOOKUP(WWWW[[#This Row],[Village  Name]],SiteDB6[[Site Name]:[Ethnic or GCA/NGCA]],11,FALSE)</f>
        <v>0</v>
      </c>
      <c r="BX130" s="480">
        <f>VLOOKUP(WWWW[[#This Row],[Village  Name]],SiteDB6[[Site Name]:[Lat]],12,FALSE)</f>
        <v>20.389610290527301</v>
      </c>
      <c r="BY130" s="480">
        <f>VLOOKUP(WWWW[[#This Row],[Village  Name]],SiteDB6[[Site Name]:[Long]],13,FALSE)</f>
        <v>93.371490478515597</v>
      </c>
      <c r="BZ130" s="480">
        <f>VLOOKUP(WWWW[[#This Row],[Village  Name]],SiteDB6[[Site Name]:[Pcode]],3,FALSE)</f>
        <v>197112</v>
      </c>
      <c r="CA130" s="480" t="str">
        <f t="shared" si="5"/>
        <v>Covered</v>
      </c>
      <c r="CB130" s="505"/>
    </row>
    <row r="131" spans="1:96">
      <c r="A131" s="774" t="s">
        <v>3150</v>
      </c>
      <c r="B131" s="774" t="s">
        <v>314</v>
      </c>
      <c r="C131" s="415" t="s">
        <v>314</v>
      </c>
      <c r="D131" s="415" t="s">
        <v>327</v>
      </c>
      <c r="E131" s="415" t="s">
        <v>2648</v>
      </c>
      <c r="F131" s="415" t="s">
        <v>312</v>
      </c>
      <c r="G131" s="644" t="str">
        <f>VLOOKUP(WWWW[[#This Row],[Village  Name]],SiteDB6[[Site Name]:[Location Type]],8,FALSE)</f>
        <v>Village</v>
      </c>
      <c r="H131" s="415" t="s">
        <v>2621</v>
      </c>
      <c r="I131" s="524">
        <v>27</v>
      </c>
      <c r="J131" s="524">
        <v>53</v>
      </c>
      <c r="K131" s="418">
        <v>42736</v>
      </c>
      <c r="L131" s="55">
        <v>44551</v>
      </c>
      <c r="M131" s="524"/>
      <c r="N131" s="524"/>
      <c r="O131" s="524">
        <v>2</v>
      </c>
      <c r="P131" s="524">
        <v>23</v>
      </c>
      <c r="Q131" s="524">
        <v>1</v>
      </c>
      <c r="R131" s="524"/>
      <c r="S131" s="524"/>
      <c r="T131" s="524"/>
      <c r="U131" s="551"/>
      <c r="V131" s="524">
        <v>22</v>
      </c>
      <c r="W131" s="524" t="s">
        <v>130</v>
      </c>
      <c r="X131" s="524"/>
      <c r="Y131" s="524"/>
      <c r="Z131" s="524"/>
      <c r="AA131" s="524"/>
      <c r="AB131" s="524"/>
      <c r="AC131" s="551"/>
      <c r="AD131" s="524"/>
      <c r="AE131" s="524"/>
      <c r="AF131" s="524"/>
      <c r="AG131" s="524"/>
      <c r="AH131" s="524"/>
      <c r="AI131" s="524"/>
      <c r="AJ131" s="524"/>
      <c r="AK131" s="524"/>
      <c r="AL131" s="524"/>
      <c r="AM131" s="524"/>
      <c r="AN131" s="551"/>
      <c r="AO131" s="477"/>
      <c r="AP131" s="477"/>
      <c r="AQ131" s="524"/>
      <c r="AR131" s="524"/>
      <c r="AS131" s="524"/>
      <c r="AT13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31" s="483">
        <f>WWWW[[#This Row],[%Equitable and continuous access to sufficient quantity of safe drinking water]]*WWWW[[#This Row],[Total PoP ]]</f>
        <v>53</v>
      </c>
      <c r="AV13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31" s="483">
        <f>WWWW[[#This Row],[% Access to unimproved water points]]*WWWW[[#This Row],[Total PoP ]]</f>
        <v>53</v>
      </c>
      <c r="AX13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3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53</v>
      </c>
      <c r="AZ131" s="483">
        <f>WWWW[[#This Row],[HRP1]]/250</f>
        <v>0.21199999999999999</v>
      </c>
      <c r="BA131" s="476">
        <f>1-WWWW[[#This Row],[% Equitable and continuous access to sufficient quantity of domestic water]]</f>
        <v>0</v>
      </c>
      <c r="BB131" s="483">
        <f>WWWW[[#This Row],[%equitable and continuous access to sufficient quantity of safe drinking and domestic water''s GAP]]*WWWW[[#This Row],[Total PoP ]]</f>
        <v>0</v>
      </c>
      <c r="BC131" s="478">
        <f>IF(WWWW[[#This Row],[Total required water points]]-WWWW[[#This Row],['#Water points coverage]]&lt;0,0,WWWW[[#This Row],[Total required water points]]-WWWW[[#This Row],['#Water points coverage]])</f>
        <v>0.78800000000000003</v>
      </c>
      <c r="BD131" s="478">
        <f>ROUND(IF(WWWW[[#This Row],[Total PoP ]]&lt;250,1,WWWW[[#This Row],[Total PoP ]]/250),0)</f>
        <v>1</v>
      </c>
      <c r="BE13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31" s="483">
        <f>WWWW[[#This Row],[% people access to functioning Latrine]]*WWWW[[#This Row],[Total PoP ]]</f>
        <v>53</v>
      </c>
      <c r="BG131" s="478">
        <f>WWWW[[#This Row],['#_of_Functioning_latrines_in_school]]*50</f>
        <v>0</v>
      </c>
      <c r="BH131" s="478">
        <f>ROUND((WWWW[[#This Row],[Total PoP ]]/6),0)</f>
        <v>9</v>
      </c>
      <c r="BI131" s="478">
        <f>IF(WWWW[[#This Row],[Total required Latrines]]-(WWWW[[#This Row],['#_of_sanitary_fly-proof_HH_latrines]])&lt;0,0,WWWW[[#This Row],[Total required Latrines]]-(WWWW[[#This Row],['#_of_sanitary_fly-proof_HH_latrines]]))</f>
        <v>0</v>
      </c>
      <c r="BJ131" s="479">
        <f>1-WWWW[[#This Row],[% people access to functioning Latrine]]</f>
        <v>0</v>
      </c>
      <c r="BK13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31" s="483">
        <f>IF(WWWW[[#This Row],['#_of_functional_handwashing_facilities_at_HH_level]]*6&gt;WWWW[[#This Row],[Total PoP ]],WWWW[[#This Row],[Total PoP ]],WWWW[[#This Row],['#_of_functional_handwashing_facilities_at_HH_level]]*6)</f>
        <v>0</v>
      </c>
      <c r="BM131" s="478">
        <f>IF(WWWW[[#This Row],['# people reached by regular dedicated hygiene promotion]]&gt;WWWW[[#This Row],['# People received regular supply of hygiene items]],WWWW[[#This Row],['# people reached by regular dedicated hygiene promotion]],WWWW[[#This Row],['# People received regular supply of hygiene items]])</f>
        <v>0</v>
      </c>
      <c r="BN131" s="476">
        <f>IF(WWWW[[#This Row],[HRP3]]/WWWW[[#This Row],[Total PoP ]]&gt;100%,100%,WWWW[[#This Row],[HRP3]]/WWWW[[#This Row],[Total PoP ]])</f>
        <v>0</v>
      </c>
      <c r="BO131" s="479">
        <f>1-WWWW[[#This Row],[Hygiene Coverage%]]</f>
        <v>1</v>
      </c>
      <c r="BP131" s="477">
        <f>WWWW[[#This Row],['# people reached by regular dedicated hygiene promotion]]/WWWW[[#This Row],[Total PoP ]]</f>
        <v>0</v>
      </c>
      <c r="BQ13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31" s="478">
        <f>WWWW[[#This Row],['#_of_affected_women_and_girls_receiving_a_sufficient_quantity_of_sanitary_pads]]</f>
        <v>0</v>
      </c>
      <c r="BS131" s="524">
        <f>IF(WWWW[[#This Row],['# People with access to soap]]&gt;WWWW[[#This Row],['# People with access to Sanity Pads]],WWWW[[#This Row],['# People with access to soap]],WWWW[[#This Row],['# People with access to Sanity Pads]])</f>
        <v>0</v>
      </c>
      <c r="BT131" s="483" t="str">
        <f>IF(OR(WWWW[[#This Row],['#of students in school]]="",WWWW[[#This Row],['#of students in school]]=0),"No","Yes")</f>
        <v>No</v>
      </c>
      <c r="BU131" s="480" t="str">
        <f>VLOOKUP(WWWW[[#This Row],[Village  Name]],SiteDB6[[Site Name]:[Location Type 1]],9,FALSE)</f>
        <v>Village</v>
      </c>
      <c r="BV131" s="480" t="str">
        <f>VLOOKUP(WWWW[[#This Row],[Village  Name]],SiteDB6[[Site Name]:[Type of Accommodation]],10,FALSE)</f>
        <v>Village</v>
      </c>
      <c r="BW131" s="480">
        <f>VLOOKUP(WWWW[[#This Row],[Village  Name]],SiteDB6[[Site Name]:[Ethnic or GCA/NGCA]],11,FALSE)</f>
        <v>0</v>
      </c>
      <c r="BX131" s="480">
        <f>VLOOKUP(WWWW[[#This Row],[Village  Name]],SiteDB6[[Site Name]:[Lat]],12,FALSE)</f>
        <v>20.384975433349599</v>
      </c>
      <c r="BY131" s="480">
        <f>VLOOKUP(WWWW[[#This Row],[Village  Name]],SiteDB6[[Site Name]:[Long]],13,FALSE)</f>
        <v>93.373054504394503</v>
      </c>
      <c r="BZ131" s="480">
        <f>VLOOKUP(WWWW[[#This Row],[Village  Name]],SiteDB6[[Site Name]:[Pcode]],3,FALSE)</f>
        <v>220653</v>
      </c>
      <c r="CA131" s="480" t="str">
        <f t="shared" si="5"/>
        <v>Covered</v>
      </c>
      <c r="CB131" s="505"/>
    </row>
    <row r="132" spans="1:96">
      <c r="A132" s="774" t="s">
        <v>3150</v>
      </c>
      <c r="B132" s="774" t="s">
        <v>314</v>
      </c>
      <c r="C132" s="415" t="s">
        <v>314</v>
      </c>
      <c r="D132" s="415" t="s">
        <v>327</v>
      </c>
      <c r="E132" s="415" t="s">
        <v>2648</v>
      </c>
      <c r="F132" s="415" t="s">
        <v>312</v>
      </c>
      <c r="G132" s="644" t="str">
        <f>VLOOKUP(WWWW[[#This Row],[Village  Name]],SiteDB6[[Site Name]:[Location Type]],8,FALSE)</f>
        <v>Village</v>
      </c>
      <c r="H132" s="415" t="s">
        <v>658</v>
      </c>
      <c r="I132" s="524">
        <v>63</v>
      </c>
      <c r="J132" s="524">
        <v>249</v>
      </c>
      <c r="K132" s="418">
        <v>42736</v>
      </c>
      <c r="L132" s="55">
        <v>44551</v>
      </c>
      <c r="M132" s="524"/>
      <c r="N132" s="524"/>
      <c r="O132" s="524">
        <v>0</v>
      </c>
      <c r="P132" s="524">
        <v>88</v>
      </c>
      <c r="Q132" s="524">
        <v>2</v>
      </c>
      <c r="R132" s="524"/>
      <c r="S132" s="524"/>
      <c r="T132" s="524"/>
      <c r="U132" s="551"/>
      <c r="V132" s="524">
        <v>108</v>
      </c>
      <c r="W132" s="524" t="s">
        <v>130</v>
      </c>
      <c r="X132" s="524"/>
      <c r="Y132" s="524"/>
      <c r="Z132" s="524"/>
      <c r="AA132" s="524"/>
      <c r="AB132" s="524"/>
      <c r="AC132" s="551"/>
      <c r="AD132" s="524"/>
      <c r="AE132" s="524"/>
      <c r="AF132" s="524"/>
      <c r="AG132" s="524"/>
      <c r="AH132" s="524"/>
      <c r="AI132" s="524"/>
      <c r="AJ132" s="524"/>
      <c r="AK132" s="524"/>
      <c r="AL132" s="524"/>
      <c r="AM132" s="524"/>
      <c r="AN132" s="551"/>
      <c r="AO132" s="477"/>
      <c r="AP132" s="477"/>
      <c r="AQ132" s="524"/>
      <c r="AR132" s="524"/>
      <c r="AS132" s="524"/>
      <c r="AT13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32" s="483">
        <f>WWWW[[#This Row],[%Equitable and continuous access to sufficient quantity of safe drinking water]]*WWWW[[#This Row],[Total PoP ]]</f>
        <v>249</v>
      </c>
      <c r="AV13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32" s="483">
        <f>WWWW[[#This Row],[% Access to unimproved water points]]*WWWW[[#This Row],[Total PoP ]]</f>
        <v>249</v>
      </c>
      <c r="AX13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3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249</v>
      </c>
      <c r="AZ132" s="483">
        <f>WWWW[[#This Row],[HRP1]]/250</f>
        <v>0.996</v>
      </c>
      <c r="BA132" s="476">
        <f>1-WWWW[[#This Row],[% Equitable and continuous access to sufficient quantity of domestic water]]</f>
        <v>0</v>
      </c>
      <c r="BB132" s="483">
        <f>WWWW[[#This Row],[%equitable and continuous access to sufficient quantity of safe drinking and domestic water''s GAP]]*WWWW[[#This Row],[Total PoP ]]</f>
        <v>0</v>
      </c>
      <c r="BC132" s="478">
        <f>IF(WWWW[[#This Row],[Total required water points]]-WWWW[[#This Row],['#Water points coverage]]&lt;0,0,WWWW[[#This Row],[Total required water points]]-WWWW[[#This Row],['#Water points coverage]])</f>
        <v>4.0000000000000036E-3</v>
      </c>
      <c r="BD132" s="478">
        <f>ROUND(IF(WWWW[[#This Row],[Total PoP ]]&lt;250,1,WWWW[[#This Row],[Total PoP ]]/250),0)</f>
        <v>1</v>
      </c>
      <c r="BE13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32" s="483">
        <f>WWWW[[#This Row],[% people access to functioning Latrine]]*WWWW[[#This Row],[Total PoP ]]</f>
        <v>249</v>
      </c>
      <c r="BG132" s="478">
        <f>WWWW[[#This Row],['#_of_Functioning_latrines_in_school]]*50</f>
        <v>0</v>
      </c>
      <c r="BH132" s="478">
        <f>ROUND((WWWW[[#This Row],[Total PoP ]]/6),0)</f>
        <v>42</v>
      </c>
      <c r="BI132" s="478">
        <f>IF(WWWW[[#This Row],[Total required Latrines]]-(WWWW[[#This Row],['#_of_sanitary_fly-proof_HH_latrines]])&lt;0,0,WWWW[[#This Row],[Total required Latrines]]-(WWWW[[#This Row],['#_of_sanitary_fly-proof_HH_latrines]]))</f>
        <v>0</v>
      </c>
      <c r="BJ132" s="479">
        <f>1-WWWW[[#This Row],[% people access to functioning Latrine]]</f>
        <v>0</v>
      </c>
      <c r="BK13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32" s="483">
        <f>IF(WWWW[[#This Row],['#_of_functional_handwashing_facilities_at_HH_level]]*6&gt;WWWW[[#This Row],[Total PoP ]],WWWW[[#This Row],[Total PoP ]],WWWW[[#This Row],['#_of_functional_handwashing_facilities_at_HH_level]]*6)</f>
        <v>0</v>
      </c>
      <c r="BM132" s="478">
        <f>IF(WWWW[[#This Row],['# people reached by regular dedicated hygiene promotion]]&gt;WWWW[[#This Row],['# People received regular supply of hygiene items]],WWWW[[#This Row],['# people reached by regular dedicated hygiene promotion]],WWWW[[#This Row],['# People received regular supply of hygiene items]])</f>
        <v>0</v>
      </c>
      <c r="BN132" s="476">
        <f>IF(WWWW[[#This Row],[HRP3]]/WWWW[[#This Row],[Total PoP ]]&gt;100%,100%,WWWW[[#This Row],[HRP3]]/WWWW[[#This Row],[Total PoP ]])</f>
        <v>0</v>
      </c>
      <c r="BO132" s="479">
        <f>1-WWWW[[#This Row],[Hygiene Coverage%]]</f>
        <v>1</v>
      </c>
      <c r="BP132" s="477">
        <f>WWWW[[#This Row],['# people reached by regular dedicated hygiene promotion]]/WWWW[[#This Row],[Total PoP ]]</f>
        <v>0</v>
      </c>
      <c r="BQ13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32" s="478">
        <f>WWWW[[#This Row],['#_of_affected_women_and_girls_receiving_a_sufficient_quantity_of_sanitary_pads]]</f>
        <v>0</v>
      </c>
      <c r="BS132" s="524">
        <f>IF(WWWW[[#This Row],['# People with access to soap]]&gt;WWWW[[#This Row],['# People with access to Sanity Pads]],WWWW[[#This Row],['# People with access to soap]],WWWW[[#This Row],['# People with access to Sanity Pads]])</f>
        <v>0</v>
      </c>
      <c r="BT132" s="483" t="str">
        <f>IF(OR(WWWW[[#This Row],['#of students in school]]="",WWWW[[#This Row],['#of students in school]]=0),"No","Yes")</f>
        <v>No</v>
      </c>
      <c r="BU132" s="480" t="str">
        <f>VLOOKUP(WWWW[[#This Row],[Village  Name]],SiteDB6[[Site Name]:[Location Type 1]],9,FALSE)</f>
        <v>Village</v>
      </c>
      <c r="BV132" s="480" t="str">
        <f>VLOOKUP(WWWW[[#This Row],[Village  Name]],SiteDB6[[Site Name]:[Type of Accommodation]],10,FALSE)</f>
        <v>Village</v>
      </c>
      <c r="BW132" s="480">
        <f>VLOOKUP(WWWW[[#This Row],[Village  Name]],SiteDB6[[Site Name]:[Ethnic or GCA/NGCA]],11,FALSE)</f>
        <v>0</v>
      </c>
      <c r="BX132" s="480">
        <f>VLOOKUP(WWWW[[#This Row],[Village  Name]],SiteDB6[[Site Name]:[Lat]],12,FALSE)</f>
        <v>0</v>
      </c>
      <c r="BY132" s="480">
        <f>VLOOKUP(WWWW[[#This Row],[Village  Name]],SiteDB6[[Site Name]:[Long]],13,FALSE)</f>
        <v>0</v>
      </c>
      <c r="BZ132" s="480">
        <f>VLOOKUP(WWWW[[#This Row],[Village  Name]],SiteDB6[[Site Name]:[Pcode]],3,FALSE)</f>
        <v>197110</v>
      </c>
      <c r="CA132" s="480" t="str">
        <f t="shared" si="5"/>
        <v>Covered</v>
      </c>
      <c r="CB132" s="505"/>
    </row>
    <row r="133" spans="1:96" s="472" customFormat="1">
      <c r="A133" s="727" t="s">
        <v>3150</v>
      </c>
      <c r="B133" s="727" t="s">
        <v>398</v>
      </c>
      <c r="C133" s="728" t="s">
        <v>398</v>
      </c>
      <c r="D133" s="728" t="s">
        <v>231</v>
      </c>
      <c r="E133" s="728" t="s">
        <v>2648</v>
      </c>
      <c r="F133" s="728" t="s">
        <v>399</v>
      </c>
      <c r="G133" s="644" t="str">
        <f>VLOOKUP(WWWW[[#This Row],[Village  Name]],SiteDB6[[Site Name]:[Location Type]],8,FALSE)</f>
        <v>Village</v>
      </c>
      <c r="H133" s="728" t="s">
        <v>401</v>
      </c>
      <c r="I133" s="729">
        <v>40</v>
      </c>
      <c r="J133" s="729">
        <v>217</v>
      </c>
      <c r="K133" s="730">
        <v>43530</v>
      </c>
      <c r="L133" s="731">
        <v>43951</v>
      </c>
      <c r="M133" s="729">
        <v>107</v>
      </c>
      <c r="N133" s="729"/>
      <c r="O133" s="524"/>
      <c r="P133" s="729">
        <v>8</v>
      </c>
      <c r="Q133" s="729"/>
      <c r="R133" s="729"/>
      <c r="S133" s="729"/>
      <c r="T133" s="729">
        <v>2</v>
      </c>
      <c r="U133" s="732"/>
      <c r="V133" s="729">
        <v>40</v>
      </c>
      <c r="W133" s="729" t="s">
        <v>40</v>
      </c>
      <c r="X133" s="729">
        <v>2</v>
      </c>
      <c r="Y133" s="729"/>
      <c r="Z133" s="729"/>
      <c r="AA133" s="729">
        <v>1</v>
      </c>
      <c r="AB133" s="729"/>
      <c r="AC133" s="732"/>
      <c r="AD133" s="729">
        <v>41</v>
      </c>
      <c r="AE133" s="729">
        <v>145</v>
      </c>
      <c r="AF133" s="729">
        <v>72</v>
      </c>
      <c r="AG133" s="729">
        <v>114</v>
      </c>
      <c r="AH133" s="729">
        <v>56</v>
      </c>
      <c r="AI133" s="729">
        <v>51</v>
      </c>
      <c r="AJ133" s="524">
        <v>40</v>
      </c>
      <c r="AK133" s="729">
        <v>1</v>
      </c>
      <c r="AL133" s="524">
        <v>40</v>
      </c>
      <c r="AM133" s="524">
        <v>80</v>
      </c>
      <c r="AN133" s="732"/>
      <c r="AO133" s="477">
        <v>1</v>
      </c>
      <c r="AP133" s="477">
        <v>1</v>
      </c>
      <c r="AQ133" s="524"/>
      <c r="AR133" s="524"/>
      <c r="AS133" s="524"/>
      <c r="AT133" s="733">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33" s="734">
        <f>WWWW[[#This Row],[%Equitable and continuous access to sufficient quantity of safe drinking water]]*WWWW[[#This Row],[Total PoP ]]</f>
        <v>217</v>
      </c>
      <c r="AV133" s="733">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33" s="734">
        <f>WWWW[[#This Row],[% Access to unimproved water points]]*WWWW[[#This Row],[Total PoP ]]</f>
        <v>0</v>
      </c>
      <c r="AX133" s="735">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33" s="734">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217</v>
      </c>
      <c r="AZ133" s="734">
        <f>WWWW[[#This Row],[HRP1]]/250</f>
        <v>0.86799999999999999</v>
      </c>
      <c r="BA133" s="736">
        <f>1-WWWW[[#This Row],[% Equitable and continuous access to sufficient quantity of domestic water]]</f>
        <v>0</v>
      </c>
      <c r="BB133" s="734">
        <f>WWWW[[#This Row],[%equitable and continuous access to sufficient quantity of safe drinking and domestic water''s GAP]]*WWWW[[#This Row],[Total PoP ]]</f>
        <v>0</v>
      </c>
      <c r="BC133" s="737">
        <f>IF(WWWW[[#This Row],[Total required water points]]-WWWW[[#This Row],['#Water points coverage]]&lt;0,0,WWWW[[#This Row],[Total required water points]]-WWWW[[#This Row],['#Water points coverage]])</f>
        <v>0.13200000000000001</v>
      </c>
      <c r="BD133" s="737">
        <f>ROUND(IF(WWWW[[#This Row],[Total PoP ]]&lt;250,1,WWWW[[#This Row],[Total PoP ]]/250),0)</f>
        <v>1</v>
      </c>
      <c r="BE13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33" s="734">
        <f>WWWW[[#This Row],[% people access to functioning Latrine]]*WWWW[[#This Row],[Total PoP ]]</f>
        <v>217</v>
      </c>
      <c r="BG133" s="737">
        <f>WWWW[[#This Row],['#_of_Functioning_latrines_in_school]]*50</f>
        <v>100</v>
      </c>
      <c r="BH133" s="737">
        <f>ROUND((WWWW[[#This Row],[Total PoP ]]/6),0)</f>
        <v>36</v>
      </c>
      <c r="BI133" s="737">
        <f>IF(WWWW[[#This Row],[Total required Latrines]]-(WWWW[[#This Row],['#_of_sanitary_fly-proof_HH_latrines]])&lt;0,0,WWWW[[#This Row],[Total required Latrines]]-(WWWW[[#This Row],['#_of_sanitary_fly-proof_HH_latrines]]))</f>
        <v>0</v>
      </c>
      <c r="BJ133" s="733">
        <f>1-WWWW[[#This Row],[% people access to functioning Latrine]]</f>
        <v>0</v>
      </c>
      <c r="BK133" s="734">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217</v>
      </c>
      <c r="BL133" s="483">
        <f>IF(WWWW[[#This Row],['#_of_functional_handwashing_facilities_at_HH_level]]*6&gt;WWWW[[#This Row],[Total PoP ]],WWWW[[#This Row],[Total PoP ]],WWWW[[#This Row],['#_of_functional_handwashing_facilities_at_HH_level]]*6)</f>
        <v>217</v>
      </c>
      <c r="BM133" s="737">
        <f>IF(WWWW[[#This Row],['# people reached by regular dedicated hygiene promotion]]&gt;WWWW[[#This Row],['# People received regular supply of hygiene items]],WWWW[[#This Row],['# people reached by regular dedicated hygiene promotion]],WWWW[[#This Row],['# People received regular supply of hygiene items]])</f>
        <v>217</v>
      </c>
      <c r="BN133" s="736">
        <f>IF(WWWW[[#This Row],[HRP3]]/WWWW[[#This Row],[Total PoP ]]&gt;100%,100%,WWWW[[#This Row],[HRP3]]/WWWW[[#This Row],[Total PoP ]])</f>
        <v>1</v>
      </c>
      <c r="BO133" s="733">
        <f>1-WWWW[[#This Row],[Hygiene Coverage%]]</f>
        <v>0</v>
      </c>
      <c r="BP133" s="735">
        <f>WWWW[[#This Row],['# people reached by regular dedicated hygiene promotion]]/WWWW[[#This Row],[Total PoP ]]</f>
        <v>1</v>
      </c>
      <c r="BQ13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217</v>
      </c>
      <c r="BR133" s="478">
        <f>WWWW[[#This Row],['#_of_affected_women_and_girls_receiving_a_sufficient_quantity_of_sanitary_pads]]</f>
        <v>80</v>
      </c>
      <c r="BS133" s="524">
        <f>IF(WWWW[[#This Row],['# People with access to soap]]&gt;WWWW[[#This Row],['# People with access to Sanity Pads]],WWWW[[#This Row],['# People with access to soap]],WWWW[[#This Row],['# People with access to Sanity Pads]])</f>
        <v>217</v>
      </c>
      <c r="BT133" s="483" t="str">
        <f>IF(OR(WWWW[[#This Row],['#of students in school]]="",WWWW[[#This Row],['#of students in school]]=0),"No","Yes")</f>
        <v>Yes</v>
      </c>
      <c r="BU133" s="738" t="str">
        <f>VLOOKUP(WWWW[[#This Row],[Village  Name]],SiteDB6[[Site Name]:[Location Type 1]],9,FALSE)</f>
        <v>Village</v>
      </c>
      <c r="BV133" s="738" t="str">
        <f>VLOOKUP(WWWW[[#This Row],[Village  Name]],SiteDB6[[Site Name]:[Type of Accommodation]],10,FALSE)</f>
        <v>Relocated</v>
      </c>
      <c r="BW133" s="738" t="str">
        <f>VLOOKUP(WWWW[[#This Row],[Village  Name]],SiteDB6[[Site Name]:[Ethnic or GCA/NGCA]],11,FALSE)</f>
        <v>Rakhine</v>
      </c>
      <c r="BX133" s="738">
        <f>VLOOKUP(WWWW[[#This Row],[Village  Name]],SiteDB6[[Site Name]:[Lat]],12,FALSE)</f>
        <v>20.041981</v>
      </c>
      <c r="BY133" s="738">
        <f>VLOOKUP(WWWW[[#This Row],[Village  Name]],SiteDB6[[Site Name]:[Long]],13,FALSE)</f>
        <v>93.373951000000005</v>
      </c>
      <c r="BZ133" s="738" t="str">
        <f>VLOOKUP(WWWW[[#This Row],[Village  Name]],SiteDB6[[Site Name]:[Pcode]],3,FALSE)</f>
        <v>MMR012CMP013</v>
      </c>
      <c r="CA133" s="738" t="str">
        <f>IF(C133="none","Notcovered","Covered")</f>
        <v>Covered</v>
      </c>
      <c r="CB133" s="739"/>
      <c r="CC133" s="31"/>
      <c r="CD133" s="473"/>
      <c r="CE133" s="473"/>
      <c r="CF133" s="470"/>
      <c r="CG133" s="473"/>
      <c r="CH133" s="474"/>
      <c r="CI133" s="474"/>
      <c r="CJ133" s="475"/>
      <c r="CK133" s="475"/>
      <c r="CL133" s="475"/>
      <c r="CM133" s="475"/>
      <c r="CN133" s="475"/>
      <c r="CO133" s="475"/>
      <c r="CP133" s="475"/>
      <c r="CQ133" s="475"/>
      <c r="CR133" s="475"/>
    </row>
    <row r="134" spans="1:96">
      <c r="A134" s="774" t="s">
        <v>3150</v>
      </c>
      <c r="B134" s="774" t="s">
        <v>2283</v>
      </c>
      <c r="C134" s="415" t="s">
        <v>2283</v>
      </c>
      <c r="D134" s="415" t="s">
        <v>39</v>
      </c>
      <c r="E134" s="415" t="s">
        <v>2648</v>
      </c>
      <c r="F134" s="415" t="s">
        <v>295</v>
      </c>
      <c r="G134" s="644" t="str">
        <f>VLOOKUP(WWWW[[#This Row],[Village  Name]],SiteDB6[[Site Name]:[Location Type]],8,FALSE)</f>
        <v>Village</v>
      </c>
      <c r="H134" s="415" t="s">
        <v>418</v>
      </c>
      <c r="I134" s="524">
        <v>249</v>
      </c>
      <c r="J134" s="524">
        <v>1362</v>
      </c>
      <c r="K134" s="418">
        <v>43009</v>
      </c>
      <c r="L134" s="55">
        <v>44104</v>
      </c>
      <c r="M134" s="524"/>
      <c r="N134" s="524">
        <v>0</v>
      </c>
      <c r="O134" s="524"/>
      <c r="P134" s="524"/>
      <c r="Q134" s="524"/>
      <c r="R134" s="524"/>
      <c r="S134" s="524"/>
      <c r="T134" s="524"/>
      <c r="U134" s="551"/>
      <c r="V134" s="524"/>
      <c r="W134" s="524"/>
      <c r="X134" s="524"/>
      <c r="Y134" s="524"/>
      <c r="Z134" s="524"/>
      <c r="AA134" s="524"/>
      <c r="AB134" s="524"/>
      <c r="AC134" s="551"/>
      <c r="AD134" s="524"/>
      <c r="AE134" s="524"/>
      <c r="AF134" s="524"/>
      <c r="AG134" s="524"/>
      <c r="AH134" s="524"/>
      <c r="AI134" s="524"/>
      <c r="AJ134" s="524"/>
      <c r="AK134" s="524"/>
      <c r="AL134" s="524"/>
      <c r="AM134" s="524"/>
      <c r="AN134" s="551"/>
      <c r="AO134" s="477"/>
      <c r="AP134" s="477"/>
      <c r="AQ134" s="524"/>
      <c r="AR134" s="524"/>
      <c r="AS134" s="524"/>
      <c r="AT13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34" s="483">
        <f>WWWW[[#This Row],[%Equitable and continuous access to sufficient quantity of safe drinking water]]*WWWW[[#This Row],[Total PoP ]]</f>
        <v>0</v>
      </c>
      <c r="AV13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34" s="483">
        <f>WWWW[[#This Row],[% Access to unimproved water points]]*WWWW[[#This Row],[Total PoP ]]</f>
        <v>0</v>
      </c>
      <c r="AX13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3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34" s="483">
        <f>WWWW[[#This Row],[HRP1]]/250</f>
        <v>0</v>
      </c>
      <c r="BA134" s="476">
        <f>1-WWWW[[#This Row],[% Equitable and continuous access to sufficient quantity of domestic water]]</f>
        <v>1</v>
      </c>
      <c r="BB134" s="483">
        <f>WWWW[[#This Row],[%equitable and continuous access to sufficient quantity of safe drinking and domestic water''s GAP]]*WWWW[[#This Row],[Total PoP ]]</f>
        <v>1362</v>
      </c>
      <c r="BC134" s="478">
        <f>IF(WWWW[[#This Row],[Total required water points]]-WWWW[[#This Row],['#Water points coverage]]&lt;0,0,WWWW[[#This Row],[Total required water points]]-WWWW[[#This Row],['#Water points coverage]])</f>
        <v>5</v>
      </c>
      <c r="BD134" s="478">
        <f>ROUND(IF(WWWW[[#This Row],[Total PoP ]]&lt;250,1,WWWW[[#This Row],[Total PoP ]]/250),0)</f>
        <v>5</v>
      </c>
      <c r="BE13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34" s="483">
        <f>WWWW[[#This Row],[% people access to functioning Latrine]]*WWWW[[#This Row],[Total PoP ]]</f>
        <v>0</v>
      </c>
      <c r="BG134" s="478">
        <f>WWWW[[#This Row],['#_of_Functioning_latrines_in_school]]*50</f>
        <v>0</v>
      </c>
      <c r="BH134" s="478">
        <f>ROUND((WWWW[[#This Row],[Total PoP ]]/6),0)</f>
        <v>227</v>
      </c>
      <c r="BI134" s="478">
        <f>IF(WWWW[[#This Row],[Total required Latrines]]-(WWWW[[#This Row],['#_of_sanitary_fly-proof_HH_latrines]])&lt;0,0,WWWW[[#This Row],[Total required Latrines]]-(WWWW[[#This Row],['#_of_sanitary_fly-proof_HH_latrines]]))</f>
        <v>227</v>
      </c>
      <c r="BJ134" s="479">
        <f>1-WWWW[[#This Row],[% people access to functioning Latrine]]</f>
        <v>1</v>
      </c>
      <c r="BK13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34" s="483">
        <f>IF(WWWW[[#This Row],['#_of_functional_handwashing_facilities_at_HH_level]]*6&gt;WWWW[[#This Row],[Total PoP ]],WWWW[[#This Row],[Total PoP ]],WWWW[[#This Row],['#_of_functional_handwashing_facilities_at_HH_level]]*6)</f>
        <v>0</v>
      </c>
      <c r="BM134" s="478">
        <f>IF(WWWW[[#This Row],['# people reached by regular dedicated hygiene promotion]]&gt;WWWW[[#This Row],['# People received regular supply of hygiene items]],WWWW[[#This Row],['# people reached by regular dedicated hygiene promotion]],WWWW[[#This Row],['# People received regular supply of hygiene items]])</f>
        <v>0</v>
      </c>
      <c r="BN134" s="476">
        <f>IF(WWWW[[#This Row],[HRP3]]/WWWW[[#This Row],[Total PoP ]]&gt;100%,100%,WWWW[[#This Row],[HRP3]]/WWWW[[#This Row],[Total PoP ]])</f>
        <v>0</v>
      </c>
      <c r="BO134" s="479">
        <f>1-WWWW[[#This Row],[Hygiene Coverage%]]</f>
        <v>1</v>
      </c>
      <c r="BP134" s="477">
        <f>WWWW[[#This Row],['# people reached by regular dedicated hygiene promotion]]/WWWW[[#This Row],[Total PoP ]]</f>
        <v>0</v>
      </c>
      <c r="BQ13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34" s="478">
        <f>WWWW[[#This Row],['#_of_affected_women_and_girls_receiving_a_sufficient_quantity_of_sanitary_pads]]</f>
        <v>0</v>
      </c>
      <c r="BS134" s="524">
        <f>IF(WWWW[[#This Row],['# People with access to soap]]&gt;WWWW[[#This Row],['# People with access to Sanity Pads]],WWWW[[#This Row],['# People with access to soap]],WWWW[[#This Row],['# People with access to Sanity Pads]])</f>
        <v>0</v>
      </c>
      <c r="BT134" s="483" t="str">
        <f>IF(OR(WWWW[[#This Row],['#of students in school]]="",WWWW[[#This Row],['#of students in school]]=0),"No","Yes")</f>
        <v>No</v>
      </c>
      <c r="BU134" s="480" t="str">
        <f>VLOOKUP(WWWW[[#This Row],[Village  Name]],SiteDB6[[Site Name]:[Location Type 1]],9,FALSE)</f>
        <v>Village</v>
      </c>
      <c r="BV134" s="480" t="str">
        <f>VLOOKUP(WWWW[[#This Row],[Village  Name]],SiteDB6[[Site Name]:[Type of Accommodation]],10,FALSE)</f>
        <v>Relocated</v>
      </c>
      <c r="BW134" s="480" t="str">
        <f>VLOOKUP(WWWW[[#This Row],[Village  Name]],SiteDB6[[Site Name]:[Ethnic or GCA/NGCA]],11,FALSE)</f>
        <v>Rakhine</v>
      </c>
      <c r="BX134" s="480">
        <f>VLOOKUP(WWWW[[#This Row],[Village  Name]],SiteDB6[[Site Name]:[Lat]],12,FALSE)</f>
        <v>20.151471999999998</v>
      </c>
      <c r="BY134" s="480">
        <f>VLOOKUP(WWWW[[#This Row],[Village  Name]],SiteDB6[[Site Name]:[Long]],13,FALSE)</f>
        <v>92.887277999999995</v>
      </c>
      <c r="BZ134" s="480" t="str">
        <f>VLOOKUP(WWWW[[#This Row],[Village  Name]],SiteDB6[[Site Name]:[Pcode]],3,FALSE)</f>
        <v>MMR012CMP111</v>
      </c>
      <c r="CA134" s="480" t="str">
        <f t="shared" si="5"/>
        <v>Covered</v>
      </c>
      <c r="CB134" s="505"/>
    </row>
    <row r="135" spans="1:96">
      <c r="A135" s="774" t="s">
        <v>3150</v>
      </c>
      <c r="B135" s="774" t="s">
        <v>2282</v>
      </c>
      <c r="C135" s="415" t="s">
        <v>2282</v>
      </c>
      <c r="D135" s="415" t="s">
        <v>39</v>
      </c>
      <c r="E135" s="415" t="s">
        <v>2648</v>
      </c>
      <c r="F135" s="415" t="s">
        <v>295</v>
      </c>
      <c r="G135" s="644" t="str">
        <f>VLOOKUP(WWWW[[#This Row],[Village  Name]],SiteDB6[[Site Name]:[Location Type]],8,FALSE)</f>
        <v>Village</v>
      </c>
      <c r="H135" s="415" t="s">
        <v>419</v>
      </c>
      <c r="I135" s="524">
        <v>420</v>
      </c>
      <c r="J135" s="524">
        <v>2179</v>
      </c>
      <c r="K135" s="418">
        <v>43009</v>
      </c>
      <c r="L135" s="55">
        <v>44104</v>
      </c>
      <c r="M135" s="524"/>
      <c r="N135" s="524">
        <v>0</v>
      </c>
      <c r="O135" s="524"/>
      <c r="P135" s="524"/>
      <c r="Q135" s="524"/>
      <c r="R135" s="524"/>
      <c r="S135" s="524"/>
      <c r="T135" s="524"/>
      <c r="U135" s="551"/>
      <c r="V135" s="524"/>
      <c r="W135" s="524"/>
      <c r="X135" s="524"/>
      <c r="Y135" s="524"/>
      <c r="Z135" s="524"/>
      <c r="AA135" s="524"/>
      <c r="AB135" s="524"/>
      <c r="AC135" s="551"/>
      <c r="AD135" s="524"/>
      <c r="AE135" s="524">
        <v>25</v>
      </c>
      <c r="AF135" s="524"/>
      <c r="AG135" s="524">
        <v>30</v>
      </c>
      <c r="AH135" s="524"/>
      <c r="AI135" s="524"/>
      <c r="AJ135" s="524"/>
      <c r="AK135" s="524"/>
      <c r="AL135" s="524"/>
      <c r="AM135" s="524"/>
      <c r="AN135" s="551"/>
      <c r="AO135" s="477"/>
      <c r="AP135" s="477"/>
      <c r="AQ135" s="524"/>
      <c r="AR135" s="524"/>
      <c r="AS135" s="524"/>
      <c r="AT13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35" s="483">
        <f>WWWW[[#This Row],[%Equitable and continuous access to sufficient quantity of safe drinking water]]*WWWW[[#This Row],[Total PoP ]]</f>
        <v>0</v>
      </c>
      <c r="AV13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35" s="483">
        <f>WWWW[[#This Row],[% Access to unimproved water points]]*WWWW[[#This Row],[Total PoP ]]</f>
        <v>0</v>
      </c>
      <c r="AX13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3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35" s="483">
        <f>WWWW[[#This Row],[HRP1]]/250</f>
        <v>0</v>
      </c>
      <c r="BA135" s="476">
        <f>1-WWWW[[#This Row],[% Equitable and continuous access to sufficient quantity of domestic water]]</f>
        <v>1</v>
      </c>
      <c r="BB135" s="483">
        <f>WWWW[[#This Row],[%equitable and continuous access to sufficient quantity of safe drinking and domestic water''s GAP]]*WWWW[[#This Row],[Total PoP ]]</f>
        <v>2179</v>
      </c>
      <c r="BC135" s="478">
        <f>IF(WWWW[[#This Row],[Total required water points]]-WWWW[[#This Row],['#Water points coverage]]&lt;0,0,WWWW[[#This Row],[Total required water points]]-WWWW[[#This Row],['#Water points coverage]])</f>
        <v>9</v>
      </c>
      <c r="BD135" s="478">
        <f>ROUND(IF(WWWW[[#This Row],[Total PoP ]]&lt;250,1,WWWW[[#This Row],[Total PoP ]]/250),0)</f>
        <v>9</v>
      </c>
      <c r="BE13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35" s="483">
        <f>WWWW[[#This Row],[% people access to functioning Latrine]]*WWWW[[#This Row],[Total PoP ]]</f>
        <v>0</v>
      </c>
      <c r="BG135" s="478">
        <f>WWWW[[#This Row],['#_of_Functioning_latrines_in_school]]*50</f>
        <v>0</v>
      </c>
      <c r="BH135" s="478">
        <f>ROUND((WWWW[[#This Row],[Total PoP ]]/6),0)</f>
        <v>363</v>
      </c>
      <c r="BI135" s="478">
        <f>IF(WWWW[[#This Row],[Total required Latrines]]-(WWWW[[#This Row],['#_of_sanitary_fly-proof_HH_latrines]])&lt;0,0,WWWW[[#This Row],[Total required Latrines]]-(WWWW[[#This Row],['#_of_sanitary_fly-proof_HH_latrines]]))</f>
        <v>363</v>
      </c>
      <c r="BJ135" s="479">
        <f>1-WWWW[[#This Row],[% people access to functioning Latrine]]</f>
        <v>1</v>
      </c>
      <c r="BK13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55</v>
      </c>
      <c r="BL135" s="483">
        <f>IF(WWWW[[#This Row],['#_of_functional_handwashing_facilities_at_HH_level]]*6&gt;WWWW[[#This Row],[Total PoP ]],WWWW[[#This Row],[Total PoP ]],WWWW[[#This Row],['#_of_functional_handwashing_facilities_at_HH_level]]*6)</f>
        <v>0</v>
      </c>
      <c r="BM135" s="478">
        <f>IF(WWWW[[#This Row],['# people reached by regular dedicated hygiene promotion]]&gt;WWWW[[#This Row],['# People received regular supply of hygiene items]],WWWW[[#This Row],['# people reached by regular dedicated hygiene promotion]],WWWW[[#This Row],['# People received regular supply of hygiene items]])</f>
        <v>55</v>
      </c>
      <c r="BN135" s="476">
        <f>IF(WWWW[[#This Row],[HRP3]]/WWWW[[#This Row],[Total PoP ]]&gt;100%,100%,WWWW[[#This Row],[HRP3]]/WWWW[[#This Row],[Total PoP ]])</f>
        <v>2.5240936209270308E-2</v>
      </c>
      <c r="BO135" s="479">
        <f>1-WWWW[[#This Row],[Hygiene Coverage%]]</f>
        <v>0.97475906379072974</v>
      </c>
      <c r="BP135" s="477">
        <f>WWWW[[#This Row],['# people reached by regular dedicated hygiene promotion]]/WWWW[[#This Row],[Total PoP ]]</f>
        <v>2.5240936209270308E-2</v>
      </c>
      <c r="BQ13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35" s="478">
        <f>WWWW[[#This Row],['#_of_affected_women_and_girls_receiving_a_sufficient_quantity_of_sanitary_pads]]</f>
        <v>0</v>
      </c>
      <c r="BS135" s="524">
        <f>IF(WWWW[[#This Row],['# People with access to soap]]&gt;WWWW[[#This Row],['# People with access to Sanity Pads]],WWWW[[#This Row],['# People with access to soap]],WWWW[[#This Row],['# People with access to Sanity Pads]])</f>
        <v>0</v>
      </c>
      <c r="BT135" s="483" t="str">
        <f>IF(OR(WWWW[[#This Row],['#of students in school]]="",WWWW[[#This Row],['#of students in school]]=0),"No","Yes")</f>
        <v>No</v>
      </c>
      <c r="BU135" s="480" t="str">
        <f>VLOOKUP(WWWW[[#This Row],[Village  Name]],SiteDB6[[Site Name]:[Location Type 1]],9,FALSE)</f>
        <v>Village</v>
      </c>
      <c r="BV135" s="480" t="str">
        <f>VLOOKUP(WWWW[[#This Row],[Village  Name]],SiteDB6[[Site Name]:[Type of Accommodation]],10,FALSE)</f>
        <v>Relocated</v>
      </c>
      <c r="BW135" s="480" t="str">
        <f>VLOOKUP(WWWW[[#This Row],[Village  Name]],SiteDB6[[Site Name]:[Ethnic or GCA/NGCA]],11,FALSE)</f>
        <v>Rakhine</v>
      </c>
      <c r="BX135" s="480">
        <f>VLOOKUP(WWWW[[#This Row],[Village  Name]],SiteDB6[[Site Name]:[Lat]],12,FALSE)</f>
        <v>20.151471999999998</v>
      </c>
      <c r="BY135" s="480">
        <f>VLOOKUP(WWWW[[#This Row],[Village  Name]],SiteDB6[[Site Name]:[Long]],13,FALSE)</f>
        <v>92.887277999999995</v>
      </c>
      <c r="BZ135" s="480" t="str">
        <f>VLOOKUP(WWWW[[#This Row],[Village  Name]],SiteDB6[[Site Name]:[Pcode]],3,FALSE)</f>
        <v>MMR012CMP112</v>
      </c>
      <c r="CA135" s="480" t="str">
        <f t="shared" si="5"/>
        <v>Covered</v>
      </c>
      <c r="CB135" s="505"/>
    </row>
    <row r="136" spans="1:96">
      <c r="A136" s="774" t="s">
        <v>3150</v>
      </c>
      <c r="B136" s="774" t="s">
        <v>2282</v>
      </c>
      <c r="C136" s="415" t="s">
        <v>2282</v>
      </c>
      <c r="D136" s="415" t="s">
        <v>39</v>
      </c>
      <c r="E136" s="415" t="s">
        <v>2648</v>
      </c>
      <c r="F136" s="415" t="s">
        <v>295</v>
      </c>
      <c r="G136" s="644" t="str">
        <f>VLOOKUP(WWWW[[#This Row],[Village  Name]],SiteDB6[[Site Name]:[Location Type]],8,FALSE)</f>
        <v>Village</v>
      </c>
      <c r="H136" s="415" t="s">
        <v>433</v>
      </c>
      <c r="I136" s="524">
        <v>235</v>
      </c>
      <c r="J136" s="524">
        <v>1390</v>
      </c>
      <c r="K136" s="418">
        <v>43009</v>
      </c>
      <c r="L136" s="55">
        <v>44104</v>
      </c>
      <c r="M136" s="524"/>
      <c r="N136" s="524">
        <v>0</v>
      </c>
      <c r="O136" s="524"/>
      <c r="P136" s="524"/>
      <c r="Q136" s="524"/>
      <c r="R136" s="524"/>
      <c r="S136" s="524"/>
      <c r="T136" s="524"/>
      <c r="U136" s="551"/>
      <c r="V136" s="524"/>
      <c r="W136" s="524"/>
      <c r="X136" s="524"/>
      <c r="Y136" s="524"/>
      <c r="Z136" s="524"/>
      <c r="AA136" s="524"/>
      <c r="AB136" s="524"/>
      <c r="AC136" s="551"/>
      <c r="AD136" s="524">
        <v>257</v>
      </c>
      <c r="AE136" s="524">
        <v>828</v>
      </c>
      <c r="AF136" s="524"/>
      <c r="AG136" s="524"/>
      <c r="AH136" s="524"/>
      <c r="AI136" s="524"/>
      <c r="AJ136" s="524"/>
      <c r="AK136" s="524"/>
      <c r="AL136" s="524"/>
      <c r="AM136" s="524"/>
      <c r="AN136" s="551"/>
      <c r="AO136" s="477"/>
      <c r="AP136" s="477"/>
      <c r="AQ136" s="524"/>
      <c r="AR136" s="524"/>
      <c r="AS136" s="524"/>
      <c r="AT13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36" s="483">
        <f>WWWW[[#This Row],[%Equitable and continuous access to sufficient quantity of safe drinking water]]*WWWW[[#This Row],[Total PoP ]]</f>
        <v>0</v>
      </c>
      <c r="AV13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36" s="483">
        <f>WWWW[[#This Row],[% Access to unimproved water points]]*WWWW[[#This Row],[Total PoP ]]</f>
        <v>0</v>
      </c>
      <c r="AX13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3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36" s="483">
        <f>WWWW[[#This Row],[HRP1]]/250</f>
        <v>0</v>
      </c>
      <c r="BA136" s="476">
        <f>1-WWWW[[#This Row],[% Equitable and continuous access to sufficient quantity of domestic water]]</f>
        <v>1</v>
      </c>
      <c r="BB136" s="483">
        <f>WWWW[[#This Row],[%equitable and continuous access to sufficient quantity of safe drinking and domestic water''s GAP]]*WWWW[[#This Row],[Total PoP ]]</f>
        <v>1390</v>
      </c>
      <c r="BC136" s="478">
        <f>IF(WWWW[[#This Row],[Total required water points]]-WWWW[[#This Row],['#Water points coverage]]&lt;0,0,WWWW[[#This Row],[Total required water points]]-WWWW[[#This Row],['#Water points coverage]])</f>
        <v>6</v>
      </c>
      <c r="BD136" s="478">
        <f>ROUND(IF(WWWW[[#This Row],[Total PoP ]]&lt;250,1,WWWW[[#This Row],[Total PoP ]]/250),0)</f>
        <v>6</v>
      </c>
      <c r="BE13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36" s="483">
        <f>WWWW[[#This Row],[% people access to functioning Latrine]]*WWWW[[#This Row],[Total PoP ]]</f>
        <v>0</v>
      </c>
      <c r="BG136" s="478">
        <f>WWWW[[#This Row],['#_of_Functioning_latrines_in_school]]*50</f>
        <v>0</v>
      </c>
      <c r="BH136" s="478">
        <f>ROUND((WWWW[[#This Row],[Total PoP ]]/6),0)</f>
        <v>232</v>
      </c>
      <c r="BI136" s="478">
        <f>IF(WWWW[[#This Row],[Total required Latrines]]-(WWWW[[#This Row],['#_of_sanitary_fly-proof_HH_latrines]])&lt;0,0,WWWW[[#This Row],[Total required Latrines]]-(WWWW[[#This Row],['#_of_sanitary_fly-proof_HH_latrines]]))</f>
        <v>232</v>
      </c>
      <c r="BJ136" s="479">
        <f>1-WWWW[[#This Row],[% people access to functioning Latrine]]</f>
        <v>1</v>
      </c>
      <c r="BK13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1085</v>
      </c>
      <c r="BL136" s="483">
        <f>IF(WWWW[[#This Row],['#_of_functional_handwashing_facilities_at_HH_level]]*6&gt;WWWW[[#This Row],[Total PoP ]],WWWW[[#This Row],[Total PoP ]],WWWW[[#This Row],['#_of_functional_handwashing_facilities_at_HH_level]]*6)</f>
        <v>0</v>
      </c>
      <c r="BM136" s="478">
        <f>IF(WWWW[[#This Row],['# people reached by regular dedicated hygiene promotion]]&gt;WWWW[[#This Row],['# People received regular supply of hygiene items]],WWWW[[#This Row],['# people reached by regular dedicated hygiene promotion]],WWWW[[#This Row],['# People received regular supply of hygiene items]])</f>
        <v>1085</v>
      </c>
      <c r="BN136" s="476">
        <f>IF(WWWW[[#This Row],[HRP3]]/WWWW[[#This Row],[Total PoP ]]&gt;100%,100%,WWWW[[#This Row],[HRP3]]/WWWW[[#This Row],[Total PoP ]])</f>
        <v>0.78057553956834536</v>
      </c>
      <c r="BO136" s="479">
        <f>1-WWWW[[#This Row],[Hygiene Coverage%]]</f>
        <v>0.21942446043165464</v>
      </c>
      <c r="BP136" s="477">
        <f>WWWW[[#This Row],['# people reached by regular dedicated hygiene promotion]]/WWWW[[#This Row],[Total PoP ]]</f>
        <v>0.78057553956834536</v>
      </c>
      <c r="BQ13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36" s="478">
        <f>WWWW[[#This Row],['#_of_affected_women_and_girls_receiving_a_sufficient_quantity_of_sanitary_pads]]</f>
        <v>0</v>
      </c>
      <c r="BS136" s="524">
        <f>IF(WWWW[[#This Row],['# People with access to soap]]&gt;WWWW[[#This Row],['# People with access to Sanity Pads]],WWWW[[#This Row],['# People with access to soap]],WWWW[[#This Row],['# People with access to Sanity Pads]])</f>
        <v>0</v>
      </c>
      <c r="BT136" s="483" t="str">
        <f>IF(OR(WWWW[[#This Row],['#of students in school]]="",WWWW[[#This Row],['#of students in school]]=0),"No","Yes")</f>
        <v>No</v>
      </c>
      <c r="BU136" s="480" t="str">
        <f>VLOOKUP(WWWW[[#This Row],[Village  Name]],SiteDB6[[Site Name]:[Location Type 1]],9,FALSE)</f>
        <v>Village</v>
      </c>
      <c r="BV136" s="480" t="str">
        <f>VLOOKUP(WWWW[[#This Row],[Village  Name]],SiteDB6[[Site Name]:[Type of Accommodation]],10,FALSE)</f>
        <v>Village</v>
      </c>
      <c r="BW136" s="480" t="str">
        <f>VLOOKUP(WWWW[[#This Row],[Village  Name]],SiteDB6[[Site Name]:[Ethnic or GCA/NGCA]],11,FALSE)</f>
        <v>Muslim</v>
      </c>
      <c r="BX136" s="480">
        <f>VLOOKUP(WWWW[[#This Row],[Village  Name]],SiteDB6[[Site Name]:[Lat]],12,FALSE)</f>
        <v>20.19171906</v>
      </c>
      <c r="BY136" s="480">
        <f>VLOOKUP(WWWW[[#This Row],[Village  Name]],SiteDB6[[Site Name]:[Long]],13,FALSE)</f>
        <v>92.808166499999999</v>
      </c>
      <c r="BZ136" s="480">
        <f>VLOOKUP(WWWW[[#This Row],[Village  Name]],SiteDB6[[Site Name]:[Pcode]],3,FALSE)</f>
        <v>196155</v>
      </c>
      <c r="CA136" s="480" t="str">
        <f t="shared" si="5"/>
        <v>Covered</v>
      </c>
      <c r="CB136" s="505"/>
    </row>
    <row r="137" spans="1:96">
      <c r="A137" s="774" t="s">
        <v>3150</v>
      </c>
      <c r="B137" s="774" t="s">
        <v>2282</v>
      </c>
      <c r="C137" s="415" t="s">
        <v>2282</v>
      </c>
      <c r="D137" s="415" t="s">
        <v>39</v>
      </c>
      <c r="E137" s="415" t="s">
        <v>2648</v>
      </c>
      <c r="F137" s="415" t="s">
        <v>295</v>
      </c>
      <c r="G137" s="644" t="str">
        <f>VLOOKUP(WWWW[[#This Row],[Village  Name]],SiteDB6[[Site Name]:[Location Type]],8,FALSE)</f>
        <v>Village</v>
      </c>
      <c r="H137" s="415" t="s">
        <v>416</v>
      </c>
      <c r="I137" s="524">
        <v>72</v>
      </c>
      <c r="J137" s="524">
        <v>442</v>
      </c>
      <c r="K137" s="418">
        <v>43009</v>
      </c>
      <c r="L137" s="55">
        <v>44104</v>
      </c>
      <c r="M137" s="524"/>
      <c r="N137" s="524">
        <v>0</v>
      </c>
      <c r="O137" s="524"/>
      <c r="P137" s="524"/>
      <c r="Q137" s="524"/>
      <c r="R137" s="524"/>
      <c r="S137" s="524"/>
      <c r="T137" s="524"/>
      <c r="U137" s="551"/>
      <c r="V137" s="524"/>
      <c r="W137" s="524"/>
      <c r="X137" s="524"/>
      <c r="Y137" s="524"/>
      <c r="Z137" s="524"/>
      <c r="AA137" s="524"/>
      <c r="AB137" s="524"/>
      <c r="AC137" s="551"/>
      <c r="AD137" s="524">
        <v>91</v>
      </c>
      <c r="AE137" s="524">
        <v>207</v>
      </c>
      <c r="AF137" s="524">
        <v>92</v>
      </c>
      <c r="AG137" s="524">
        <v>285</v>
      </c>
      <c r="AH137" s="524"/>
      <c r="AI137" s="524"/>
      <c r="AJ137" s="524"/>
      <c r="AK137" s="524"/>
      <c r="AL137" s="524"/>
      <c r="AM137" s="524"/>
      <c r="AN137" s="551"/>
      <c r="AO137" s="477"/>
      <c r="AP137" s="477"/>
      <c r="AQ137" s="524"/>
      <c r="AR137" s="524"/>
      <c r="AS137" s="524"/>
      <c r="AT13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37" s="483">
        <f>WWWW[[#This Row],[%Equitable and continuous access to sufficient quantity of safe drinking water]]*WWWW[[#This Row],[Total PoP ]]</f>
        <v>0</v>
      </c>
      <c r="AV13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37" s="483">
        <f>WWWW[[#This Row],[% Access to unimproved water points]]*WWWW[[#This Row],[Total PoP ]]</f>
        <v>0</v>
      </c>
      <c r="AX13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3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37" s="483">
        <f>WWWW[[#This Row],[HRP1]]/250</f>
        <v>0</v>
      </c>
      <c r="BA137" s="476">
        <f>1-WWWW[[#This Row],[% Equitable and continuous access to sufficient quantity of domestic water]]</f>
        <v>1</v>
      </c>
      <c r="BB137" s="483">
        <f>WWWW[[#This Row],[%equitable and continuous access to sufficient quantity of safe drinking and domestic water''s GAP]]*WWWW[[#This Row],[Total PoP ]]</f>
        <v>442</v>
      </c>
      <c r="BC137" s="478">
        <f>IF(WWWW[[#This Row],[Total required water points]]-WWWW[[#This Row],['#Water points coverage]]&lt;0,0,WWWW[[#This Row],[Total required water points]]-WWWW[[#This Row],['#Water points coverage]])</f>
        <v>2</v>
      </c>
      <c r="BD137" s="478">
        <f>ROUND(IF(WWWW[[#This Row],[Total PoP ]]&lt;250,1,WWWW[[#This Row],[Total PoP ]]/250),0)</f>
        <v>2</v>
      </c>
      <c r="BE13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37" s="483">
        <f>WWWW[[#This Row],[% people access to functioning Latrine]]*WWWW[[#This Row],[Total PoP ]]</f>
        <v>0</v>
      </c>
      <c r="BG137" s="478">
        <f>WWWW[[#This Row],['#_of_Functioning_latrines_in_school]]*50</f>
        <v>0</v>
      </c>
      <c r="BH137" s="478">
        <f>ROUND((WWWW[[#This Row],[Total PoP ]]/6),0)</f>
        <v>74</v>
      </c>
      <c r="BI137" s="478">
        <f>IF(WWWW[[#This Row],[Total required Latrines]]-(WWWW[[#This Row],['#_of_sanitary_fly-proof_HH_latrines]])&lt;0,0,WWWW[[#This Row],[Total required Latrines]]-(WWWW[[#This Row],['#_of_sanitary_fly-proof_HH_latrines]]))</f>
        <v>74</v>
      </c>
      <c r="BJ137" s="479">
        <f>1-WWWW[[#This Row],[% people access to functioning Latrine]]</f>
        <v>1</v>
      </c>
      <c r="BK13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442</v>
      </c>
      <c r="BL137" s="483">
        <f>IF(WWWW[[#This Row],['#_of_functional_handwashing_facilities_at_HH_level]]*6&gt;WWWW[[#This Row],[Total PoP ]],WWWW[[#This Row],[Total PoP ]],WWWW[[#This Row],['#_of_functional_handwashing_facilities_at_HH_level]]*6)</f>
        <v>0</v>
      </c>
      <c r="BM137" s="478">
        <f>IF(WWWW[[#This Row],['# people reached by regular dedicated hygiene promotion]]&gt;WWWW[[#This Row],['# People received regular supply of hygiene items]],WWWW[[#This Row],['# people reached by regular dedicated hygiene promotion]],WWWW[[#This Row],['# People received regular supply of hygiene items]])</f>
        <v>442</v>
      </c>
      <c r="BN137" s="476">
        <f>IF(WWWW[[#This Row],[HRP3]]/WWWW[[#This Row],[Total PoP ]]&gt;100%,100%,WWWW[[#This Row],[HRP3]]/WWWW[[#This Row],[Total PoP ]])</f>
        <v>1</v>
      </c>
      <c r="BO137" s="479">
        <f>1-WWWW[[#This Row],[Hygiene Coverage%]]</f>
        <v>0</v>
      </c>
      <c r="BP137" s="477">
        <f>WWWW[[#This Row],['# people reached by regular dedicated hygiene promotion]]/WWWW[[#This Row],[Total PoP ]]</f>
        <v>1</v>
      </c>
      <c r="BQ13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37" s="478">
        <f>WWWW[[#This Row],['#_of_affected_women_and_girls_receiving_a_sufficient_quantity_of_sanitary_pads]]</f>
        <v>0</v>
      </c>
      <c r="BS137" s="524">
        <f>IF(WWWW[[#This Row],['# People with access to soap]]&gt;WWWW[[#This Row],['# People with access to Sanity Pads]],WWWW[[#This Row],['# People with access to soap]],WWWW[[#This Row],['# People with access to Sanity Pads]])</f>
        <v>0</v>
      </c>
      <c r="BT137" s="483" t="str">
        <f>IF(OR(WWWW[[#This Row],['#of students in school]]="",WWWW[[#This Row],['#of students in school]]=0),"No","Yes")</f>
        <v>No</v>
      </c>
      <c r="BU137" s="480" t="str">
        <f>VLOOKUP(WWWW[[#This Row],[Village  Name]],SiteDB6[[Site Name]:[Location Type 1]],9,FALSE)</f>
        <v>Village</v>
      </c>
      <c r="BV137" s="480" t="str">
        <f>VLOOKUP(WWWW[[#This Row],[Village  Name]],SiteDB6[[Site Name]:[Type of Accommodation]],10,FALSE)</f>
        <v>Relocated</v>
      </c>
      <c r="BW137" s="480" t="str">
        <f>VLOOKUP(WWWW[[#This Row],[Village  Name]],SiteDB6[[Site Name]:[Ethnic or GCA/NGCA]],11,FALSE)</f>
        <v>Maramargyi</v>
      </c>
      <c r="BX137" s="480">
        <f>VLOOKUP(WWWW[[#This Row],[Village  Name]],SiteDB6[[Site Name]:[Lat]],12,FALSE)</f>
        <v>20.148584</v>
      </c>
      <c r="BY137" s="480">
        <f>VLOOKUP(WWWW[[#This Row],[Village  Name]],SiteDB6[[Site Name]:[Long]],13,FALSE)</f>
        <v>92.880319999999998</v>
      </c>
      <c r="BZ137" s="480" t="str">
        <f>VLOOKUP(WWWW[[#This Row],[Village  Name]],SiteDB6[[Site Name]:[Pcode]],3,FALSE)</f>
        <v>MMR012CMP056</v>
      </c>
      <c r="CA137" s="480" t="str">
        <f t="shared" si="5"/>
        <v>Covered</v>
      </c>
      <c r="CB137" s="505"/>
    </row>
    <row r="138" spans="1:96">
      <c r="A138" s="774" t="s">
        <v>3150</v>
      </c>
      <c r="B138" s="774" t="s">
        <v>2282</v>
      </c>
      <c r="C138" s="415" t="s">
        <v>2282</v>
      </c>
      <c r="D138" s="415" t="s">
        <v>39</v>
      </c>
      <c r="E138" s="415" t="s">
        <v>2648</v>
      </c>
      <c r="F138" s="415" t="s">
        <v>295</v>
      </c>
      <c r="G138" s="644" t="str">
        <f>VLOOKUP(WWWW[[#This Row],[Village  Name]],SiteDB6[[Site Name]:[Location Type]],8,FALSE)</f>
        <v>Village</v>
      </c>
      <c r="H138" s="415" t="s">
        <v>1898</v>
      </c>
      <c r="I138" s="524">
        <v>151</v>
      </c>
      <c r="J138" s="524">
        <v>625</v>
      </c>
      <c r="K138" s="418">
        <v>43009</v>
      </c>
      <c r="L138" s="55">
        <v>44104</v>
      </c>
      <c r="M138" s="524"/>
      <c r="N138" s="524">
        <v>0</v>
      </c>
      <c r="O138" s="524"/>
      <c r="P138" s="524"/>
      <c r="Q138" s="524"/>
      <c r="R138" s="524"/>
      <c r="S138" s="524"/>
      <c r="T138" s="524"/>
      <c r="U138" s="551"/>
      <c r="V138" s="524"/>
      <c r="W138" s="524"/>
      <c r="X138" s="524"/>
      <c r="Y138" s="524"/>
      <c r="Z138" s="524"/>
      <c r="AA138" s="524"/>
      <c r="AB138" s="524"/>
      <c r="AC138" s="551"/>
      <c r="AD138" s="524">
        <v>181</v>
      </c>
      <c r="AE138" s="524">
        <v>402</v>
      </c>
      <c r="AF138" s="524">
        <v>20</v>
      </c>
      <c r="AG138" s="524">
        <v>194</v>
      </c>
      <c r="AH138" s="524"/>
      <c r="AI138" s="524"/>
      <c r="AJ138" s="524"/>
      <c r="AK138" s="524"/>
      <c r="AL138" s="524"/>
      <c r="AM138" s="524"/>
      <c r="AN138" s="551"/>
      <c r="AO138" s="477"/>
      <c r="AP138" s="477"/>
      <c r="AQ138" s="524"/>
      <c r="AR138" s="524"/>
      <c r="AS138" s="524"/>
      <c r="AT13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38" s="483">
        <f>WWWW[[#This Row],[%Equitable and continuous access to sufficient quantity of safe drinking water]]*WWWW[[#This Row],[Total PoP ]]</f>
        <v>0</v>
      </c>
      <c r="AV13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38" s="483">
        <f>WWWW[[#This Row],[% Access to unimproved water points]]*WWWW[[#This Row],[Total PoP ]]</f>
        <v>0</v>
      </c>
      <c r="AX13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3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38" s="483">
        <f>WWWW[[#This Row],[HRP1]]/250</f>
        <v>0</v>
      </c>
      <c r="BA138" s="476">
        <f>1-WWWW[[#This Row],[% Equitable and continuous access to sufficient quantity of domestic water]]</f>
        <v>1</v>
      </c>
      <c r="BB138" s="483">
        <f>WWWW[[#This Row],[%equitable and continuous access to sufficient quantity of safe drinking and domestic water''s GAP]]*WWWW[[#This Row],[Total PoP ]]</f>
        <v>625</v>
      </c>
      <c r="BC138" s="478">
        <f>IF(WWWW[[#This Row],[Total required water points]]-WWWW[[#This Row],['#Water points coverage]]&lt;0,0,WWWW[[#This Row],[Total required water points]]-WWWW[[#This Row],['#Water points coverage]])</f>
        <v>3</v>
      </c>
      <c r="BD138" s="478">
        <f>ROUND(IF(WWWW[[#This Row],[Total PoP ]]&lt;250,1,WWWW[[#This Row],[Total PoP ]]/250),0)</f>
        <v>3</v>
      </c>
      <c r="BE13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38" s="483">
        <f>WWWW[[#This Row],[% people access to functioning Latrine]]*WWWW[[#This Row],[Total PoP ]]</f>
        <v>0</v>
      </c>
      <c r="BG138" s="478">
        <f>WWWW[[#This Row],['#_of_Functioning_latrines_in_school]]*50</f>
        <v>0</v>
      </c>
      <c r="BH138" s="478">
        <f>ROUND((WWWW[[#This Row],[Total PoP ]]/6),0)</f>
        <v>104</v>
      </c>
      <c r="BI138" s="478">
        <f>IF(WWWW[[#This Row],[Total required Latrines]]-(WWWW[[#This Row],['#_of_sanitary_fly-proof_HH_latrines]])&lt;0,0,WWWW[[#This Row],[Total required Latrines]]-(WWWW[[#This Row],['#_of_sanitary_fly-proof_HH_latrines]]))</f>
        <v>104</v>
      </c>
      <c r="BJ138" s="479">
        <f>1-WWWW[[#This Row],[% people access to functioning Latrine]]</f>
        <v>1</v>
      </c>
      <c r="BK13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625</v>
      </c>
      <c r="BL138" s="483">
        <f>IF(WWWW[[#This Row],['#_of_functional_handwashing_facilities_at_HH_level]]*6&gt;WWWW[[#This Row],[Total PoP ]],WWWW[[#This Row],[Total PoP ]],WWWW[[#This Row],['#_of_functional_handwashing_facilities_at_HH_level]]*6)</f>
        <v>0</v>
      </c>
      <c r="BM138" s="478">
        <f>IF(WWWW[[#This Row],['# people reached by regular dedicated hygiene promotion]]&gt;WWWW[[#This Row],['# People received regular supply of hygiene items]],WWWW[[#This Row],['# people reached by regular dedicated hygiene promotion]],WWWW[[#This Row],['# People received regular supply of hygiene items]])</f>
        <v>625</v>
      </c>
      <c r="BN138" s="476">
        <f>IF(WWWW[[#This Row],[HRP3]]/WWWW[[#This Row],[Total PoP ]]&gt;100%,100%,WWWW[[#This Row],[HRP3]]/WWWW[[#This Row],[Total PoP ]])</f>
        <v>1</v>
      </c>
      <c r="BO138" s="479">
        <f>1-WWWW[[#This Row],[Hygiene Coverage%]]</f>
        <v>0</v>
      </c>
      <c r="BP138" s="477">
        <f>WWWW[[#This Row],['# people reached by regular dedicated hygiene promotion]]/WWWW[[#This Row],[Total PoP ]]</f>
        <v>1</v>
      </c>
      <c r="BQ13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38" s="478">
        <f>WWWW[[#This Row],['#_of_affected_women_and_girls_receiving_a_sufficient_quantity_of_sanitary_pads]]</f>
        <v>0</v>
      </c>
      <c r="BS138" s="524">
        <f>IF(WWWW[[#This Row],['# People with access to soap]]&gt;WWWW[[#This Row],['# People with access to Sanity Pads]],WWWW[[#This Row],['# People with access to soap]],WWWW[[#This Row],['# People with access to Sanity Pads]])</f>
        <v>0</v>
      </c>
      <c r="BT138" s="483" t="str">
        <f>IF(OR(WWWW[[#This Row],['#of students in school]]="",WWWW[[#This Row],['#of students in school]]=0),"No","Yes")</f>
        <v>No</v>
      </c>
      <c r="BU138" s="480" t="str">
        <f>VLOOKUP(WWWW[[#This Row],[Village  Name]],SiteDB6[[Site Name]:[Location Type 1]],9,FALSE)</f>
        <v>Village</v>
      </c>
      <c r="BV138" s="480" t="str">
        <f>VLOOKUP(WWWW[[#This Row],[Village  Name]],SiteDB6[[Site Name]:[Type of Accommodation]],10,FALSE)</f>
        <v>Relocated</v>
      </c>
      <c r="BW138" s="480" t="str">
        <f>VLOOKUP(WWWW[[#This Row],[Village  Name]],SiteDB6[[Site Name]:[Ethnic or GCA/NGCA]],11,FALSE)</f>
        <v>Rakhine</v>
      </c>
      <c r="BX138" s="480">
        <f>VLOOKUP(WWWW[[#This Row],[Village  Name]],SiteDB6[[Site Name]:[Lat]],12,FALSE)</f>
        <v>20.155805999999998</v>
      </c>
      <c r="BY138" s="480">
        <f>VLOOKUP(WWWW[[#This Row],[Village  Name]],SiteDB6[[Site Name]:[Long]],13,FALSE)</f>
        <v>92.879138999999995</v>
      </c>
      <c r="BZ138" s="480" t="str">
        <f>VLOOKUP(WWWW[[#This Row],[Village  Name]],SiteDB6[[Site Name]:[Pcode]],3,FALSE)</f>
        <v>MMR012CMP093</v>
      </c>
      <c r="CA138" s="480" t="str">
        <f t="shared" si="5"/>
        <v>Covered</v>
      </c>
      <c r="CB138" s="505"/>
    </row>
    <row r="139" spans="1:96">
      <c r="A139" s="774" t="s">
        <v>3150</v>
      </c>
      <c r="B139" s="774" t="s">
        <v>2283</v>
      </c>
      <c r="C139" s="415" t="s">
        <v>2283</v>
      </c>
      <c r="D139" s="415" t="s">
        <v>39</v>
      </c>
      <c r="E139" s="415" t="s">
        <v>2648</v>
      </c>
      <c r="F139" s="415" t="s">
        <v>295</v>
      </c>
      <c r="G139" s="644" t="str">
        <f>VLOOKUP(WWWW[[#This Row],[Village  Name]],SiteDB6[[Site Name]:[Location Type]],8,FALSE)</f>
        <v>Village</v>
      </c>
      <c r="H139" s="415" t="s">
        <v>689</v>
      </c>
      <c r="I139" s="524">
        <v>155</v>
      </c>
      <c r="J139" s="524">
        <v>745</v>
      </c>
      <c r="K139" s="418">
        <v>43009</v>
      </c>
      <c r="L139" s="55">
        <v>44104</v>
      </c>
      <c r="M139" s="524"/>
      <c r="N139" s="524">
        <v>0</v>
      </c>
      <c r="O139" s="524"/>
      <c r="P139" s="524">
        <v>10</v>
      </c>
      <c r="Q139" s="524"/>
      <c r="R139" s="524"/>
      <c r="S139" s="524"/>
      <c r="T139" s="524"/>
      <c r="U139" s="551"/>
      <c r="V139" s="524">
        <v>28</v>
      </c>
      <c r="W139" s="524"/>
      <c r="X139" s="524"/>
      <c r="Y139" s="524"/>
      <c r="Z139" s="524"/>
      <c r="AA139" s="524"/>
      <c r="AB139" s="524"/>
      <c r="AC139" s="551"/>
      <c r="AD139" s="524">
        <v>107</v>
      </c>
      <c r="AE139" s="524">
        <v>108</v>
      </c>
      <c r="AF139" s="524">
        <v>33</v>
      </c>
      <c r="AG139" s="524">
        <v>32</v>
      </c>
      <c r="AH139" s="524"/>
      <c r="AI139" s="524"/>
      <c r="AJ139" s="524"/>
      <c r="AK139" s="524"/>
      <c r="AL139" s="524"/>
      <c r="AM139" s="524"/>
      <c r="AN139" s="551"/>
      <c r="AO139" s="477"/>
      <c r="AP139" s="477"/>
      <c r="AQ139" s="524"/>
      <c r="AR139" s="524"/>
      <c r="AS139" s="524"/>
      <c r="AT13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39" s="483">
        <f>WWWW[[#This Row],[%Equitable and continuous access to sufficient quantity of safe drinking water]]*WWWW[[#This Row],[Total PoP ]]</f>
        <v>745</v>
      </c>
      <c r="AV13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39" s="483">
        <f>WWWW[[#This Row],[% Access to unimproved water points]]*WWWW[[#This Row],[Total PoP ]]</f>
        <v>0</v>
      </c>
      <c r="AX13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3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745</v>
      </c>
      <c r="AZ139" s="483">
        <f>WWWW[[#This Row],[HRP1]]/250</f>
        <v>2.98</v>
      </c>
      <c r="BA139" s="476">
        <f>1-WWWW[[#This Row],[% Equitable and continuous access to sufficient quantity of domestic water]]</f>
        <v>0</v>
      </c>
      <c r="BB139" s="483">
        <f>WWWW[[#This Row],[%equitable and continuous access to sufficient quantity of safe drinking and domestic water''s GAP]]*WWWW[[#This Row],[Total PoP ]]</f>
        <v>0</v>
      </c>
      <c r="BC139" s="478">
        <f>IF(WWWW[[#This Row],[Total required water points]]-WWWW[[#This Row],['#Water points coverage]]&lt;0,0,WWWW[[#This Row],[Total required water points]]-WWWW[[#This Row],['#Water points coverage]])</f>
        <v>2.0000000000000018E-2</v>
      </c>
      <c r="BD139" s="478">
        <f>ROUND(IF(WWWW[[#This Row],[Total PoP ]]&lt;250,1,WWWW[[#This Row],[Total PoP ]]/250),0)</f>
        <v>3</v>
      </c>
      <c r="BE13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0.22550335570469798</v>
      </c>
      <c r="BF139" s="483">
        <f>WWWW[[#This Row],[% people access to functioning Latrine]]*WWWW[[#This Row],[Total PoP ]]</f>
        <v>168</v>
      </c>
      <c r="BG139" s="478">
        <f>WWWW[[#This Row],['#_of_Functioning_latrines_in_school]]*50</f>
        <v>0</v>
      </c>
      <c r="BH139" s="478">
        <f>ROUND((WWWW[[#This Row],[Total PoP ]]/6),0)</f>
        <v>124</v>
      </c>
      <c r="BI139" s="478">
        <f>IF(WWWW[[#This Row],[Total required Latrines]]-(WWWW[[#This Row],['#_of_sanitary_fly-proof_HH_latrines]])&lt;0,0,WWWW[[#This Row],[Total required Latrines]]-(WWWW[[#This Row],['#_of_sanitary_fly-proof_HH_latrines]]))</f>
        <v>96</v>
      </c>
      <c r="BJ139" s="479">
        <f>1-WWWW[[#This Row],[% people access to functioning Latrine]]</f>
        <v>0.77449664429530207</v>
      </c>
      <c r="BK13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280</v>
      </c>
      <c r="BL139" s="483">
        <f>IF(WWWW[[#This Row],['#_of_functional_handwashing_facilities_at_HH_level]]*6&gt;WWWW[[#This Row],[Total PoP ]],WWWW[[#This Row],[Total PoP ]],WWWW[[#This Row],['#_of_functional_handwashing_facilities_at_HH_level]]*6)</f>
        <v>0</v>
      </c>
      <c r="BM139" s="478">
        <f>IF(WWWW[[#This Row],['# people reached by regular dedicated hygiene promotion]]&gt;WWWW[[#This Row],['# People received regular supply of hygiene items]],WWWW[[#This Row],['# people reached by regular dedicated hygiene promotion]],WWWW[[#This Row],['# People received regular supply of hygiene items]])</f>
        <v>280</v>
      </c>
      <c r="BN139" s="476">
        <f>IF(WWWW[[#This Row],[HRP3]]/WWWW[[#This Row],[Total PoP ]]&gt;100%,100%,WWWW[[#This Row],[HRP3]]/WWWW[[#This Row],[Total PoP ]])</f>
        <v>0.37583892617449666</v>
      </c>
      <c r="BO139" s="479">
        <f>1-WWWW[[#This Row],[Hygiene Coverage%]]</f>
        <v>0.62416107382550334</v>
      </c>
      <c r="BP139" s="477">
        <f>WWWW[[#This Row],['# people reached by regular dedicated hygiene promotion]]/WWWW[[#This Row],[Total PoP ]]</f>
        <v>0.37583892617449666</v>
      </c>
      <c r="BQ13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39" s="478">
        <f>WWWW[[#This Row],['#_of_affected_women_and_girls_receiving_a_sufficient_quantity_of_sanitary_pads]]</f>
        <v>0</v>
      </c>
      <c r="BS139" s="524">
        <f>IF(WWWW[[#This Row],['# People with access to soap]]&gt;WWWW[[#This Row],['# People with access to Sanity Pads]],WWWW[[#This Row],['# People with access to soap]],WWWW[[#This Row],['# People with access to Sanity Pads]])</f>
        <v>0</v>
      </c>
      <c r="BT139" s="483" t="str">
        <f>IF(OR(WWWW[[#This Row],['#of students in school]]="",WWWW[[#This Row],['#of students in school]]=0),"No","Yes")</f>
        <v>No</v>
      </c>
      <c r="BU139" s="480" t="str">
        <f>VLOOKUP(WWWW[[#This Row],[Village  Name]],SiteDB6[[Site Name]:[Location Type 1]],9,FALSE)</f>
        <v>Village</v>
      </c>
      <c r="BV139" s="480" t="str">
        <f>VLOOKUP(WWWW[[#This Row],[Village  Name]],SiteDB6[[Site Name]:[Type of Accommodation]],10,FALSE)</f>
        <v>Village</v>
      </c>
      <c r="BW139" s="480" t="str">
        <f>VLOOKUP(WWWW[[#This Row],[Village  Name]],SiteDB6[[Site Name]:[Ethnic or GCA/NGCA]],11,FALSE)</f>
        <v>Rakhine</v>
      </c>
      <c r="BX139" s="480">
        <f>VLOOKUP(WWWW[[#This Row],[Village  Name]],SiteDB6[[Site Name]:[Lat]],12,FALSE)</f>
        <v>20.16259956</v>
      </c>
      <c r="BY139" s="480">
        <f>VLOOKUP(WWWW[[#This Row],[Village  Name]],SiteDB6[[Site Name]:[Long]],13,FALSE)</f>
        <v>92.834457400000005</v>
      </c>
      <c r="BZ139" s="480">
        <f>VLOOKUP(WWWW[[#This Row],[Village  Name]],SiteDB6[[Site Name]:[Pcode]],3,FALSE)</f>
        <v>196210</v>
      </c>
      <c r="CA139" s="480" t="str">
        <f t="shared" si="5"/>
        <v>Covered</v>
      </c>
      <c r="CB139" s="505"/>
    </row>
    <row r="140" spans="1:96">
      <c r="A140" s="774" t="s">
        <v>3150</v>
      </c>
      <c r="B140" s="774" t="s">
        <v>2283</v>
      </c>
      <c r="C140" s="415" t="s">
        <v>2283</v>
      </c>
      <c r="D140" s="415" t="s">
        <v>39</v>
      </c>
      <c r="E140" s="415" t="s">
        <v>2648</v>
      </c>
      <c r="F140" s="415" t="s">
        <v>295</v>
      </c>
      <c r="G140" s="644" t="str">
        <f>VLOOKUP(WWWW[[#This Row],[Village  Name]],SiteDB6[[Site Name]:[Location Type]],8,FALSE)</f>
        <v>Village</v>
      </c>
      <c r="H140" s="415" t="s">
        <v>421</v>
      </c>
      <c r="I140" s="524">
        <v>758</v>
      </c>
      <c r="J140" s="524">
        <v>5579</v>
      </c>
      <c r="K140" s="418">
        <v>43009</v>
      </c>
      <c r="L140" s="55">
        <v>44104</v>
      </c>
      <c r="M140" s="524"/>
      <c r="N140" s="524">
        <v>0</v>
      </c>
      <c r="O140" s="524"/>
      <c r="P140" s="524">
        <v>16</v>
      </c>
      <c r="Q140" s="524"/>
      <c r="R140" s="524"/>
      <c r="S140" s="524"/>
      <c r="T140" s="524"/>
      <c r="U140" s="551"/>
      <c r="V140" s="524">
        <v>158</v>
      </c>
      <c r="W140" s="524"/>
      <c r="X140" s="524"/>
      <c r="Y140" s="524"/>
      <c r="Z140" s="524"/>
      <c r="AA140" s="524"/>
      <c r="AB140" s="524"/>
      <c r="AC140" s="551"/>
      <c r="AD140" s="524">
        <v>116</v>
      </c>
      <c r="AE140" s="524">
        <v>645</v>
      </c>
      <c r="AF140" s="524">
        <v>135</v>
      </c>
      <c r="AG140" s="524">
        <v>164</v>
      </c>
      <c r="AH140" s="524"/>
      <c r="AI140" s="524"/>
      <c r="AJ140" s="524"/>
      <c r="AK140" s="524"/>
      <c r="AL140" s="524">
        <v>760</v>
      </c>
      <c r="AM140" s="524"/>
      <c r="AN140" s="551"/>
      <c r="AO140" s="477">
        <v>1</v>
      </c>
      <c r="AP140" s="477"/>
      <c r="AQ140" s="524"/>
      <c r="AR140" s="524"/>
      <c r="AS140" s="524"/>
      <c r="AT14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40" s="483">
        <f>WWWW[[#This Row],[%Equitable and continuous access to sufficient quantity of safe drinking water]]*WWWW[[#This Row],[Total PoP ]]</f>
        <v>5579</v>
      </c>
      <c r="AV14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40" s="483">
        <f>WWWW[[#This Row],[% Access to unimproved water points]]*WWWW[[#This Row],[Total PoP ]]</f>
        <v>0</v>
      </c>
      <c r="AX14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4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5579</v>
      </c>
      <c r="AZ140" s="483">
        <f>WWWW[[#This Row],[HRP1]]/250</f>
        <v>22.315999999999999</v>
      </c>
      <c r="BA140" s="476">
        <f>1-WWWW[[#This Row],[% Equitable and continuous access to sufficient quantity of domestic water]]</f>
        <v>0</v>
      </c>
      <c r="BB140" s="483">
        <f>WWWW[[#This Row],[%equitable and continuous access to sufficient quantity of safe drinking and domestic water''s GAP]]*WWWW[[#This Row],[Total PoP ]]</f>
        <v>0</v>
      </c>
      <c r="BC140" s="478">
        <f>IF(WWWW[[#This Row],[Total required water points]]-WWWW[[#This Row],['#Water points coverage]]&lt;0,0,WWWW[[#This Row],[Total required water points]]-WWWW[[#This Row],['#Water points coverage]])</f>
        <v>0</v>
      </c>
      <c r="BD140" s="478">
        <f>ROUND(IF(WWWW[[#This Row],[Total PoP ]]&lt;250,1,WWWW[[#This Row],[Total PoP ]]/250),0)</f>
        <v>22</v>
      </c>
      <c r="BE14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0.16992292525542213</v>
      </c>
      <c r="BF140" s="483">
        <f>WWWW[[#This Row],[% people access to functioning Latrine]]*WWWW[[#This Row],[Total PoP ]]</f>
        <v>948.00000000000011</v>
      </c>
      <c r="BG140" s="478">
        <f>WWWW[[#This Row],['#_of_Functioning_latrines_in_school]]*50</f>
        <v>0</v>
      </c>
      <c r="BH140" s="478">
        <f>ROUND((WWWW[[#This Row],[Total PoP ]]/6),0)</f>
        <v>930</v>
      </c>
      <c r="BI140" s="478">
        <f>IF(WWWW[[#This Row],[Total required Latrines]]-(WWWW[[#This Row],['#_of_sanitary_fly-proof_HH_latrines]])&lt;0,0,WWWW[[#This Row],[Total required Latrines]]-(WWWW[[#This Row],['#_of_sanitary_fly-proof_HH_latrines]]))</f>
        <v>772</v>
      </c>
      <c r="BJ140" s="479">
        <f>1-WWWW[[#This Row],[% people access to functioning Latrine]]</f>
        <v>0.83007707474457781</v>
      </c>
      <c r="BK14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1060</v>
      </c>
      <c r="BL140" s="483">
        <f>IF(WWWW[[#This Row],['#_of_functional_handwashing_facilities_at_HH_level]]*6&gt;WWWW[[#This Row],[Total PoP ]],WWWW[[#This Row],[Total PoP ]],WWWW[[#This Row],['#_of_functional_handwashing_facilities_at_HH_level]]*6)</f>
        <v>0</v>
      </c>
      <c r="BM140" s="478">
        <f>IF(WWWW[[#This Row],['# people reached by regular dedicated hygiene promotion]]&gt;WWWW[[#This Row],['# People received regular supply of hygiene items]],WWWW[[#This Row],['# people reached by regular dedicated hygiene promotion]],WWWW[[#This Row],['# People received regular supply of hygiene items]])</f>
        <v>5579</v>
      </c>
      <c r="BN140" s="476">
        <f>IF(WWWW[[#This Row],[HRP3]]/WWWW[[#This Row],[Total PoP ]]&gt;100%,100%,WWWW[[#This Row],[HRP3]]/WWWW[[#This Row],[Total PoP ]])</f>
        <v>1</v>
      </c>
      <c r="BO140" s="479">
        <f>1-WWWW[[#This Row],[Hygiene Coverage%]]</f>
        <v>0</v>
      </c>
      <c r="BP140" s="477">
        <f>WWWW[[#This Row],['# people reached by regular dedicated hygiene promotion]]/WWWW[[#This Row],[Total PoP ]]</f>
        <v>0.18999820756407959</v>
      </c>
      <c r="BQ14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5579</v>
      </c>
      <c r="BR140" s="478">
        <f>WWWW[[#This Row],['#_of_affected_women_and_girls_receiving_a_sufficient_quantity_of_sanitary_pads]]</f>
        <v>0</v>
      </c>
      <c r="BS140" s="524">
        <f>IF(WWWW[[#This Row],['# People with access to soap]]&gt;WWWW[[#This Row],['# People with access to Sanity Pads]],WWWW[[#This Row],['# People with access to soap]],WWWW[[#This Row],['# People with access to Sanity Pads]])</f>
        <v>5579</v>
      </c>
      <c r="BT140" s="483" t="str">
        <f>IF(OR(WWWW[[#This Row],['#of students in school]]="",WWWW[[#This Row],['#of students in school]]=0),"No","Yes")</f>
        <v>No</v>
      </c>
      <c r="BU140" s="480" t="str">
        <f>VLOOKUP(WWWW[[#This Row],[Village  Name]],SiteDB6[[Site Name]:[Location Type 1]],9,FALSE)</f>
        <v>Village</v>
      </c>
      <c r="BV140" s="480" t="str">
        <f>VLOOKUP(WWWW[[#This Row],[Village  Name]],SiteDB6[[Site Name]:[Type of Accommodation]],10,FALSE)</f>
        <v>Village</v>
      </c>
      <c r="BW140" s="480" t="str">
        <f>VLOOKUP(WWWW[[#This Row],[Village  Name]],SiteDB6[[Site Name]:[Ethnic or GCA/NGCA]],11,FALSE)</f>
        <v>Muslim</v>
      </c>
      <c r="BX140" s="480">
        <f>VLOOKUP(WWWW[[#This Row],[Village  Name]],SiteDB6[[Site Name]:[Lat]],12,FALSE)</f>
        <v>20.15736008</v>
      </c>
      <c r="BY140" s="480">
        <f>VLOOKUP(WWWW[[#This Row],[Village  Name]],SiteDB6[[Site Name]:[Long]],13,FALSE)</f>
        <v>92.838653559999997</v>
      </c>
      <c r="BZ140" s="480">
        <f>VLOOKUP(WWWW[[#This Row],[Village  Name]],SiteDB6[[Site Name]:[Pcode]],3,FALSE)</f>
        <v>196211</v>
      </c>
      <c r="CA140" s="480" t="str">
        <f t="shared" si="5"/>
        <v>Covered</v>
      </c>
      <c r="CB140" s="505"/>
    </row>
    <row r="141" spans="1:96">
      <c r="A141" s="774" t="s">
        <v>3150</v>
      </c>
      <c r="B141" s="774" t="s">
        <v>2283</v>
      </c>
      <c r="C141" s="415" t="s">
        <v>2283</v>
      </c>
      <c r="D141" s="415" t="s">
        <v>39</v>
      </c>
      <c r="E141" s="415" t="s">
        <v>2648</v>
      </c>
      <c r="F141" s="415" t="s">
        <v>295</v>
      </c>
      <c r="G141" s="644" t="str">
        <f>VLOOKUP(WWWW[[#This Row],[Village  Name]],SiteDB6[[Site Name]:[Location Type]],8,FALSE)</f>
        <v>Village</v>
      </c>
      <c r="H141" s="415" t="s">
        <v>417</v>
      </c>
      <c r="I141" s="524">
        <v>427</v>
      </c>
      <c r="J141" s="524">
        <v>2427</v>
      </c>
      <c r="K141" s="418">
        <v>43009</v>
      </c>
      <c r="L141" s="55">
        <v>44104</v>
      </c>
      <c r="M141" s="524"/>
      <c r="N141" s="524">
        <v>0</v>
      </c>
      <c r="O141" s="524"/>
      <c r="P141" s="524">
        <v>18</v>
      </c>
      <c r="Q141" s="524"/>
      <c r="R141" s="524"/>
      <c r="S141" s="524"/>
      <c r="T141" s="524"/>
      <c r="U141" s="551"/>
      <c r="V141" s="524">
        <v>35</v>
      </c>
      <c r="W141" s="524"/>
      <c r="X141" s="524"/>
      <c r="Y141" s="524"/>
      <c r="Z141" s="524"/>
      <c r="AA141" s="524"/>
      <c r="AB141" s="524"/>
      <c r="AC141" s="551"/>
      <c r="AD141" s="524">
        <v>122</v>
      </c>
      <c r="AE141" s="524">
        <v>287</v>
      </c>
      <c r="AF141" s="524">
        <v>591</v>
      </c>
      <c r="AG141" s="524">
        <v>566</v>
      </c>
      <c r="AH141" s="524"/>
      <c r="AI141" s="524"/>
      <c r="AJ141" s="524"/>
      <c r="AK141" s="524"/>
      <c r="AL141" s="524">
        <v>423</v>
      </c>
      <c r="AM141" s="524"/>
      <c r="AN141" s="551"/>
      <c r="AO141" s="477">
        <v>0.92</v>
      </c>
      <c r="AP141" s="477"/>
      <c r="AQ141" s="524"/>
      <c r="AR141" s="524"/>
      <c r="AS141" s="524"/>
      <c r="AT14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41" s="483">
        <f>WWWW[[#This Row],[%Equitable and continuous access to sufficient quantity of safe drinking water]]*WWWW[[#This Row],[Total PoP ]]</f>
        <v>2427</v>
      </c>
      <c r="AV14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41" s="483">
        <f>WWWW[[#This Row],[% Access to unimproved water points]]*WWWW[[#This Row],[Total PoP ]]</f>
        <v>0</v>
      </c>
      <c r="AX14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4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2427</v>
      </c>
      <c r="AZ141" s="483">
        <f>WWWW[[#This Row],[HRP1]]/250</f>
        <v>9.7080000000000002</v>
      </c>
      <c r="BA141" s="476">
        <f>1-WWWW[[#This Row],[% Equitable and continuous access to sufficient quantity of domestic water]]</f>
        <v>0</v>
      </c>
      <c r="BB141" s="483">
        <f>WWWW[[#This Row],[%equitable and continuous access to sufficient quantity of safe drinking and domestic water''s GAP]]*WWWW[[#This Row],[Total PoP ]]</f>
        <v>0</v>
      </c>
      <c r="BC141" s="478">
        <f>IF(WWWW[[#This Row],[Total required water points]]-WWWW[[#This Row],['#Water points coverage]]&lt;0,0,WWWW[[#This Row],[Total required water points]]-WWWW[[#This Row],['#Water points coverage]])</f>
        <v>0.29199999999999982</v>
      </c>
      <c r="BD141" s="478">
        <f>ROUND(IF(WWWW[[#This Row],[Total PoP ]]&lt;250,1,WWWW[[#This Row],[Total PoP ]]/250),0)</f>
        <v>10</v>
      </c>
      <c r="BE14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8.6526576019777507E-2</v>
      </c>
      <c r="BF141" s="483">
        <f>WWWW[[#This Row],[% people access to functioning Latrine]]*WWWW[[#This Row],[Total PoP ]]</f>
        <v>210</v>
      </c>
      <c r="BG141" s="478">
        <f>WWWW[[#This Row],['#_of_Functioning_latrines_in_school]]*50</f>
        <v>0</v>
      </c>
      <c r="BH141" s="478">
        <f>ROUND((WWWW[[#This Row],[Total PoP ]]/6),0)</f>
        <v>405</v>
      </c>
      <c r="BI141" s="478">
        <f>IF(WWWW[[#This Row],[Total required Latrines]]-(WWWW[[#This Row],['#_of_sanitary_fly-proof_HH_latrines]])&lt;0,0,WWWW[[#This Row],[Total required Latrines]]-(WWWW[[#This Row],['#_of_sanitary_fly-proof_HH_latrines]]))</f>
        <v>370</v>
      </c>
      <c r="BJ141" s="479">
        <f>1-WWWW[[#This Row],[% people access to functioning Latrine]]</f>
        <v>0.91347342398022247</v>
      </c>
      <c r="BK14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1566</v>
      </c>
      <c r="BL141" s="483">
        <f>IF(WWWW[[#This Row],['#_of_functional_handwashing_facilities_at_HH_level]]*6&gt;WWWW[[#This Row],[Total PoP ]],WWWW[[#This Row],[Total PoP ]],WWWW[[#This Row],['#_of_functional_handwashing_facilities_at_HH_level]]*6)</f>
        <v>0</v>
      </c>
      <c r="BM141" s="478">
        <f>IF(WWWW[[#This Row],['# people reached by regular dedicated hygiene promotion]]&gt;WWWW[[#This Row],['# People received regular supply of hygiene items]],WWWW[[#This Row],['# people reached by regular dedicated hygiene promotion]],WWWW[[#This Row],['# People received regular supply of hygiene items]])</f>
        <v>2427</v>
      </c>
      <c r="BN141" s="476">
        <f>IF(WWWW[[#This Row],[HRP3]]/WWWW[[#This Row],[Total PoP ]]&gt;100%,100%,WWWW[[#This Row],[HRP3]]/WWWW[[#This Row],[Total PoP ]])</f>
        <v>1</v>
      </c>
      <c r="BO141" s="479">
        <f>1-WWWW[[#This Row],[Hygiene Coverage%]]</f>
        <v>0</v>
      </c>
      <c r="BP141" s="477">
        <f>WWWW[[#This Row],['# people reached by regular dedicated hygiene promotion]]/WWWW[[#This Row],[Total PoP ]]</f>
        <v>0.64524103831891222</v>
      </c>
      <c r="BQ14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2427</v>
      </c>
      <c r="BR141" s="478">
        <f>WWWW[[#This Row],['#_of_affected_women_and_girls_receiving_a_sufficient_quantity_of_sanitary_pads]]</f>
        <v>0</v>
      </c>
      <c r="BS141" s="524">
        <f>IF(WWWW[[#This Row],['# People with access to soap]]&gt;WWWW[[#This Row],['# People with access to Sanity Pads]],WWWW[[#This Row],['# People with access to soap]],WWWW[[#This Row],['# People with access to Sanity Pads]])</f>
        <v>2427</v>
      </c>
      <c r="BT141" s="483" t="str">
        <f>IF(OR(WWWW[[#This Row],['#of students in school]]="",WWWW[[#This Row],['#of students in school]]=0),"No","Yes")</f>
        <v>No</v>
      </c>
      <c r="BU141" s="480" t="str">
        <f>VLOOKUP(WWWW[[#This Row],[Village  Name]],SiteDB6[[Site Name]:[Location Type 1]],9,FALSE)</f>
        <v>Village</v>
      </c>
      <c r="BV141" s="480" t="str">
        <f>VLOOKUP(WWWW[[#This Row],[Village  Name]],SiteDB6[[Site Name]:[Type of Accommodation]],10,FALSE)</f>
        <v>Village</v>
      </c>
      <c r="BW141" s="480" t="str">
        <f>VLOOKUP(WWWW[[#This Row],[Village  Name]],SiteDB6[[Site Name]:[Ethnic or GCA/NGCA]],11,FALSE)</f>
        <v>Muslim</v>
      </c>
      <c r="BX141" s="480">
        <f>VLOOKUP(WWWW[[#This Row],[Village  Name]],SiteDB6[[Site Name]:[Lat]],12,FALSE)</f>
        <v>20.147863431600001</v>
      </c>
      <c r="BY141" s="480">
        <f>VLOOKUP(WWWW[[#This Row],[Village  Name]],SiteDB6[[Site Name]:[Long]],13,FALSE)</f>
        <v>92.846768572000002</v>
      </c>
      <c r="BZ141" s="480">
        <f>VLOOKUP(WWWW[[#This Row],[Village  Name]],SiteDB6[[Site Name]:[Pcode]],3,FALSE)</f>
        <v>196209</v>
      </c>
      <c r="CA141" s="480" t="str">
        <f t="shared" si="5"/>
        <v>Covered</v>
      </c>
      <c r="CB141" s="505"/>
    </row>
    <row r="142" spans="1:96">
      <c r="A142" s="774" t="s">
        <v>3150</v>
      </c>
      <c r="B142" s="774" t="s">
        <v>314</v>
      </c>
      <c r="C142" s="415" t="s">
        <v>314</v>
      </c>
      <c r="D142" s="415" t="s">
        <v>327</v>
      </c>
      <c r="E142" s="415" t="s">
        <v>2648</v>
      </c>
      <c r="F142" s="415" t="s">
        <v>295</v>
      </c>
      <c r="G142" s="644" t="str">
        <f>VLOOKUP(WWWW[[#This Row],[Village  Name]],SiteDB6[[Site Name]:[Location Type]],8,FALSE)</f>
        <v>Village</v>
      </c>
      <c r="H142" s="415" t="s">
        <v>2226</v>
      </c>
      <c r="I142" s="524">
        <v>452</v>
      </c>
      <c r="J142" s="524">
        <v>1901</v>
      </c>
      <c r="K142" s="418">
        <v>42736</v>
      </c>
      <c r="L142" s="55">
        <v>44551</v>
      </c>
      <c r="M142" s="524"/>
      <c r="N142" s="524"/>
      <c r="O142" s="524"/>
      <c r="P142" s="524"/>
      <c r="Q142" s="524"/>
      <c r="R142" s="524"/>
      <c r="S142" s="524"/>
      <c r="T142" s="524"/>
      <c r="U142" s="551"/>
      <c r="V142" s="524"/>
      <c r="W142" s="524" t="s">
        <v>130</v>
      </c>
      <c r="X142" s="524"/>
      <c r="Y142" s="524"/>
      <c r="Z142" s="524"/>
      <c r="AA142" s="524"/>
      <c r="AB142" s="524"/>
      <c r="AC142" s="551"/>
      <c r="AD142" s="524"/>
      <c r="AE142" s="524"/>
      <c r="AF142" s="524"/>
      <c r="AG142" s="524"/>
      <c r="AH142" s="524"/>
      <c r="AI142" s="524"/>
      <c r="AJ142" s="524"/>
      <c r="AK142" s="524"/>
      <c r="AL142" s="524"/>
      <c r="AM142" s="524"/>
      <c r="AN142" s="551"/>
      <c r="AO142" s="477"/>
      <c r="AP142" s="477"/>
      <c r="AQ142" s="524"/>
      <c r="AR142" s="524"/>
      <c r="AS142" s="524"/>
      <c r="AT14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42" s="483">
        <f>WWWW[[#This Row],[%Equitable and continuous access to sufficient quantity of safe drinking water]]*WWWW[[#This Row],[Total PoP ]]</f>
        <v>0</v>
      </c>
      <c r="AV14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42" s="483">
        <f>WWWW[[#This Row],[% Access to unimproved water points]]*WWWW[[#This Row],[Total PoP ]]</f>
        <v>0</v>
      </c>
      <c r="AX14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4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42" s="483">
        <f>WWWW[[#This Row],[HRP1]]/250</f>
        <v>0</v>
      </c>
      <c r="BA142" s="476">
        <f>1-WWWW[[#This Row],[% Equitable and continuous access to sufficient quantity of domestic water]]</f>
        <v>1</v>
      </c>
      <c r="BB142" s="483">
        <f>WWWW[[#This Row],[%equitable and continuous access to sufficient quantity of safe drinking and domestic water''s GAP]]*WWWW[[#This Row],[Total PoP ]]</f>
        <v>1901</v>
      </c>
      <c r="BC142" s="478">
        <f>IF(WWWW[[#This Row],[Total required water points]]-WWWW[[#This Row],['#Water points coverage]]&lt;0,0,WWWW[[#This Row],[Total required water points]]-WWWW[[#This Row],['#Water points coverage]])</f>
        <v>8</v>
      </c>
      <c r="BD142" s="478">
        <f>ROUND(IF(WWWW[[#This Row],[Total PoP ]]&lt;250,1,WWWW[[#This Row],[Total PoP ]]/250),0)</f>
        <v>8</v>
      </c>
      <c r="BE14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42" s="483">
        <f>WWWW[[#This Row],[% people access to functioning Latrine]]*WWWW[[#This Row],[Total PoP ]]</f>
        <v>0</v>
      </c>
      <c r="BG142" s="478">
        <f>WWWW[[#This Row],['#_of_Functioning_latrines_in_school]]*50</f>
        <v>0</v>
      </c>
      <c r="BH142" s="478">
        <f>ROUND((WWWW[[#This Row],[Total PoP ]]/6),0)</f>
        <v>317</v>
      </c>
      <c r="BI142" s="478">
        <f>IF(WWWW[[#This Row],[Total required Latrines]]-(WWWW[[#This Row],['#_of_sanitary_fly-proof_HH_latrines]])&lt;0,0,WWWW[[#This Row],[Total required Latrines]]-(WWWW[[#This Row],['#_of_sanitary_fly-proof_HH_latrines]]))</f>
        <v>317</v>
      </c>
      <c r="BJ142" s="479">
        <f>1-WWWW[[#This Row],[% people access to functioning Latrine]]</f>
        <v>1</v>
      </c>
      <c r="BK14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42" s="483">
        <f>IF(WWWW[[#This Row],['#_of_functional_handwashing_facilities_at_HH_level]]*6&gt;WWWW[[#This Row],[Total PoP ]],WWWW[[#This Row],[Total PoP ]],WWWW[[#This Row],['#_of_functional_handwashing_facilities_at_HH_level]]*6)</f>
        <v>0</v>
      </c>
      <c r="BM142" s="478">
        <f>IF(WWWW[[#This Row],['# people reached by regular dedicated hygiene promotion]]&gt;WWWW[[#This Row],['# People received regular supply of hygiene items]],WWWW[[#This Row],['# people reached by regular dedicated hygiene promotion]],WWWW[[#This Row],['# People received regular supply of hygiene items]])</f>
        <v>0</v>
      </c>
      <c r="BN142" s="476">
        <f>IF(WWWW[[#This Row],[HRP3]]/WWWW[[#This Row],[Total PoP ]]&gt;100%,100%,WWWW[[#This Row],[HRP3]]/WWWW[[#This Row],[Total PoP ]])</f>
        <v>0</v>
      </c>
      <c r="BO142" s="479">
        <f>1-WWWW[[#This Row],[Hygiene Coverage%]]</f>
        <v>1</v>
      </c>
      <c r="BP142" s="477">
        <f>WWWW[[#This Row],['# people reached by regular dedicated hygiene promotion]]/WWWW[[#This Row],[Total PoP ]]</f>
        <v>0</v>
      </c>
      <c r="BQ14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42" s="478">
        <f>WWWW[[#This Row],['#_of_affected_women_and_girls_receiving_a_sufficient_quantity_of_sanitary_pads]]</f>
        <v>0</v>
      </c>
      <c r="BS142" s="524">
        <f>IF(WWWW[[#This Row],['# People with access to soap]]&gt;WWWW[[#This Row],['# People with access to Sanity Pads]],WWWW[[#This Row],['# People with access to soap]],WWWW[[#This Row],['# People with access to Sanity Pads]])</f>
        <v>0</v>
      </c>
      <c r="BT142" s="483" t="str">
        <f>IF(OR(WWWW[[#This Row],['#of students in school]]="",WWWW[[#This Row],['#of students in school]]=0),"No","Yes")</f>
        <v>No</v>
      </c>
      <c r="BU142" s="480" t="str">
        <f>VLOOKUP(WWWW[[#This Row],[Village  Name]],SiteDB6[[Site Name]:[Location Type 1]],9,FALSE)</f>
        <v>Village</v>
      </c>
      <c r="BV142" s="480" t="str">
        <f>VLOOKUP(WWWW[[#This Row],[Village  Name]],SiteDB6[[Site Name]:[Type of Accommodation]],10,FALSE)</f>
        <v>Village</v>
      </c>
      <c r="BW142" s="480">
        <f>VLOOKUP(WWWW[[#This Row],[Village  Name]],SiteDB6[[Site Name]:[Ethnic or GCA/NGCA]],11,FALSE)</f>
        <v>0</v>
      </c>
      <c r="BX142" s="480">
        <f>VLOOKUP(WWWW[[#This Row],[Village  Name]],SiteDB6[[Site Name]:[Lat]],12,FALSE)</f>
        <v>20.760820389999999</v>
      </c>
      <c r="BY142" s="480">
        <f>VLOOKUP(WWWW[[#This Row],[Village  Name]],SiteDB6[[Site Name]:[Long]],13,FALSE)</f>
        <v>92.960083010000005</v>
      </c>
      <c r="BZ142" s="480">
        <f>VLOOKUP(WWWW[[#This Row],[Village  Name]],SiteDB6[[Site Name]:[Pcode]],3,FALSE)</f>
        <v>196893</v>
      </c>
      <c r="CA142" s="480" t="str">
        <f t="shared" si="5"/>
        <v>Covered</v>
      </c>
      <c r="CB142" s="505"/>
    </row>
    <row r="143" spans="1:96">
      <c r="A143" s="774" t="s">
        <v>3150</v>
      </c>
      <c r="B143" s="774" t="s">
        <v>2282</v>
      </c>
      <c r="C143" s="415" t="s">
        <v>2282</v>
      </c>
      <c r="D143" s="415" t="s">
        <v>39</v>
      </c>
      <c r="E143" s="415" t="s">
        <v>2648</v>
      </c>
      <c r="F143" s="415" t="s">
        <v>295</v>
      </c>
      <c r="G143" s="644" t="str">
        <f>VLOOKUP(WWWW[[#This Row],[Village  Name]],SiteDB6[[Site Name]:[Location Type]],8,FALSE)</f>
        <v>Village</v>
      </c>
      <c r="H143" s="415" t="s">
        <v>434</v>
      </c>
      <c r="I143" s="524">
        <v>17</v>
      </c>
      <c r="J143" s="524">
        <v>74</v>
      </c>
      <c r="K143" s="418">
        <v>43009</v>
      </c>
      <c r="L143" s="55">
        <v>44104</v>
      </c>
      <c r="M143" s="524"/>
      <c r="N143" s="524">
        <v>0</v>
      </c>
      <c r="O143" s="524"/>
      <c r="P143" s="524"/>
      <c r="Q143" s="524"/>
      <c r="R143" s="524"/>
      <c r="S143" s="524"/>
      <c r="T143" s="524"/>
      <c r="U143" s="551"/>
      <c r="V143" s="524"/>
      <c r="W143" s="524"/>
      <c r="X143" s="524"/>
      <c r="Y143" s="524"/>
      <c r="Z143" s="524"/>
      <c r="AA143" s="524"/>
      <c r="AB143" s="524"/>
      <c r="AC143" s="551"/>
      <c r="AD143" s="524"/>
      <c r="AE143" s="524"/>
      <c r="AF143" s="524"/>
      <c r="AG143" s="524"/>
      <c r="AH143" s="524"/>
      <c r="AI143" s="524"/>
      <c r="AJ143" s="524"/>
      <c r="AK143" s="524"/>
      <c r="AL143" s="524"/>
      <c r="AM143" s="524"/>
      <c r="AN143" s="551"/>
      <c r="AO143" s="477"/>
      <c r="AP143" s="477"/>
      <c r="AQ143" s="524"/>
      <c r="AR143" s="524"/>
      <c r="AS143" s="524"/>
      <c r="AT14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43" s="483">
        <f>WWWW[[#This Row],[%Equitable and continuous access to sufficient quantity of safe drinking water]]*WWWW[[#This Row],[Total PoP ]]</f>
        <v>0</v>
      </c>
      <c r="AV14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43" s="483">
        <f>WWWW[[#This Row],[% Access to unimproved water points]]*WWWW[[#This Row],[Total PoP ]]</f>
        <v>0</v>
      </c>
      <c r="AX14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4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43" s="483">
        <f>WWWW[[#This Row],[HRP1]]/250</f>
        <v>0</v>
      </c>
      <c r="BA143" s="476">
        <f>1-WWWW[[#This Row],[% Equitable and continuous access to sufficient quantity of domestic water]]</f>
        <v>1</v>
      </c>
      <c r="BB143" s="483">
        <f>WWWW[[#This Row],[%equitable and continuous access to sufficient quantity of safe drinking and domestic water''s GAP]]*WWWW[[#This Row],[Total PoP ]]</f>
        <v>74</v>
      </c>
      <c r="BC143" s="478">
        <f>IF(WWWW[[#This Row],[Total required water points]]-WWWW[[#This Row],['#Water points coverage]]&lt;0,0,WWWW[[#This Row],[Total required water points]]-WWWW[[#This Row],['#Water points coverage]])</f>
        <v>1</v>
      </c>
      <c r="BD143" s="478">
        <f>ROUND(IF(WWWW[[#This Row],[Total PoP ]]&lt;250,1,WWWW[[#This Row],[Total PoP ]]/250),0)</f>
        <v>1</v>
      </c>
      <c r="BE14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43" s="483">
        <f>WWWW[[#This Row],[% people access to functioning Latrine]]*WWWW[[#This Row],[Total PoP ]]</f>
        <v>0</v>
      </c>
      <c r="BG143" s="478">
        <f>WWWW[[#This Row],['#_of_Functioning_latrines_in_school]]*50</f>
        <v>0</v>
      </c>
      <c r="BH143" s="478">
        <f>ROUND((WWWW[[#This Row],[Total PoP ]]/6),0)</f>
        <v>12</v>
      </c>
      <c r="BI143" s="478">
        <f>IF(WWWW[[#This Row],[Total required Latrines]]-(WWWW[[#This Row],['#_of_sanitary_fly-proof_HH_latrines]])&lt;0,0,WWWW[[#This Row],[Total required Latrines]]-(WWWW[[#This Row],['#_of_sanitary_fly-proof_HH_latrines]]))</f>
        <v>12</v>
      </c>
      <c r="BJ143" s="479">
        <f>1-WWWW[[#This Row],[% people access to functioning Latrine]]</f>
        <v>1</v>
      </c>
      <c r="BK14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43" s="483">
        <f>IF(WWWW[[#This Row],['#_of_functional_handwashing_facilities_at_HH_level]]*6&gt;WWWW[[#This Row],[Total PoP ]],WWWW[[#This Row],[Total PoP ]],WWWW[[#This Row],['#_of_functional_handwashing_facilities_at_HH_level]]*6)</f>
        <v>0</v>
      </c>
      <c r="BM143" s="478">
        <f>IF(WWWW[[#This Row],['# people reached by regular dedicated hygiene promotion]]&gt;WWWW[[#This Row],['# People received regular supply of hygiene items]],WWWW[[#This Row],['# people reached by regular dedicated hygiene promotion]],WWWW[[#This Row],['# People received regular supply of hygiene items]])</f>
        <v>0</v>
      </c>
      <c r="BN143" s="476">
        <f>IF(WWWW[[#This Row],[HRP3]]/WWWW[[#This Row],[Total PoP ]]&gt;100%,100%,WWWW[[#This Row],[HRP3]]/WWWW[[#This Row],[Total PoP ]])</f>
        <v>0</v>
      </c>
      <c r="BO143" s="479">
        <f>1-WWWW[[#This Row],[Hygiene Coverage%]]</f>
        <v>1</v>
      </c>
      <c r="BP143" s="477">
        <f>WWWW[[#This Row],['# people reached by regular dedicated hygiene promotion]]/WWWW[[#This Row],[Total PoP ]]</f>
        <v>0</v>
      </c>
      <c r="BQ14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43" s="478">
        <f>WWWW[[#This Row],['#_of_affected_women_and_girls_receiving_a_sufficient_quantity_of_sanitary_pads]]</f>
        <v>0</v>
      </c>
      <c r="BS143" s="524">
        <f>IF(WWWW[[#This Row],['# People with access to soap]]&gt;WWWW[[#This Row],['# People with access to Sanity Pads]],WWWW[[#This Row],['# People with access to soap]],WWWW[[#This Row],['# People with access to Sanity Pads]])</f>
        <v>0</v>
      </c>
      <c r="BT143" s="483" t="str">
        <f>IF(OR(WWWW[[#This Row],['#of students in school]]="",WWWW[[#This Row],['#of students in school]]=0),"No","Yes")</f>
        <v>No</v>
      </c>
      <c r="BU143" s="480" t="str">
        <f>VLOOKUP(WWWW[[#This Row],[Village  Name]],SiteDB6[[Site Name]:[Location Type 1]],9,FALSE)</f>
        <v>Village</v>
      </c>
      <c r="BV143" s="480" t="str">
        <f>VLOOKUP(WWWW[[#This Row],[Village  Name]],SiteDB6[[Site Name]:[Type of Accommodation]],10,FALSE)</f>
        <v>Village</v>
      </c>
      <c r="BW143" s="480" t="str">
        <f>VLOOKUP(WWWW[[#This Row],[Village  Name]],SiteDB6[[Site Name]:[Ethnic or GCA/NGCA]],11,FALSE)</f>
        <v>Muslim</v>
      </c>
      <c r="BX143" s="480">
        <f>VLOOKUP(WWWW[[#This Row],[Village  Name]],SiteDB6[[Site Name]:[Lat]],12,FALSE)</f>
        <v>20.193460460000001</v>
      </c>
      <c r="BY143" s="480">
        <f>VLOOKUP(WWWW[[#This Row],[Village  Name]],SiteDB6[[Site Name]:[Long]],13,FALSE)</f>
        <v>92.867782590000004</v>
      </c>
      <c r="BZ143" s="480">
        <f>VLOOKUP(WWWW[[#This Row],[Village  Name]],SiteDB6[[Site Name]:[Pcode]],3,FALSE)</f>
        <v>196147</v>
      </c>
      <c r="CA143" s="480" t="str">
        <f t="shared" si="5"/>
        <v>Covered</v>
      </c>
      <c r="CB143" s="505"/>
    </row>
    <row r="144" spans="1:96">
      <c r="A144" s="774" t="s">
        <v>3150</v>
      </c>
      <c r="B144" s="774" t="s">
        <v>266</v>
      </c>
      <c r="C144" s="415" t="s">
        <v>266</v>
      </c>
      <c r="D144" s="415" t="s">
        <v>3151</v>
      </c>
      <c r="E144" s="415" t="s">
        <v>2648</v>
      </c>
      <c r="F144" s="415" t="s">
        <v>402</v>
      </c>
      <c r="G144" s="644" t="str">
        <f>VLOOKUP(WWWW[[#This Row],[Village  Name]],SiteDB6[[Site Name]:[Location Type]],8,FALSE)</f>
        <v>Village</v>
      </c>
      <c r="H144" s="415" t="s">
        <v>411</v>
      </c>
      <c r="I144" s="524">
        <v>400</v>
      </c>
      <c r="J144" s="524">
        <v>2050</v>
      </c>
      <c r="K144" s="418">
        <v>43525</v>
      </c>
      <c r="L144" s="55" t="s">
        <v>3156</v>
      </c>
      <c r="M144" s="524"/>
      <c r="N144" s="524">
        <v>62</v>
      </c>
      <c r="O144" s="524">
        <v>0</v>
      </c>
      <c r="P144" s="524">
        <v>0</v>
      </c>
      <c r="Q144" s="524">
        <v>1</v>
      </c>
      <c r="R144" s="524"/>
      <c r="S144" s="524"/>
      <c r="T144" s="524"/>
      <c r="U144" s="551"/>
      <c r="V144" s="524"/>
      <c r="W144" s="524" t="s">
        <v>130</v>
      </c>
      <c r="X144" s="524"/>
      <c r="Y144" s="524"/>
      <c r="Z144" s="524"/>
      <c r="AA144" s="524"/>
      <c r="AB144" s="524"/>
      <c r="AC144" s="551" t="s">
        <v>3161</v>
      </c>
      <c r="AD144" s="524">
        <v>417</v>
      </c>
      <c r="AE144" s="524">
        <v>463</v>
      </c>
      <c r="AF144" s="524">
        <v>614</v>
      </c>
      <c r="AG144" s="524">
        <v>556</v>
      </c>
      <c r="AH144" s="524">
        <v>0</v>
      </c>
      <c r="AI144" s="524">
        <v>0</v>
      </c>
      <c r="AJ144" s="524">
        <v>0</v>
      </c>
      <c r="AK144" s="524">
        <v>0</v>
      </c>
      <c r="AL144" s="524">
        <v>2050</v>
      </c>
      <c r="AM144" s="524">
        <v>1019</v>
      </c>
      <c r="AN144" s="551" t="s">
        <v>3162</v>
      </c>
      <c r="AO144" s="477" t="s">
        <v>130</v>
      </c>
      <c r="AP144" s="477" t="s">
        <v>130</v>
      </c>
      <c r="AQ144" s="524">
        <v>0</v>
      </c>
      <c r="AR144" s="524"/>
      <c r="AS144" s="524">
        <v>0</v>
      </c>
      <c r="AT14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44" s="483">
        <f>WWWW[[#This Row],[%Equitable and continuous access to sufficient quantity of safe drinking water]]*WWWW[[#This Row],[Total PoP ]]</f>
        <v>0</v>
      </c>
      <c r="AV14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44" s="483">
        <f>WWWW[[#This Row],[% Access to unimproved water points]]*WWWW[[#This Row],[Total PoP ]]</f>
        <v>2050</v>
      </c>
      <c r="AX14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4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2050</v>
      </c>
      <c r="AZ144" s="483">
        <f>WWWW[[#This Row],[HRP1]]/250</f>
        <v>8.1999999999999993</v>
      </c>
      <c r="BA144" s="476">
        <f>1-WWWW[[#This Row],[% Equitable and continuous access to sufficient quantity of domestic water]]</f>
        <v>0</v>
      </c>
      <c r="BB144" s="483">
        <f>WWWW[[#This Row],[%equitable and continuous access to sufficient quantity of safe drinking and domestic water''s GAP]]*WWWW[[#This Row],[Total PoP ]]</f>
        <v>0</v>
      </c>
      <c r="BC144" s="478">
        <f>IF(WWWW[[#This Row],[Total required water points]]-WWWW[[#This Row],['#Water points coverage]]&lt;0,0,WWWW[[#This Row],[Total required water points]]-WWWW[[#This Row],['#Water points coverage]])</f>
        <v>0</v>
      </c>
      <c r="BD144" s="478">
        <f>ROUND(IF(WWWW[[#This Row],[Total PoP ]]&lt;250,1,WWWW[[#This Row],[Total PoP ]]/250),0)</f>
        <v>8</v>
      </c>
      <c r="BE14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44" s="483">
        <f>WWWW[[#This Row],[% people access to functioning Latrine]]*WWWW[[#This Row],[Total PoP ]]</f>
        <v>0</v>
      </c>
      <c r="BG144" s="478">
        <f>WWWW[[#This Row],['#_of_Functioning_latrines_in_school]]*50</f>
        <v>0</v>
      </c>
      <c r="BH144" s="478">
        <f>ROUND((WWWW[[#This Row],[Total PoP ]]/6),0)</f>
        <v>342</v>
      </c>
      <c r="BI144" s="478">
        <f>IF(WWWW[[#This Row],[Total required Latrines]]-(WWWW[[#This Row],['#_of_sanitary_fly-proof_HH_latrines]])&lt;0,0,WWWW[[#This Row],[Total required Latrines]]-(WWWW[[#This Row],['#_of_sanitary_fly-proof_HH_latrines]]))</f>
        <v>342</v>
      </c>
      <c r="BJ144" s="479">
        <f>1-WWWW[[#This Row],[% people access to functioning Latrine]]</f>
        <v>1</v>
      </c>
      <c r="BK14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2050</v>
      </c>
      <c r="BL144" s="483">
        <f>IF(WWWW[[#This Row],['#_of_functional_handwashing_facilities_at_HH_level]]*6&gt;WWWW[[#This Row],[Total PoP ]],WWWW[[#This Row],[Total PoP ]],WWWW[[#This Row],['#_of_functional_handwashing_facilities_at_HH_level]]*6)</f>
        <v>0</v>
      </c>
      <c r="BM144" s="478">
        <f>IF(WWWW[[#This Row],['# people reached by regular dedicated hygiene promotion]]&gt;WWWW[[#This Row],['# People received regular supply of hygiene items]],WWWW[[#This Row],['# people reached by regular dedicated hygiene promotion]],WWWW[[#This Row],['# People received regular supply of hygiene items]])</f>
        <v>2050</v>
      </c>
      <c r="BN144" s="476">
        <f>IF(WWWW[[#This Row],[HRP3]]/WWWW[[#This Row],[Total PoP ]]&gt;100%,100%,WWWW[[#This Row],[HRP3]]/WWWW[[#This Row],[Total PoP ]])</f>
        <v>1</v>
      </c>
      <c r="BO144" s="479">
        <f>1-WWWW[[#This Row],[Hygiene Coverage%]]</f>
        <v>0</v>
      </c>
      <c r="BP144" s="477">
        <f>WWWW[[#This Row],['# people reached by regular dedicated hygiene promotion]]/WWWW[[#This Row],[Total PoP ]]</f>
        <v>1</v>
      </c>
      <c r="BQ14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2050</v>
      </c>
      <c r="BR144" s="478">
        <f>WWWW[[#This Row],['#_of_affected_women_and_girls_receiving_a_sufficient_quantity_of_sanitary_pads]]</f>
        <v>1019</v>
      </c>
      <c r="BS144" s="524">
        <f>IF(WWWW[[#This Row],['# People with access to soap]]&gt;WWWW[[#This Row],['# People with access to Sanity Pads]],WWWW[[#This Row],['# People with access to soap]],WWWW[[#This Row],['# People with access to Sanity Pads]])</f>
        <v>2050</v>
      </c>
      <c r="BT144" s="483" t="str">
        <f>IF(OR(WWWW[[#This Row],['#of students in school]]="",WWWW[[#This Row],['#of students in school]]=0),"No","Yes")</f>
        <v>No</v>
      </c>
      <c r="BU144" s="480" t="str">
        <f>VLOOKUP(WWWW[[#This Row],[Village  Name]],SiteDB6[[Site Name]:[Location Type 1]],9,FALSE)</f>
        <v>Village</v>
      </c>
      <c r="BV144" s="480" t="str">
        <f>VLOOKUP(WWWW[[#This Row],[Village  Name]],SiteDB6[[Site Name]:[Type of Accommodation]],10,FALSE)</f>
        <v>Village</v>
      </c>
      <c r="BW144" s="480" t="str">
        <f>VLOOKUP(WWWW[[#This Row],[Village  Name]],SiteDB6[[Site Name]:[Ethnic or GCA/NGCA]],11,FALSE)</f>
        <v>Muslim</v>
      </c>
      <c r="BX144" s="480">
        <f>VLOOKUP(WWWW[[#This Row],[Village  Name]],SiteDB6[[Site Name]:[Lat]],12,FALSE)</f>
        <v>20.099340439999999</v>
      </c>
      <c r="BY144" s="480">
        <f>VLOOKUP(WWWW[[#This Row],[Village  Name]],SiteDB6[[Site Name]:[Long]],13,FALSE)</f>
        <v>92.989143369999994</v>
      </c>
      <c r="BZ144" s="480">
        <f>VLOOKUP(WWWW[[#This Row],[Village  Name]],SiteDB6[[Site Name]:[Pcode]],3,FALSE)</f>
        <v>197558</v>
      </c>
      <c r="CA144" s="480" t="str">
        <f t="shared" ref="CA144:CA145" si="6">IF(C144="none","Notcovered","Covered")</f>
        <v>Covered</v>
      </c>
      <c r="CB144" s="505"/>
    </row>
    <row r="145" spans="1:80">
      <c r="A145" s="774" t="s">
        <v>3150</v>
      </c>
      <c r="B145" s="774" t="s">
        <v>287</v>
      </c>
      <c r="C145" s="415" t="s">
        <v>287</v>
      </c>
      <c r="D145" s="415" t="s">
        <v>327</v>
      </c>
      <c r="E145" s="415" t="s">
        <v>2648</v>
      </c>
      <c r="F145" s="415" t="s">
        <v>402</v>
      </c>
      <c r="G145" s="644" t="str">
        <f>VLOOKUP(WWWW[[#This Row],[Village  Name]],SiteDB6[[Site Name]:[Location Type]],8,FALSE)</f>
        <v>Village</v>
      </c>
      <c r="H145" s="415" t="s">
        <v>2536</v>
      </c>
      <c r="I145" s="524">
        <v>36</v>
      </c>
      <c r="J145" s="524">
        <v>172</v>
      </c>
      <c r="K145" s="418">
        <v>43359</v>
      </c>
      <c r="L145" s="55">
        <v>44196</v>
      </c>
      <c r="M145" s="524">
        <v>52</v>
      </c>
      <c r="N145" s="524"/>
      <c r="O145" s="524"/>
      <c r="P145" s="524"/>
      <c r="Q145" s="524">
        <v>0</v>
      </c>
      <c r="R145" s="524"/>
      <c r="S145" s="524">
        <v>172</v>
      </c>
      <c r="T145" s="524">
        <v>0</v>
      </c>
      <c r="U145" s="551"/>
      <c r="V145" s="524">
        <v>0</v>
      </c>
      <c r="W145" s="524" t="s">
        <v>126</v>
      </c>
      <c r="X145" s="524">
        <v>0</v>
      </c>
      <c r="Y145" s="524">
        <v>2</v>
      </c>
      <c r="Z145" s="524"/>
      <c r="AA145" s="524"/>
      <c r="AB145" s="524"/>
      <c r="AC145" s="551"/>
      <c r="AD145" s="524"/>
      <c r="AE145" s="524"/>
      <c r="AF145" s="524"/>
      <c r="AG145" s="524"/>
      <c r="AH145" s="524"/>
      <c r="AI145" s="524"/>
      <c r="AJ145" s="524"/>
      <c r="AK145" s="524"/>
      <c r="AL145" s="524"/>
      <c r="AM145" s="524"/>
      <c r="AN145" s="551"/>
      <c r="AO145" s="477"/>
      <c r="AP145" s="477"/>
      <c r="AQ145" s="524"/>
      <c r="AR145" s="524"/>
      <c r="AS145" s="524"/>
      <c r="AT14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45" s="483">
        <f>WWWW[[#This Row],[%Equitable and continuous access to sufficient quantity of safe drinking water]]*WWWW[[#This Row],[Total PoP ]]</f>
        <v>0</v>
      </c>
      <c r="AV14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45" s="483">
        <f>WWWW[[#This Row],[% Access to unimproved water points]]*WWWW[[#This Row],[Total PoP ]]</f>
        <v>172</v>
      </c>
      <c r="AX14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4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172</v>
      </c>
      <c r="AZ145" s="483">
        <f>WWWW[[#This Row],[HRP1]]/250</f>
        <v>0.68799999999999994</v>
      </c>
      <c r="BA145" s="476">
        <f>1-WWWW[[#This Row],[% Equitable and continuous access to sufficient quantity of domestic water]]</f>
        <v>0</v>
      </c>
      <c r="BB145" s="483">
        <f>WWWW[[#This Row],[%equitable and continuous access to sufficient quantity of safe drinking and domestic water''s GAP]]*WWWW[[#This Row],[Total PoP ]]</f>
        <v>0</v>
      </c>
      <c r="BC145" s="478">
        <f>IF(WWWW[[#This Row],[Total required water points]]-WWWW[[#This Row],['#Water points coverage]]&lt;0,0,WWWW[[#This Row],[Total required water points]]-WWWW[[#This Row],['#Water points coverage]])</f>
        <v>0.31200000000000006</v>
      </c>
      <c r="BD145" s="478">
        <f>ROUND(IF(WWWW[[#This Row],[Total PoP ]]&lt;250,1,WWWW[[#This Row],[Total PoP ]]/250),0)</f>
        <v>1</v>
      </c>
      <c r="BE14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45" s="483">
        <f>WWWW[[#This Row],[% people access to functioning Latrine]]*WWWW[[#This Row],[Total PoP ]]</f>
        <v>0</v>
      </c>
      <c r="BG145" s="478">
        <f>WWWW[[#This Row],['#_of_Functioning_latrines_in_school]]*50</f>
        <v>0</v>
      </c>
      <c r="BH145" s="478">
        <f>ROUND((WWWW[[#This Row],[Total PoP ]]/6),0)</f>
        <v>29</v>
      </c>
      <c r="BI145" s="478">
        <f>IF(WWWW[[#This Row],[Total required Latrines]]-(WWWW[[#This Row],['#_of_sanitary_fly-proof_HH_latrines]])&lt;0,0,WWWW[[#This Row],[Total required Latrines]]-(WWWW[[#This Row],['#_of_sanitary_fly-proof_HH_latrines]]))</f>
        <v>29</v>
      </c>
      <c r="BJ145" s="479">
        <f>1-WWWW[[#This Row],[% people access to functioning Latrine]]</f>
        <v>1</v>
      </c>
      <c r="BK14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45" s="483">
        <f>IF(WWWW[[#This Row],['#_of_functional_handwashing_facilities_at_HH_level]]*6&gt;WWWW[[#This Row],[Total PoP ]],WWWW[[#This Row],[Total PoP ]],WWWW[[#This Row],['#_of_functional_handwashing_facilities_at_HH_level]]*6)</f>
        <v>0</v>
      </c>
      <c r="BM145" s="478">
        <f>IF(WWWW[[#This Row],['# people reached by regular dedicated hygiene promotion]]&gt;WWWW[[#This Row],['# People received regular supply of hygiene items]],WWWW[[#This Row],['# people reached by regular dedicated hygiene promotion]],WWWW[[#This Row],['# People received regular supply of hygiene items]])</f>
        <v>0</v>
      </c>
      <c r="BN145" s="476">
        <f>IF(WWWW[[#This Row],[HRP3]]/WWWW[[#This Row],[Total PoP ]]&gt;100%,100%,WWWW[[#This Row],[HRP3]]/WWWW[[#This Row],[Total PoP ]])</f>
        <v>0</v>
      </c>
      <c r="BO145" s="479">
        <f>1-WWWW[[#This Row],[Hygiene Coverage%]]</f>
        <v>1</v>
      </c>
      <c r="BP145" s="477">
        <f>WWWW[[#This Row],['# people reached by regular dedicated hygiene promotion]]/WWWW[[#This Row],[Total PoP ]]</f>
        <v>0</v>
      </c>
      <c r="BQ14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45" s="478">
        <f>WWWW[[#This Row],['#_of_affected_women_and_girls_receiving_a_sufficient_quantity_of_sanitary_pads]]</f>
        <v>0</v>
      </c>
      <c r="BS145" s="524">
        <f>IF(WWWW[[#This Row],['# People with access to soap]]&gt;WWWW[[#This Row],['# People with access to Sanity Pads]],WWWW[[#This Row],['# People with access to soap]],WWWW[[#This Row],['# People with access to Sanity Pads]])</f>
        <v>0</v>
      </c>
      <c r="BT145" s="483" t="str">
        <f>IF(OR(WWWW[[#This Row],['#of students in school]]="",WWWW[[#This Row],['#of students in school]]=0),"No","Yes")</f>
        <v>Yes</v>
      </c>
      <c r="BU145" s="480" t="str">
        <f>VLOOKUP(WWWW[[#This Row],[Village  Name]],SiteDB6[[Site Name]:[Location Type 1]],9,FALSE)</f>
        <v>Village</v>
      </c>
      <c r="BV145" s="480" t="str">
        <f>VLOOKUP(WWWW[[#This Row],[Village  Name]],SiteDB6[[Site Name]:[Type of Accommodation]],10,FALSE)</f>
        <v>Village</v>
      </c>
      <c r="BW145" s="480">
        <f>VLOOKUP(WWWW[[#This Row],[Village  Name]],SiteDB6[[Site Name]:[Ethnic or GCA/NGCA]],11,FALSE)</f>
        <v>0</v>
      </c>
      <c r="BX145" s="480">
        <f>VLOOKUP(WWWW[[#This Row],[Village  Name]],SiteDB6[[Site Name]:[Lat]],12,FALSE)</f>
        <v>20.005199432373001</v>
      </c>
      <c r="BY145" s="480">
        <f>VLOOKUP(WWWW[[#This Row],[Village  Name]],SiteDB6[[Site Name]:[Long]],13,FALSE)</f>
        <v>92.948463439941406</v>
      </c>
      <c r="BZ145" s="480">
        <f>VLOOKUP(WWWW[[#This Row],[Village  Name]],SiteDB6[[Site Name]:[Pcode]],3,FALSE)</f>
        <v>197565</v>
      </c>
      <c r="CA145" s="480" t="str">
        <f t="shared" si="6"/>
        <v>Covered</v>
      </c>
      <c r="CB145" s="505"/>
    </row>
    <row r="146" spans="1:80">
      <c r="A146" s="774" t="s">
        <v>3150</v>
      </c>
      <c r="B146" s="774" t="s">
        <v>293</v>
      </c>
      <c r="C146" s="774" t="s">
        <v>293</v>
      </c>
      <c r="D146" s="415" t="s">
        <v>3153</v>
      </c>
      <c r="E146" s="415" t="s">
        <v>2648</v>
      </c>
      <c r="F146" s="415" t="s">
        <v>295</v>
      </c>
      <c r="G146" s="644" t="str">
        <f>VLOOKUP(WWWW[[#This Row],[Village  Name]],SiteDB6[[Site Name]:[Location Type]],8,FALSE)</f>
        <v>Village</v>
      </c>
      <c r="H146" s="415" t="s">
        <v>2584</v>
      </c>
      <c r="I146" s="524">
        <v>338</v>
      </c>
      <c r="J146" s="524">
        <v>1520</v>
      </c>
      <c r="K146" s="418">
        <v>43358</v>
      </c>
      <c r="L146" s="55">
        <v>43889</v>
      </c>
      <c r="M146" s="524"/>
      <c r="N146" s="524"/>
      <c r="O146" s="524"/>
      <c r="P146" s="524"/>
      <c r="Q146" s="524"/>
      <c r="R146" s="524"/>
      <c r="S146" s="524"/>
      <c r="T146" s="524"/>
      <c r="U146" s="551"/>
      <c r="V146" s="524">
        <v>53</v>
      </c>
      <c r="W146" s="524"/>
      <c r="X146" s="524"/>
      <c r="Y146" s="524">
        <v>21</v>
      </c>
      <c r="Z146" s="524">
        <v>21</v>
      </c>
      <c r="AA146" s="524"/>
      <c r="AB146" s="524"/>
      <c r="AC146" s="551"/>
      <c r="AD146" s="524">
        <v>310</v>
      </c>
      <c r="AE146" s="524">
        <v>358</v>
      </c>
      <c r="AF146" s="524">
        <v>441</v>
      </c>
      <c r="AG146" s="524">
        <v>411</v>
      </c>
      <c r="AH146" s="524"/>
      <c r="AI146" s="524"/>
      <c r="AJ146" s="524"/>
      <c r="AK146" s="524"/>
      <c r="AL146" s="524">
        <v>338</v>
      </c>
      <c r="AM146" s="524"/>
      <c r="AN146" s="551"/>
      <c r="AO146" s="477"/>
      <c r="AP146" s="477"/>
      <c r="AQ146" s="524"/>
      <c r="AR146" s="524"/>
      <c r="AS146" s="524"/>
      <c r="AT14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46" s="483">
        <f>WWWW[[#This Row],[%Equitable and continuous access to sufficient quantity of safe drinking water]]*WWWW[[#This Row],[Total PoP ]]</f>
        <v>0</v>
      </c>
      <c r="AV14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46" s="483">
        <f>WWWW[[#This Row],[% Access to unimproved water points]]*WWWW[[#This Row],[Total PoP ]]</f>
        <v>0</v>
      </c>
      <c r="AX14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4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46" s="483">
        <f>WWWW[[#This Row],[HRP1]]/250</f>
        <v>0</v>
      </c>
      <c r="BA146" s="476">
        <f>1-WWWW[[#This Row],[% Equitable and continuous access to sufficient quantity of domestic water]]</f>
        <v>1</v>
      </c>
      <c r="BB146" s="483">
        <f>WWWW[[#This Row],[%equitable and continuous access to sufficient quantity of safe drinking and domestic water''s GAP]]*WWWW[[#This Row],[Total PoP ]]</f>
        <v>1520</v>
      </c>
      <c r="BC146" s="478">
        <f>IF(WWWW[[#This Row],[Total required water points]]-WWWW[[#This Row],['#Water points coverage]]&lt;0,0,WWWW[[#This Row],[Total required water points]]-WWWW[[#This Row],['#Water points coverage]])</f>
        <v>6</v>
      </c>
      <c r="BD146" s="478">
        <f>ROUND(IF(WWWW[[#This Row],[Total PoP ]]&lt;250,1,WWWW[[#This Row],[Total PoP ]]/250),0)</f>
        <v>6</v>
      </c>
      <c r="BE14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0.22302631578947368</v>
      </c>
      <c r="BF146" s="483">
        <f>WWWW[[#This Row],[% people access to functioning Latrine]]*WWWW[[#This Row],[Total PoP ]]</f>
        <v>339</v>
      </c>
      <c r="BG146" s="478">
        <f>WWWW[[#This Row],['#_of_Functioning_latrines_in_school]]*50</f>
        <v>0</v>
      </c>
      <c r="BH146" s="478">
        <f>ROUND((WWWW[[#This Row],[Total PoP ]]/6),0)</f>
        <v>253</v>
      </c>
      <c r="BI146" s="478">
        <f>IF(WWWW[[#This Row],[Total required Latrines]]-(WWWW[[#This Row],['#_of_sanitary_fly-proof_HH_latrines]])&lt;0,0,WWWW[[#This Row],[Total required Latrines]]-(WWWW[[#This Row],['#_of_sanitary_fly-proof_HH_latrines]]))</f>
        <v>200</v>
      </c>
      <c r="BJ146" s="479">
        <f>1-WWWW[[#This Row],[% people access to functioning Latrine]]</f>
        <v>0.77697368421052637</v>
      </c>
      <c r="BK14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1520</v>
      </c>
      <c r="BL146" s="483">
        <f>IF(WWWW[[#This Row],['#_of_functional_handwashing_facilities_at_HH_level]]*6&gt;WWWW[[#This Row],[Total PoP ]],WWWW[[#This Row],[Total PoP ]],WWWW[[#This Row],['#_of_functional_handwashing_facilities_at_HH_level]]*6)</f>
        <v>0</v>
      </c>
      <c r="BM146" s="478">
        <f>IF(WWWW[[#This Row],['# people reached by regular dedicated hygiene promotion]]&gt;WWWW[[#This Row],['# People received regular supply of hygiene items]],WWWW[[#This Row],['# people reached by regular dedicated hygiene promotion]],WWWW[[#This Row],['# People received regular supply of hygiene items]])</f>
        <v>1520</v>
      </c>
      <c r="BN146" s="476">
        <f>IF(WWWW[[#This Row],[HRP3]]/WWWW[[#This Row],[Total PoP ]]&gt;100%,100%,WWWW[[#This Row],[HRP3]]/WWWW[[#This Row],[Total PoP ]])</f>
        <v>1</v>
      </c>
      <c r="BO146" s="479">
        <f>1-WWWW[[#This Row],[Hygiene Coverage%]]</f>
        <v>0</v>
      </c>
      <c r="BP146" s="477">
        <f>WWWW[[#This Row],['# people reached by regular dedicated hygiene promotion]]/WWWW[[#This Row],[Total PoP ]]</f>
        <v>1</v>
      </c>
      <c r="BQ14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1520</v>
      </c>
      <c r="BR146" s="478">
        <f>WWWW[[#This Row],['#_of_affected_women_and_girls_receiving_a_sufficient_quantity_of_sanitary_pads]]</f>
        <v>0</v>
      </c>
      <c r="BS146" s="524">
        <f>IF(WWWW[[#This Row],['# People with access to soap]]&gt;WWWW[[#This Row],['# People with access to Sanity Pads]],WWWW[[#This Row],['# People with access to soap]],WWWW[[#This Row],['# People with access to Sanity Pads]])</f>
        <v>1520</v>
      </c>
      <c r="BT146" s="483" t="str">
        <f>IF(OR(WWWW[[#This Row],['#of students in school]]="",WWWW[[#This Row],['#of students in school]]=0),"No","Yes")</f>
        <v>No</v>
      </c>
      <c r="BU146" s="480" t="str">
        <f>VLOOKUP(WWWW[[#This Row],[Village  Name]],SiteDB6[[Site Name]:[Location Type 1]],9,FALSE)</f>
        <v>Village</v>
      </c>
      <c r="BV146" s="480" t="str">
        <f>VLOOKUP(WWWW[[#This Row],[Village  Name]],SiteDB6[[Site Name]:[Type of Accommodation]],10,FALSE)</f>
        <v>Village</v>
      </c>
      <c r="BW146" s="480">
        <f>VLOOKUP(WWWW[[#This Row],[Village  Name]],SiteDB6[[Site Name]:[Ethnic or GCA/NGCA]],11,FALSE)</f>
        <v>0</v>
      </c>
      <c r="BX146" s="480">
        <f>VLOOKUP(WWWW[[#This Row],[Village  Name]],SiteDB6[[Site Name]:[Lat]],12,FALSE)</f>
        <v>20.199499130248999</v>
      </c>
      <c r="BY146" s="480">
        <f>VLOOKUP(WWWW[[#This Row],[Village  Name]],SiteDB6[[Site Name]:[Long]],13,FALSE)</f>
        <v>92.834327697753906</v>
      </c>
      <c r="BZ146" s="480">
        <f>VLOOKUP(WWWW[[#This Row],[Village  Name]],SiteDB6[[Site Name]:[Pcode]],3,FALSE)</f>
        <v>196126</v>
      </c>
      <c r="CA146" s="480" t="str">
        <f t="shared" ref="CA146:CA150" si="7">IF(C146="none","Notcovered","Covered")</f>
        <v>Covered</v>
      </c>
      <c r="CB146" s="505"/>
    </row>
    <row r="147" spans="1:80">
      <c r="A147" s="774" t="s">
        <v>3150</v>
      </c>
      <c r="B147" s="774" t="s">
        <v>293</v>
      </c>
      <c r="C147" s="774" t="s">
        <v>293</v>
      </c>
      <c r="D147" s="415" t="s">
        <v>3153</v>
      </c>
      <c r="E147" s="415" t="s">
        <v>2648</v>
      </c>
      <c r="F147" s="415" t="s">
        <v>295</v>
      </c>
      <c r="G147" s="644" t="str">
        <f>VLOOKUP(WWWW[[#This Row],[Village  Name]],SiteDB6[[Site Name]:[Location Type]],8,FALSE)</f>
        <v>Village</v>
      </c>
      <c r="H147" s="415" t="s">
        <v>2585</v>
      </c>
      <c r="I147" s="524">
        <v>213</v>
      </c>
      <c r="J147" s="524">
        <v>1156</v>
      </c>
      <c r="K147" s="418">
        <v>43358</v>
      </c>
      <c r="L147" s="55">
        <v>43889</v>
      </c>
      <c r="M147" s="524"/>
      <c r="N147" s="524"/>
      <c r="O147" s="524"/>
      <c r="P147" s="524"/>
      <c r="Q147" s="524"/>
      <c r="R147" s="524"/>
      <c r="S147" s="524"/>
      <c r="T147" s="524"/>
      <c r="U147" s="551"/>
      <c r="V147" s="524">
        <v>50</v>
      </c>
      <c r="W147" s="524"/>
      <c r="X147" s="524"/>
      <c r="Y147" s="524">
        <v>13</v>
      </c>
      <c r="Z147" s="524">
        <v>13</v>
      </c>
      <c r="AA147" s="524"/>
      <c r="AB147" s="524"/>
      <c r="AC147" s="551"/>
      <c r="AD147" s="524">
        <v>239</v>
      </c>
      <c r="AE147" s="524">
        <v>281</v>
      </c>
      <c r="AF147" s="524">
        <v>310</v>
      </c>
      <c r="AG147" s="524">
        <v>335</v>
      </c>
      <c r="AH147" s="524"/>
      <c r="AI147" s="524"/>
      <c r="AJ147" s="524"/>
      <c r="AK147" s="524"/>
      <c r="AL147" s="524">
        <v>213</v>
      </c>
      <c r="AM147" s="524"/>
      <c r="AN147" s="551"/>
      <c r="AO147" s="477"/>
      <c r="AP147" s="477"/>
      <c r="AQ147" s="524"/>
      <c r="AR147" s="524"/>
      <c r="AS147" s="524"/>
      <c r="AT14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47" s="483">
        <f>WWWW[[#This Row],[%Equitable and continuous access to sufficient quantity of safe drinking water]]*WWWW[[#This Row],[Total PoP ]]</f>
        <v>0</v>
      </c>
      <c r="AV14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47" s="483">
        <f>WWWW[[#This Row],[% Access to unimproved water points]]*WWWW[[#This Row],[Total PoP ]]</f>
        <v>0</v>
      </c>
      <c r="AX14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4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47" s="483">
        <f>WWWW[[#This Row],[HRP1]]/250</f>
        <v>0</v>
      </c>
      <c r="BA147" s="476">
        <f>1-WWWW[[#This Row],[% Equitable and continuous access to sufficient quantity of domestic water]]</f>
        <v>1</v>
      </c>
      <c r="BB147" s="483">
        <f>WWWW[[#This Row],[%equitable and continuous access to sufficient quantity of safe drinking and domestic water''s GAP]]*WWWW[[#This Row],[Total PoP ]]</f>
        <v>1156</v>
      </c>
      <c r="BC147" s="478">
        <f>IF(WWWW[[#This Row],[Total required water points]]-WWWW[[#This Row],['#Water points coverage]]&lt;0,0,WWWW[[#This Row],[Total required water points]]-WWWW[[#This Row],['#Water points coverage]])</f>
        <v>5</v>
      </c>
      <c r="BD147" s="478">
        <f>ROUND(IF(WWWW[[#This Row],[Total PoP ]]&lt;250,1,WWWW[[#This Row],[Total PoP ]]/250),0)</f>
        <v>5</v>
      </c>
      <c r="BE14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0.27076124567474047</v>
      </c>
      <c r="BF147" s="483">
        <f>WWWW[[#This Row],[% people access to functioning Latrine]]*WWWW[[#This Row],[Total PoP ]]</f>
        <v>313</v>
      </c>
      <c r="BG147" s="478">
        <f>WWWW[[#This Row],['#_of_Functioning_latrines_in_school]]*50</f>
        <v>0</v>
      </c>
      <c r="BH147" s="478">
        <f>ROUND((WWWW[[#This Row],[Total PoP ]]/6),0)</f>
        <v>193</v>
      </c>
      <c r="BI147" s="478">
        <f>IF(WWWW[[#This Row],[Total required Latrines]]-(WWWW[[#This Row],['#_of_sanitary_fly-proof_HH_latrines]])&lt;0,0,WWWW[[#This Row],[Total required Latrines]]-(WWWW[[#This Row],['#_of_sanitary_fly-proof_HH_latrines]]))</f>
        <v>143</v>
      </c>
      <c r="BJ147" s="479">
        <f>1-WWWW[[#This Row],[% people access to functioning Latrine]]</f>
        <v>0.72923875432525953</v>
      </c>
      <c r="BK14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1156</v>
      </c>
      <c r="BL147" s="483">
        <f>IF(WWWW[[#This Row],['#_of_functional_handwashing_facilities_at_HH_level]]*6&gt;WWWW[[#This Row],[Total PoP ]],WWWW[[#This Row],[Total PoP ]],WWWW[[#This Row],['#_of_functional_handwashing_facilities_at_HH_level]]*6)</f>
        <v>0</v>
      </c>
      <c r="BM147" s="478">
        <f>IF(WWWW[[#This Row],['# people reached by regular dedicated hygiene promotion]]&gt;WWWW[[#This Row],['# People received regular supply of hygiene items]],WWWW[[#This Row],['# people reached by regular dedicated hygiene promotion]],WWWW[[#This Row],['# People received regular supply of hygiene items]])</f>
        <v>1156</v>
      </c>
      <c r="BN147" s="476">
        <f>IF(WWWW[[#This Row],[HRP3]]/WWWW[[#This Row],[Total PoP ]]&gt;100%,100%,WWWW[[#This Row],[HRP3]]/WWWW[[#This Row],[Total PoP ]])</f>
        <v>1</v>
      </c>
      <c r="BO147" s="479">
        <f>1-WWWW[[#This Row],[Hygiene Coverage%]]</f>
        <v>0</v>
      </c>
      <c r="BP147" s="477">
        <f>WWWW[[#This Row],['# people reached by regular dedicated hygiene promotion]]/WWWW[[#This Row],[Total PoP ]]</f>
        <v>1</v>
      </c>
      <c r="BQ14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1156</v>
      </c>
      <c r="BR147" s="478">
        <f>WWWW[[#This Row],['#_of_affected_women_and_girls_receiving_a_sufficient_quantity_of_sanitary_pads]]</f>
        <v>0</v>
      </c>
      <c r="BS147" s="524">
        <f>IF(WWWW[[#This Row],['# People with access to soap]]&gt;WWWW[[#This Row],['# People with access to Sanity Pads]],WWWW[[#This Row],['# People with access to soap]],WWWW[[#This Row],['# People with access to Sanity Pads]])</f>
        <v>1156</v>
      </c>
      <c r="BT147" s="483" t="str">
        <f>IF(OR(WWWW[[#This Row],['#of students in school]]="",WWWW[[#This Row],['#of students in school]]=0),"No","Yes")</f>
        <v>No</v>
      </c>
      <c r="BU147" s="480" t="str">
        <f>VLOOKUP(WWWW[[#This Row],[Village  Name]],SiteDB6[[Site Name]:[Location Type 1]],9,FALSE)</f>
        <v>Village</v>
      </c>
      <c r="BV147" s="480" t="str">
        <f>VLOOKUP(WWWW[[#This Row],[Village  Name]],SiteDB6[[Site Name]:[Type of Accommodation]],10,FALSE)</f>
        <v>Village</v>
      </c>
      <c r="BW147" s="480">
        <f>VLOOKUP(WWWW[[#This Row],[Village  Name]],SiteDB6[[Site Name]:[Ethnic or GCA/NGCA]],11,FALSE)</f>
        <v>0</v>
      </c>
      <c r="BX147" s="480">
        <f>VLOOKUP(WWWW[[#This Row],[Village  Name]],SiteDB6[[Site Name]:[Lat]],12,FALSE)</f>
        <v>20.194370269775401</v>
      </c>
      <c r="BY147" s="480">
        <f>VLOOKUP(WWWW[[#This Row],[Village  Name]],SiteDB6[[Site Name]:[Long]],13,FALSE)</f>
        <v>92.834007263183594</v>
      </c>
      <c r="BZ147" s="480">
        <f>VLOOKUP(WWWW[[#This Row],[Village  Name]],SiteDB6[[Site Name]:[Pcode]],3,FALSE)</f>
        <v>196128</v>
      </c>
      <c r="CA147" s="480" t="str">
        <f t="shared" si="7"/>
        <v>Covered</v>
      </c>
      <c r="CB147" s="505"/>
    </row>
    <row r="148" spans="1:80">
      <c r="A148" s="774" t="s">
        <v>3150</v>
      </c>
      <c r="B148" s="774" t="s">
        <v>293</v>
      </c>
      <c r="C148" s="774" t="s">
        <v>293</v>
      </c>
      <c r="D148" s="415" t="s">
        <v>3153</v>
      </c>
      <c r="E148" s="415" t="s">
        <v>2648</v>
      </c>
      <c r="F148" s="415" t="s">
        <v>295</v>
      </c>
      <c r="G148" s="644" t="str">
        <f>VLOOKUP(WWWW[[#This Row],[Village  Name]],SiteDB6[[Site Name]:[Location Type]],8,FALSE)</f>
        <v>Village</v>
      </c>
      <c r="H148" s="415" t="s">
        <v>429</v>
      </c>
      <c r="I148" s="524">
        <v>358</v>
      </c>
      <c r="J148" s="524">
        <v>1931</v>
      </c>
      <c r="K148" s="418">
        <v>43358</v>
      </c>
      <c r="L148" s="55">
        <v>43889</v>
      </c>
      <c r="M148" s="524"/>
      <c r="N148" s="524"/>
      <c r="O148" s="524"/>
      <c r="P148" s="524"/>
      <c r="Q148" s="524"/>
      <c r="R148" s="524"/>
      <c r="S148" s="524"/>
      <c r="T148" s="524"/>
      <c r="U148" s="551"/>
      <c r="V148" s="524">
        <v>33</v>
      </c>
      <c r="W148" s="524"/>
      <c r="X148" s="524"/>
      <c r="Y148" s="524">
        <v>5</v>
      </c>
      <c r="Z148" s="524">
        <v>5</v>
      </c>
      <c r="AA148" s="524"/>
      <c r="AB148" s="524"/>
      <c r="AC148" s="551"/>
      <c r="AD148" s="524">
        <v>390</v>
      </c>
      <c r="AE148" s="524">
        <v>464</v>
      </c>
      <c r="AF148" s="524">
        <v>551</v>
      </c>
      <c r="AG148" s="524">
        <v>526</v>
      </c>
      <c r="AH148" s="524"/>
      <c r="AI148" s="524"/>
      <c r="AJ148" s="524"/>
      <c r="AK148" s="524"/>
      <c r="AL148" s="524">
        <v>358</v>
      </c>
      <c r="AM148" s="524"/>
      <c r="AN148" s="551"/>
      <c r="AO148" s="477"/>
      <c r="AP148" s="477"/>
      <c r="AQ148" s="524"/>
      <c r="AR148" s="524"/>
      <c r="AS148" s="524"/>
      <c r="AT14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48" s="483">
        <f>WWWW[[#This Row],[%Equitable and continuous access to sufficient quantity of safe drinking water]]*WWWW[[#This Row],[Total PoP ]]</f>
        <v>0</v>
      </c>
      <c r="AV14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48" s="483">
        <f>WWWW[[#This Row],[% Access to unimproved water points]]*WWWW[[#This Row],[Total PoP ]]</f>
        <v>0</v>
      </c>
      <c r="AX14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4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48" s="483">
        <f>WWWW[[#This Row],[HRP1]]/250</f>
        <v>0</v>
      </c>
      <c r="BA148" s="476">
        <f>1-WWWW[[#This Row],[% Equitable and continuous access to sufficient quantity of domestic water]]</f>
        <v>1</v>
      </c>
      <c r="BB148" s="483">
        <f>WWWW[[#This Row],[%equitable and continuous access to sufficient quantity of safe drinking and domestic water''s GAP]]*WWWW[[#This Row],[Total PoP ]]</f>
        <v>1931</v>
      </c>
      <c r="BC148" s="478">
        <f>IF(WWWW[[#This Row],[Total required water points]]-WWWW[[#This Row],['#Water points coverage]]&lt;0,0,WWWW[[#This Row],[Total required water points]]-WWWW[[#This Row],['#Water points coverage]])</f>
        <v>8</v>
      </c>
      <c r="BD148" s="478">
        <f>ROUND(IF(WWWW[[#This Row],[Total PoP ]]&lt;250,1,WWWW[[#This Row],[Total PoP ]]/250),0)</f>
        <v>8</v>
      </c>
      <c r="BE14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0.10512687726566546</v>
      </c>
      <c r="BF148" s="483">
        <f>WWWW[[#This Row],[% people access to functioning Latrine]]*WWWW[[#This Row],[Total PoP ]]</f>
        <v>203</v>
      </c>
      <c r="BG148" s="478">
        <f>WWWW[[#This Row],['#_of_Functioning_latrines_in_school]]*50</f>
        <v>0</v>
      </c>
      <c r="BH148" s="478">
        <f>ROUND((WWWW[[#This Row],[Total PoP ]]/6),0)</f>
        <v>322</v>
      </c>
      <c r="BI148" s="478">
        <f>IF(WWWW[[#This Row],[Total required Latrines]]-(WWWW[[#This Row],['#_of_sanitary_fly-proof_HH_latrines]])&lt;0,0,WWWW[[#This Row],[Total required Latrines]]-(WWWW[[#This Row],['#_of_sanitary_fly-proof_HH_latrines]]))</f>
        <v>289</v>
      </c>
      <c r="BJ148" s="479">
        <f>1-WWWW[[#This Row],[% people access to functioning Latrine]]</f>
        <v>0.8948731227343345</v>
      </c>
      <c r="BK14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1931</v>
      </c>
      <c r="BL148" s="483">
        <f>IF(WWWW[[#This Row],['#_of_functional_handwashing_facilities_at_HH_level]]*6&gt;WWWW[[#This Row],[Total PoP ]],WWWW[[#This Row],[Total PoP ]],WWWW[[#This Row],['#_of_functional_handwashing_facilities_at_HH_level]]*6)</f>
        <v>0</v>
      </c>
      <c r="BM148" s="478">
        <f>IF(WWWW[[#This Row],['# people reached by regular dedicated hygiene promotion]]&gt;WWWW[[#This Row],['# People received regular supply of hygiene items]],WWWW[[#This Row],['# people reached by regular dedicated hygiene promotion]],WWWW[[#This Row],['# People received regular supply of hygiene items]])</f>
        <v>1931</v>
      </c>
      <c r="BN148" s="476">
        <f>IF(WWWW[[#This Row],[HRP3]]/WWWW[[#This Row],[Total PoP ]]&gt;100%,100%,WWWW[[#This Row],[HRP3]]/WWWW[[#This Row],[Total PoP ]])</f>
        <v>1</v>
      </c>
      <c r="BO148" s="479">
        <f>1-WWWW[[#This Row],[Hygiene Coverage%]]</f>
        <v>0</v>
      </c>
      <c r="BP148" s="477">
        <f>WWWW[[#This Row],['# people reached by regular dedicated hygiene promotion]]/WWWW[[#This Row],[Total PoP ]]</f>
        <v>1</v>
      </c>
      <c r="BQ14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1931</v>
      </c>
      <c r="BR148" s="478">
        <f>WWWW[[#This Row],['#_of_affected_women_and_girls_receiving_a_sufficient_quantity_of_sanitary_pads]]</f>
        <v>0</v>
      </c>
      <c r="BS148" s="524">
        <f>IF(WWWW[[#This Row],['# People with access to soap]]&gt;WWWW[[#This Row],['# People with access to Sanity Pads]],WWWW[[#This Row],['# People with access to soap]],WWWW[[#This Row],['# People with access to Sanity Pads]])</f>
        <v>1931</v>
      </c>
      <c r="BT148" s="483" t="str">
        <f>IF(OR(WWWW[[#This Row],['#of students in school]]="",WWWW[[#This Row],['#of students in school]]=0),"No","Yes")</f>
        <v>No</v>
      </c>
      <c r="BU148" s="480" t="str">
        <f>VLOOKUP(WWWW[[#This Row],[Village  Name]],SiteDB6[[Site Name]:[Location Type 1]],9,FALSE)</f>
        <v>Village</v>
      </c>
      <c r="BV148" s="480" t="str">
        <f>VLOOKUP(WWWW[[#This Row],[Village  Name]],SiteDB6[[Site Name]:[Type of Accommodation]],10,FALSE)</f>
        <v>Village</v>
      </c>
      <c r="BW148" s="480">
        <f>VLOOKUP(WWWW[[#This Row],[Village  Name]],SiteDB6[[Site Name]:[Ethnic or GCA/NGCA]],11,FALSE)</f>
        <v>0</v>
      </c>
      <c r="BX148" s="480">
        <f>VLOOKUP(WWWW[[#This Row],[Village  Name]],SiteDB6[[Site Name]:[Lat]],12,FALSE)</f>
        <v>20.183790210000002</v>
      </c>
      <c r="BY148" s="480">
        <f>VLOOKUP(WWWW[[#This Row],[Village  Name]],SiteDB6[[Site Name]:[Long]],13,FALSE)</f>
        <v>92.864143369999994</v>
      </c>
      <c r="BZ148" s="480">
        <f>VLOOKUP(WWWW[[#This Row],[Village  Name]],SiteDB6[[Site Name]:[Pcode]],3,FALSE)</f>
        <v>196197</v>
      </c>
      <c r="CA148" s="480" t="str">
        <f t="shared" si="7"/>
        <v>Covered</v>
      </c>
      <c r="CB148" s="505"/>
    </row>
    <row r="149" spans="1:80">
      <c r="A149" s="774" t="s">
        <v>3150</v>
      </c>
      <c r="B149" s="774" t="s">
        <v>293</v>
      </c>
      <c r="C149" s="774" t="s">
        <v>293</v>
      </c>
      <c r="D149" s="415" t="s">
        <v>3153</v>
      </c>
      <c r="E149" s="415" t="s">
        <v>2648</v>
      </c>
      <c r="F149" s="415" t="s">
        <v>295</v>
      </c>
      <c r="G149" s="644" t="str">
        <f>VLOOKUP(WWWW[[#This Row],[Village  Name]],SiteDB6[[Site Name]:[Location Type]],8,FALSE)</f>
        <v>Village</v>
      </c>
      <c r="H149" s="415" t="s">
        <v>1878</v>
      </c>
      <c r="I149" s="524">
        <v>88</v>
      </c>
      <c r="J149" s="524">
        <v>354</v>
      </c>
      <c r="K149" s="418">
        <v>43358</v>
      </c>
      <c r="L149" s="55">
        <v>43889</v>
      </c>
      <c r="M149" s="524"/>
      <c r="N149" s="524"/>
      <c r="O149" s="524"/>
      <c r="P149" s="524"/>
      <c r="Q149" s="524"/>
      <c r="R149" s="524"/>
      <c r="S149" s="524"/>
      <c r="T149" s="524"/>
      <c r="U149" s="551"/>
      <c r="V149" s="524">
        <v>50</v>
      </c>
      <c r="W149" s="524"/>
      <c r="X149" s="524"/>
      <c r="Y149" s="524">
        <v>1</v>
      </c>
      <c r="Z149" s="524">
        <v>1</v>
      </c>
      <c r="AA149" s="524"/>
      <c r="AB149" s="524"/>
      <c r="AC149" s="551"/>
      <c r="AD149" s="524">
        <v>121</v>
      </c>
      <c r="AE149" s="524">
        <v>151</v>
      </c>
      <c r="AF149" s="524">
        <v>46</v>
      </c>
      <c r="AG149" s="524">
        <v>36</v>
      </c>
      <c r="AH149" s="524"/>
      <c r="AI149" s="524"/>
      <c r="AJ149" s="524"/>
      <c r="AK149" s="524"/>
      <c r="AL149" s="524">
        <v>88</v>
      </c>
      <c r="AM149" s="524"/>
      <c r="AN149" s="551"/>
      <c r="AO149" s="477"/>
      <c r="AP149" s="477"/>
      <c r="AQ149" s="524"/>
      <c r="AR149" s="524"/>
      <c r="AS149" s="524"/>
      <c r="AT14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49" s="483">
        <f>WWWW[[#This Row],[%Equitable and continuous access to sufficient quantity of safe drinking water]]*WWWW[[#This Row],[Total PoP ]]</f>
        <v>0</v>
      </c>
      <c r="AV14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49" s="483">
        <f>WWWW[[#This Row],[% Access to unimproved water points]]*WWWW[[#This Row],[Total PoP ]]</f>
        <v>0</v>
      </c>
      <c r="AX14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4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49" s="483">
        <f>WWWW[[#This Row],[HRP1]]/250</f>
        <v>0</v>
      </c>
      <c r="BA149" s="476">
        <f>1-WWWW[[#This Row],[% Equitable and continuous access to sufficient quantity of domestic water]]</f>
        <v>1</v>
      </c>
      <c r="BB149" s="483">
        <f>WWWW[[#This Row],[%equitable and continuous access to sufficient quantity of safe drinking and domestic water''s GAP]]*WWWW[[#This Row],[Total PoP ]]</f>
        <v>354</v>
      </c>
      <c r="BC149" s="478">
        <f>IF(WWWW[[#This Row],[Total required water points]]-WWWW[[#This Row],['#Water points coverage]]&lt;0,0,WWWW[[#This Row],[Total required water points]]-WWWW[[#This Row],['#Water points coverage]])</f>
        <v>1</v>
      </c>
      <c r="BD149" s="478">
        <f>ROUND(IF(WWWW[[#This Row],[Total PoP ]]&lt;250,1,WWWW[[#This Row],[Total PoP ]]/250),0)</f>
        <v>1</v>
      </c>
      <c r="BE14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0.85028248587570621</v>
      </c>
      <c r="BF149" s="483">
        <f>WWWW[[#This Row],[% people access to functioning Latrine]]*WWWW[[#This Row],[Total PoP ]]</f>
        <v>301</v>
      </c>
      <c r="BG149" s="478">
        <f>WWWW[[#This Row],['#_of_Functioning_latrines_in_school]]*50</f>
        <v>0</v>
      </c>
      <c r="BH149" s="478">
        <f>ROUND((WWWW[[#This Row],[Total PoP ]]/6),0)</f>
        <v>59</v>
      </c>
      <c r="BI149" s="478">
        <f>IF(WWWW[[#This Row],[Total required Latrines]]-(WWWW[[#This Row],['#_of_sanitary_fly-proof_HH_latrines]])&lt;0,0,WWWW[[#This Row],[Total required Latrines]]-(WWWW[[#This Row],['#_of_sanitary_fly-proof_HH_latrines]]))</f>
        <v>9</v>
      </c>
      <c r="BJ149" s="479">
        <f>1-WWWW[[#This Row],[% people access to functioning Latrine]]</f>
        <v>0.14971751412429379</v>
      </c>
      <c r="BK14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354</v>
      </c>
      <c r="BL149" s="483">
        <f>IF(WWWW[[#This Row],['#_of_functional_handwashing_facilities_at_HH_level]]*6&gt;WWWW[[#This Row],[Total PoP ]],WWWW[[#This Row],[Total PoP ]],WWWW[[#This Row],['#_of_functional_handwashing_facilities_at_HH_level]]*6)</f>
        <v>0</v>
      </c>
      <c r="BM149" s="478">
        <f>IF(WWWW[[#This Row],['# people reached by regular dedicated hygiene promotion]]&gt;WWWW[[#This Row],['# People received regular supply of hygiene items]],WWWW[[#This Row],['# people reached by regular dedicated hygiene promotion]],WWWW[[#This Row],['# People received regular supply of hygiene items]])</f>
        <v>354</v>
      </c>
      <c r="BN149" s="476">
        <f>IF(WWWW[[#This Row],[HRP3]]/WWWW[[#This Row],[Total PoP ]]&gt;100%,100%,WWWW[[#This Row],[HRP3]]/WWWW[[#This Row],[Total PoP ]])</f>
        <v>1</v>
      </c>
      <c r="BO149" s="479">
        <f>1-WWWW[[#This Row],[Hygiene Coverage%]]</f>
        <v>0</v>
      </c>
      <c r="BP149" s="477">
        <f>WWWW[[#This Row],['# people reached by regular dedicated hygiene promotion]]/WWWW[[#This Row],[Total PoP ]]</f>
        <v>1</v>
      </c>
      <c r="BQ14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354</v>
      </c>
      <c r="BR149" s="478">
        <f>WWWW[[#This Row],['#_of_affected_women_and_girls_receiving_a_sufficient_quantity_of_sanitary_pads]]</f>
        <v>0</v>
      </c>
      <c r="BS149" s="524">
        <f>IF(WWWW[[#This Row],['# People with access to soap]]&gt;WWWW[[#This Row],['# People with access to Sanity Pads]],WWWW[[#This Row],['# People with access to soap]],WWWW[[#This Row],['# People with access to Sanity Pads]])</f>
        <v>354</v>
      </c>
      <c r="BT149" s="483" t="str">
        <f>IF(OR(WWWW[[#This Row],['#of students in school]]="",WWWW[[#This Row],['#of students in school]]=0),"No","Yes")</f>
        <v>No</v>
      </c>
      <c r="BU149" s="480" t="str">
        <f>VLOOKUP(WWWW[[#This Row],[Village  Name]],SiteDB6[[Site Name]:[Location Type 1]],9,FALSE)</f>
        <v>Village</v>
      </c>
      <c r="BV149" s="480" t="str">
        <f>VLOOKUP(WWWW[[#This Row],[Village  Name]],SiteDB6[[Site Name]:[Type of Accommodation]],10,FALSE)</f>
        <v>Village</v>
      </c>
      <c r="BW149" s="480">
        <f>VLOOKUP(WWWW[[#This Row],[Village  Name]],SiteDB6[[Site Name]:[Ethnic or GCA/NGCA]],11,FALSE)</f>
        <v>0</v>
      </c>
      <c r="BX149" s="480">
        <f>VLOOKUP(WWWW[[#This Row],[Village  Name]],SiteDB6[[Site Name]:[Lat]],12,FALSE)</f>
        <v>0</v>
      </c>
      <c r="BY149" s="480">
        <f>VLOOKUP(WWWW[[#This Row],[Village  Name]],SiteDB6[[Site Name]:[Long]],13,FALSE)</f>
        <v>0</v>
      </c>
      <c r="BZ149" s="480">
        <f>VLOOKUP(WWWW[[#This Row],[Village  Name]],SiteDB6[[Site Name]:[Pcode]],3,FALSE)</f>
        <v>0</v>
      </c>
      <c r="CA149" s="480" t="str">
        <f t="shared" si="7"/>
        <v>Covered</v>
      </c>
      <c r="CB149" s="505"/>
    </row>
    <row r="150" spans="1:80">
      <c r="A150" s="774" t="s">
        <v>3150</v>
      </c>
      <c r="B150" s="774" t="s">
        <v>293</v>
      </c>
      <c r="C150" s="774" t="s">
        <v>293</v>
      </c>
      <c r="D150" s="415" t="s">
        <v>3153</v>
      </c>
      <c r="E150" s="415" t="s">
        <v>2648</v>
      </c>
      <c r="F150" s="415" t="s">
        <v>295</v>
      </c>
      <c r="G150" s="644" t="str">
        <f>VLOOKUP(WWWW[[#This Row],[Village  Name]],SiteDB6[[Site Name]:[Location Type]],8,FALSE)</f>
        <v>Village</v>
      </c>
      <c r="H150" s="415" t="s">
        <v>450</v>
      </c>
      <c r="I150" s="524">
        <v>164</v>
      </c>
      <c r="J150" s="524">
        <v>812</v>
      </c>
      <c r="K150" s="418">
        <v>43358</v>
      </c>
      <c r="L150" s="55">
        <v>43889</v>
      </c>
      <c r="M150" s="524"/>
      <c r="N150" s="524"/>
      <c r="O150" s="524"/>
      <c r="P150" s="524"/>
      <c r="Q150" s="524"/>
      <c r="R150" s="524"/>
      <c r="S150" s="524"/>
      <c r="T150" s="524"/>
      <c r="U150" s="551"/>
      <c r="V150" s="524">
        <v>20</v>
      </c>
      <c r="W150" s="524"/>
      <c r="X150" s="524"/>
      <c r="Y150" s="524">
        <v>4</v>
      </c>
      <c r="Z150" s="524">
        <v>4</v>
      </c>
      <c r="AA150" s="524"/>
      <c r="AB150" s="524"/>
      <c r="AC150" s="551"/>
      <c r="AD150" s="524">
        <v>277</v>
      </c>
      <c r="AE150" s="524">
        <v>319</v>
      </c>
      <c r="AF150" s="524">
        <v>99</v>
      </c>
      <c r="AG150" s="524">
        <v>117</v>
      </c>
      <c r="AH150" s="524"/>
      <c r="AI150" s="524"/>
      <c r="AJ150" s="524"/>
      <c r="AK150" s="524"/>
      <c r="AL150" s="524">
        <v>164</v>
      </c>
      <c r="AM150" s="524"/>
      <c r="AN150" s="551"/>
      <c r="AO150" s="477"/>
      <c r="AP150" s="477"/>
      <c r="AQ150" s="524"/>
      <c r="AR150" s="524"/>
      <c r="AS150" s="524"/>
      <c r="AT15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50" s="483">
        <f>WWWW[[#This Row],[%Equitable and continuous access to sufficient quantity of safe drinking water]]*WWWW[[#This Row],[Total PoP ]]</f>
        <v>0</v>
      </c>
      <c r="AV15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50" s="483">
        <f>WWWW[[#This Row],[% Access to unimproved water points]]*WWWW[[#This Row],[Total PoP ]]</f>
        <v>0</v>
      </c>
      <c r="AX15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5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50" s="483">
        <f>WWWW[[#This Row],[HRP1]]/250</f>
        <v>0</v>
      </c>
      <c r="BA150" s="476">
        <f>1-WWWW[[#This Row],[% Equitable and continuous access to sufficient quantity of domestic water]]</f>
        <v>1</v>
      </c>
      <c r="BB150" s="483">
        <f>WWWW[[#This Row],[%equitable and continuous access to sufficient quantity of safe drinking and domestic water''s GAP]]*WWWW[[#This Row],[Total PoP ]]</f>
        <v>812</v>
      </c>
      <c r="BC150" s="478">
        <f>IF(WWWW[[#This Row],[Total required water points]]-WWWW[[#This Row],['#Water points coverage]]&lt;0,0,WWWW[[#This Row],[Total required water points]]-WWWW[[#This Row],['#Water points coverage]])</f>
        <v>3</v>
      </c>
      <c r="BD150" s="478">
        <f>ROUND(IF(WWWW[[#This Row],[Total PoP ]]&lt;250,1,WWWW[[#This Row],[Total PoP ]]/250),0)</f>
        <v>3</v>
      </c>
      <c r="BE15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0.15270935960591134</v>
      </c>
      <c r="BF150" s="483">
        <f>WWWW[[#This Row],[% people access to functioning Latrine]]*WWWW[[#This Row],[Total PoP ]]</f>
        <v>124</v>
      </c>
      <c r="BG150" s="478">
        <f>WWWW[[#This Row],['#_of_Functioning_latrines_in_school]]*50</f>
        <v>0</v>
      </c>
      <c r="BH150" s="478">
        <f>ROUND((WWWW[[#This Row],[Total PoP ]]/6),0)</f>
        <v>135</v>
      </c>
      <c r="BI150" s="478">
        <f>IF(WWWW[[#This Row],[Total required Latrines]]-(WWWW[[#This Row],['#_of_sanitary_fly-proof_HH_latrines]])&lt;0,0,WWWW[[#This Row],[Total required Latrines]]-(WWWW[[#This Row],['#_of_sanitary_fly-proof_HH_latrines]]))</f>
        <v>115</v>
      </c>
      <c r="BJ150" s="479">
        <f>1-WWWW[[#This Row],[% people access to functioning Latrine]]</f>
        <v>0.84729064039408863</v>
      </c>
      <c r="BK15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812</v>
      </c>
      <c r="BL150" s="483">
        <f>IF(WWWW[[#This Row],['#_of_functional_handwashing_facilities_at_HH_level]]*6&gt;WWWW[[#This Row],[Total PoP ]],WWWW[[#This Row],[Total PoP ]],WWWW[[#This Row],['#_of_functional_handwashing_facilities_at_HH_level]]*6)</f>
        <v>0</v>
      </c>
      <c r="BM150" s="478">
        <f>IF(WWWW[[#This Row],['# people reached by regular dedicated hygiene promotion]]&gt;WWWW[[#This Row],['# People received regular supply of hygiene items]],WWWW[[#This Row],['# people reached by regular dedicated hygiene promotion]],WWWW[[#This Row],['# People received regular supply of hygiene items]])</f>
        <v>812</v>
      </c>
      <c r="BN150" s="476">
        <f>IF(WWWW[[#This Row],[HRP3]]/WWWW[[#This Row],[Total PoP ]]&gt;100%,100%,WWWW[[#This Row],[HRP3]]/WWWW[[#This Row],[Total PoP ]])</f>
        <v>1</v>
      </c>
      <c r="BO150" s="479">
        <f>1-WWWW[[#This Row],[Hygiene Coverage%]]</f>
        <v>0</v>
      </c>
      <c r="BP150" s="477">
        <f>WWWW[[#This Row],['# people reached by regular dedicated hygiene promotion]]/WWWW[[#This Row],[Total PoP ]]</f>
        <v>1</v>
      </c>
      <c r="BQ15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812</v>
      </c>
      <c r="BR150" s="478">
        <f>WWWW[[#This Row],['#_of_affected_women_and_girls_receiving_a_sufficient_quantity_of_sanitary_pads]]</f>
        <v>0</v>
      </c>
      <c r="BS150" s="524">
        <f>IF(WWWW[[#This Row],['# People with access to soap]]&gt;WWWW[[#This Row],['# People with access to Sanity Pads]],WWWW[[#This Row],['# People with access to soap]],WWWW[[#This Row],['# People with access to Sanity Pads]])</f>
        <v>812</v>
      </c>
      <c r="BT150" s="483" t="str">
        <f>IF(OR(WWWW[[#This Row],['#of students in school]]="",WWWW[[#This Row],['#of students in school]]=0),"No","Yes")</f>
        <v>No</v>
      </c>
      <c r="BU150" s="480" t="str">
        <f>VLOOKUP(WWWW[[#This Row],[Village  Name]],SiteDB6[[Site Name]:[Location Type 1]],9,FALSE)</f>
        <v>Village</v>
      </c>
      <c r="BV150" s="480" t="str">
        <f>VLOOKUP(WWWW[[#This Row],[Village  Name]],SiteDB6[[Site Name]:[Type of Accommodation]],10,FALSE)</f>
        <v>Village</v>
      </c>
      <c r="BW150" s="480" t="str">
        <f>VLOOKUP(WWWW[[#This Row],[Village  Name]],SiteDB6[[Site Name]:[Ethnic or GCA/NGCA]],11,FALSE)</f>
        <v>Rakhine</v>
      </c>
      <c r="BX150" s="480">
        <f>VLOOKUP(WWWW[[#This Row],[Village  Name]],SiteDB6[[Site Name]:[Lat]],12,FALSE)</f>
        <v>20.245159149999999</v>
      </c>
      <c r="BY150" s="480">
        <f>VLOOKUP(WWWW[[#This Row],[Village  Name]],SiteDB6[[Site Name]:[Long]],13,FALSE)</f>
        <v>92.807418819999995</v>
      </c>
      <c r="BZ150" s="480">
        <f>VLOOKUP(WWWW[[#This Row],[Village  Name]],SiteDB6[[Site Name]:[Pcode]],3,FALSE)</f>
        <v>196137</v>
      </c>
      <c r="CA150" s="480" t="str">
        <f t="shared" si="7"/>
        <v>Covered</v>
      </c>
      <c r="CB150" s="505"/>
    </row>
    <row r="151" spans="1:80">
      <c r="A151" s="774" t="s">
        <v>3150</v>
      </c>
      <c r="B151" s="774" t="s">
        <v>318</v>
      </c>
      <c r="C151" s="415" t="s">
        <v>318</v>
      </c>
      <c r="D151" s="415" t="s">
        <v>334</v>
      </c>
      <c r="E151" s="415" t="s">
        <v>2648</v>
      </c>
      <c r="F151" s="415" t="s">
        <v>302</v>
      </c>
      <c r="G151" s="644" t="str">
        <f>VLOOKUP(WWWW[[#This Row],[Village  Name]],SiteDB6[[Site Name]:[Location Type]],8,FALSE)</f>
        <v>Village</v>
      </c>
      <c r="H151" s="415" t="s">
        <v>2276</v>
      </c>
      <c r="I151" s="524">
        <v>128</v>
      </c>
      <c r="J151" s="524">
        <v>583</v>
      </c>
      <c r="K151" s="418">
        <v>43647</v>
      </c>
      <c r="L151" s="55">
        <v>44043</v>
      </c>
      <c r="M151" s="524">
        <v>90</v>
      </c>
      <c r="N151" s="524"/>
      <c r="O151" s="524"/>
      <c r="P151" s="524"/>
      <c r="Q151" s="524">
        <v>4</v>
      </c>
      <c r="R151" s="524"/>
      <c r="S151" s="524"/>
      <c r="T151" s="524"/>
      <c r="U151" s="551"/>
      <c r="V151" s="524">
        <v>6</v>
      </c>
      <c r="W151" s="524" t="s">
        <v>130</v>
      </c>
      <c r="X151" s="524">
        <v>3</v>
      </c>
      <c r="Y151" s="524">
        <v>3</v>
      </c>
      <c r="Z151" s="524"/>
      <c r="AA151" s="524"/>
      <c r="AB151" s="524"/>
      <c r="AC151" s="551"/>
      <c r="AD151" s="524">
        <v>1</v>
      </c>
      <c r="AE151" s="524">
        <v>10</v>
      </c>
      <c r="AF151" s="524"/>
      <c r="AG151" s="524"/>
      <c r="AH151" s="524"/>
      <c r="AI151" s="524"/>
      <c r="AJ151" s="524">
        <v>11</v>
      </c>
      <c r="AK151" s="524"/>
      <c r="AL151" s="524"/>
      <c r="AM151" s="524"/>
      <c r="AN151" s="551"/>
      <c r="AO151" s="477"/>
      <c r="AP151" s="477"/>
      <c r="AQ151" s="524"/>
      <c r="AR151" s="524"/>
      <c r="AS151" s="524"/>
      <c r="AT15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51" s="483">
        <f>WWWW[[#This Row],[%Equitable and continuous access to sufficient quantity of safe drinking water]]*WWWW[[#This Row],[Total PoP ]]</f>
        <v>0</v>
      </c>
      <c r="AV15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51" s="483">
        <f>WWWW[[#This Row],[% Access to unimproved water points]]*WWWW[[#This Row],[Total PoP ]]</f>
        <v>583</v>
      </c>
      <c r="AX15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5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583</v>
      </c>
      <c r="AZ151" s="483">
        <f>WWWW[[#This Row],[HRP1]]/250</f>
        <v>2.3319999999999999</v>
      </c>
      <c r="BA151" s="476">
        <f>1-WWWW[[#This Row],[% Equitable and continuous access to sufficient quantity of domestic water]]</f>
        <v>0</v>
      </c>
      <c r="BB151" s="483">
        <f>WWWW[[#This Row],[%equitable and continuous access to sufficient quantity of safe drinking and domestic water''s GAP]]*WWWW[[#This Row],[Total PoP ]]</f>
        <v>0</v>
      </c>
      <c r="BC151" s="478">
        <f>IF(WWWW[[#This Row],[Total required water points]]-WWWW[[#This Row],['#Water points coverage]]&lt;0,0,WWWW[[#This Row],[Total required water points]]-WWWW[[#This Row],['#Water points coverage]])</f>
        <v>0</v>
      </c>
      <c r="BD151" s="478">
        <f>ROUND(IF(WWWW[[#This Row],[Total PoP ]]&lt;250,1,WWWW[[#This Row],[Total PoP ]]/250),0)</f>
        <v>2</v>
      </c>
      <c r="BE15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6.1749571183533448E-2</v>
      </c>
      <c r="BF151" s="483">
        <f>WWWW[[#This Row],[% people access to functioning Latrine]]*WWWW[[#This Row],[Total PoP ]]</f>
        <v>36</v>
      </c>
      <c r="BG151" s="478">
        <f>WWWW[[#This Row],['#_of_Functioning_latrines_in_school]]*50</f>
        <v>150</v>
      </c>
      <c r="BH151" s="478">
        <f>ROUND((WWWW[[#This Row],[Total PoP ]]/6),0)</f>
        <v>97</v>
      </c>
      <c r="BI151" s="478">
        <f>IF(WWWW[[#This Row],[Total required Latrines]]-(WWWW[[#This Row],['#_of_sanitary_fly-proof_HH_latrines]])&lt;0,0,WWWW[[#This Row],[Total required Latrines]]-(WWWW[[#This Row],['#_of_sanitary_fly-proof_HH_latrines]]))</f>
        <v>91</v>
      </c>
      <c r="BJ151" s="479">
        <f>1-WWWW[[#This Row],[% people access to functioning Latrine]]</f>
        <v>0.93825042881646659</v>
      </c>
      <c r="BK15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11</v>
      </c>
      <c r="BL151" s="483">
        <f>IF(WWWW[[#This Row],['#_of_functional_handwashing_facilities_at_HH_level]]*6&gt;WWWW[[#This Row],[Total PoP ]],WWWW[[#This Row],[Total PoP ]],WWWW[[#This Row],['#_of_functional_handwashing_facilities_at_HH_level]]*6)</f>
        <v>66</v>
      </c>
      <c r="BM151" s="478">
        <f>IF(WWWW[[#This Row],['# people reached by regular dedicated hygiene promotion]]&gt;WWWW[[#This Row],['# People received regular supply of hygiene items]],WWWW[[#This Row],['# people reached by regular dedicated hygiene promotion]],WWWW[[#This Row],['# People received regular supply of hygiene items]])</f>
        <v>11</v>
      </c>
      <c r="BN151" s="476">
        <f>IF(WWWW[[#This Row],[HRP3]]/WWWW[[#This Row],[Total PoP ]]&gt;100%,100%,WWWW[[#This Row],[HRP3]]/WWWW[[#This Row],[Total PoP ]])</f>
        <v>1.8867924528301886E-2</v>
      </c>
      <c r="BO151" s="479">
        <f>1-WWWW[[#This Row],[Hygiene Coverage%]]</f>
        <v>0.98113207547169812</v>
      </c>
      <c r="BP151" s="477">
        <f>WWWW[[#This Row],['# people reached by regular dedicated hygiene promotion]]/WWWW[[#This Row],[Total PoP ]]</f>
        <v>1.8867924528301886E-2</v>
      </c>
      <c r="BQ15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51" s="478">
        <f>WWWW[[#This Row],['#_of_affected_women_and_girls_receiving_a_sufficient_quantity_of_sanitary_pads]]</f>
        <v>0</v>
      </c>
      <c r="BS151" s="524">
        <f>IF(WWWW[[#This Row],['# People with access to soap]]&gt;WWWW[[#This Row],['# People with access to Sanity Pads]],WWWW[[#This Row],['# People with access to soap]],WWWW[[#This Row],['# People with access to Sanity Pads]])</f>
        <v>0</v>
      </c>
      <c r="BT151" s="483" t="str">
        <f>IF(OR(WWWW[[#This Row],['#of students in school]]="",WWWW[[#This Row],['#of students in school]]=0),"No","Yes")</f>
        <v>Yes</v>
      </c>
      <c r="BU151" s="480" t="str">
        <f>VLOOKUP(WWWW[[#This Row],[Village  Name]],SiteDB6[[Site Name]:[Location Type 1]],9,FALSE)</f>
        <v>Village</v>
      </c>
      <c r="BV151" s="480" t="str">
        <f>VLOOKUP(WWWW[[#This Row],[Village  Name]],SiteDB6[[Site Name]:[Type of Accommodation]],10,FALSE)</f>
        <v>Village</v>
      </c>
      <c r="BW151" s="480" t="str">
        <f>VLOOKUP(WWWW[[#This Row],[Village  Name]],SiteDB6[[Site Name]:[Ethnic or GCA/NGCA]],11,FALSE)</f>
        <v>Rakhine</v>
      </c>
      <c r="BX151" s="480">
        <f>VLOOKUP(WWWW[[#This Row],[Village  Name]],SiteDB6[[Site Name]:[Lat]],12,FALSE)</f>
        <v>20.646560668945298</v>
      </c>
      <c r="BY151" s="480">
        <f>VLOOKUP(WWWW[[#This Row],[Village  Name]],SiteDB6[[Site Name]:[Long]],13,FALSE)</f>
        <v>92.976043701171903</v>
      </c>
      <c r="BZ151" s="480">
        <f>VLOOKUP(WWWW[[#This Row],[Village  Name]],SiteDB6[[Site Name]:[Pcode]],3,FALSE)</f>
        <v>196937</v>
      </c>
      <c r="CA151" s="480" t="str">
        <f t="shared" ref="CA151:CA175" si="8">IF(C151="none","Notcovered","Covered")</f>
        <v>Covered</v>
      </c>
      <c r="CB151" s="505"/>
    </row>
    <row r="152" spans="1:80">
      <c r="A152" s="774" t="s">
        <v>3150</v>
      </c>
      <c r="B152" s="774" t="s">
        <v>318</v>
      </c>
      <c r="C152" s="415" t="s">
        <v>318</v>
      </c>
      <c r="D152" s="415" t="s">
        <v>334</v>
      </c>
      <c r="E152" s="415" t="s">
        <v>2648</v>
      </c>
      <c r="F152" s="415" t="s">
        <v>302</v>
      </c>
      <c r="G152" s="644" t="str">
        <f>VLOOKUP(WWWW[[#This Row],[Village  Name]],SiteDB6[[Site Name]:[Location Type]],8,FALSE)</f>
        <v>Village</v>
      </c>
      <c r="H152" s="415" t="s">
        <v>3166</v>
      </c>
      <c r="I152" s="524">
        <v>178</v>
      </c>
      <c r="J152" s="524">
        <v>849</v>
      </c>
      <c r="K152" s="418">
        <v>43647</v>
      </c>
      <c r="L152" s="55">
        <v>44043</v>
      </c>
      <c r="M152" s="524">
        <v>154</v>
      </c>
      <c r="N152" s="524"/>
      <c r="O152" s="524"/>
      <c r="P152" s="524"/>
      <c r="Q152" s="524"/>
      <c r="R152" s="524"/>
      <c r="S152" s="524">
        <v>3</v>
      </c>
      <c r="T152" s="524"/>
      <c r="U152" s="551"/>
      <c r="V152" s="524">
        <v>35</v>
      </c>
      <c r="W152" s="524" t="s">
        <v>130</v>
      </c>
      <c r="X152" s="524">
        <v>1</v>
      </c>
      <c r="Y152" s="524">
        <v>2</v>
      </c>
      <c r="Z152" s="524"/>
      <c r="AA152" s="524"/>
      <c r="AB152" s="524"/>
      <c r="AC152" s="551"/>
      <c r="AD152" s="524"/>
      <c r="AE152" s="524">
        <v>12</v>
      </c>
      <c r="AF152" s="524"/>
      <c r="AG152" s="524"/>
      <c r="AH152" s="524"/>
      <c r="AI152" s="524"/>
      <c r="AJ152" s="524">
        <v>12</v>
      </c>
      <c r="AK152" s="524"/>
      <c r="AL152" s="524"/>
      <c r="AM152" s="524"/>
      <c r="AN152" s="551"/>
      <c r="AO152" s="477"/>
      <c r="AP152" s="477"/>
      <c r="AQ152" s="524"/>
      <c r="AR152" s="524"/>
      <c r="AS152" s="524"/>
      <c r="AT15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52" s="483">
        <f>WWWW[[#This Row],[%Equitable and continuous access to sufficient quantity of safe drinking water]]*WWWW[[#This Row],[Total PoP ]]</f>
        <v>0</v>
      </c>
      <c r="AV15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3.5335689045936395E-3</v>
      </c>
      <c r="AW152" s="483">
        <f>WWWW[[#This Row],[% Access to unimproved water points]]*WWWW[[#This Row],[Total PoP ]]</f>
        <v>3</v>
      </c>
      <c r="AX15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3.5335689045936395E-3</v>
      </c>
      <c r="AY15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v>
      </c>
      <c r="AZ152" s="483">
        <f>WWWW[[#This Row],[HRP1]]/250</f>
        <v>1.2E-2</v>
      </c>
      <c r="BA152" s="476">
        <f>1-WWWW[[#This Row],[% Equitable and continuous access to sufficient quantity of domestic water]]</f>
        <v>0.99646643109540634</v>
      </c>
      <c r="BB152" s="483">
        <f>WWWW[[#This Row],[%equitable and continuous access to sufficient quantity of safe drinking and domestic water''s GAP]]*WWWW[[#This Row],[Total PoP ]]</f>
        <v>846</v>
      </c>
      <c r="BC152" s="478">
        <f>IF(WWWW[[#This Row],[Total required water points]]-WWWW[[#This Row],['#Water points coverage]]&lt;0,0,WWWW[[#This Row],[Total required water points]]-WWWW[[#This Row],['#Water points coverage]])</f>
        <v>2.988</v>
      </c>
      <c r="BD152" s="478">
        <f>ROUND(IF(WWWW[[#This Row],[Total PoP ]]&lt;250,1,WWWW[[#This Row],[Total PoP ]]/250),0)</f>
        <v>3</v>
      </c>
      <c r="BE15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0.24734982332155478</v>
      </c>
      <c r="BF152" s="483">
        <f>WWWW[[#This Row],[% people access to functioning Latrine]]*WWWW[[#This Row],[Total PoP ]]</f>
        <v>210</v>
      </c>
      <c r="BG152" s="478">
        <f>WWWW[[#This Row],['#_of_Functioning_latrines_in_school]]*50</f>
        <v>50</v>
      </c>
      <c r="BH152" s="478">
        <f>ROUND((WWWW[[#This Row],[Total PoP ]]/6),0)</f>
        <v>142</v>
      </c>
      <c r="BI152" s="478">
        <f>IF(WWWW[[#This Row],[Total required Latrines]]-(WWWW[[#This Row],['#_of_sanitary_fly-proof_HH_latrines]])&lt;0,0,WWWW[[#This Row],[Total required Latrines]]-(WWWW[[#This Row],['#_of_sanitary_fly-proof_HH_latrines]]))</f>
        <v>107</v>
      </c>
      <c r="BJ152" s="479">
        <f>1-WWWW[[#This Row],[% people access to functioning Latrine]]</f>
        <v>0.75265017667844525</v>
      </c>
      <c r="BK15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v>
      </c>
      <c r="BL152" s="483">
        <f>IF(WWWW[[#This Row],['#_of_functional_handwashing_facilities_at_HH_level]]*6&gt;WWWW[[#This Row],[Total PoP ]],WWWW[[#This Row],[Total PoP ]],WWWW[[#This Row],['#_of_functional_handwashing_facilities_at_HH_level]]*6)</f>
        <v>72</v>
      </c>
      <c r="BM152" s="478">
        <f>IF(WWWW[[#This Row],['# people reached by regular dedicated hygiene promotion]]&gt;WWWW[[#This Row],['# People received regular supply of hygiene items]],WWWW[[#This Row],['# people reached by regular dedicated hygiene promotion]],WWWW[[#This Row],['# People received regular supply of hygiene items]])</f>
        <v>12</v>
      </c>
      <c r="BN152" s="476">
        <f>IF(WWWW[[#This Row],[HRP3]]/WWWW[[#This Row],[Total PoP ]]&gt;100%,100%,WWWW[[#This Row],[HRP3]]/WWWW[[#This Row],[Total PoP ]])</f>
        <v>1.4134275618374558E-2</v>
      </c>
      <c r="BO152" s="479">
        <f>1-WWWW[[#This Row],[Hygiene Coverage%]]</f>
        <v>0.98586572438162545</v>
      </c>
      <c r="BP152" s="477">
        <f>WWWW[[#This Row],['# people reached by regular dedicated hygiene promotion]]/WWWW[[#This Row],[Total PoP ]]</f>
        <v>1.4134275618374558E-2</v>
      </c>
      <c r="BQ15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52" s="478">
        <f>WWWW[[#This Row],['#_of_affected_women_and_girls_receiving_a_sufficient_quantity_of_sanitary_pads]]</f>
        <v>0</v>
      </c>
      <c r="BS152" s="524">
        <f>IF(WWWW[[#This Row],['# People with access to soap]]&gt;WWWW[[#This Row],['# People with access to Sanity Pads]],WWWW[[#This Row],['# People with access to soap]],WWWW[[#This Row],['# People with access to Sanity Pads]])</f>
        <v>0</v>
      </c>
      <c r="BT152" s="483" t="str">
        <f>IF(OR(WWWW[[#This Row],['#of students in school]]="",WWWW[[#This Row],['#of students in school]]=0),"No","Yes")</f>
        <v>Yes</v>
      </c>
      <c r="BU152" s="480" t="str">
        <f>VLOOKUP(WWWW[[#This Row],[Village  Name]],SiteDB6[[Site Name]:[Location Type 1]],9,FALSE)</f>
        <v>Village</v>
      </c>
      <c r="BV152" s="480" t="str">
        <f>VLOOKUP(WWWW[[#This Row],[Village  Name]],SiteDB6[[Site Name]:[Type of Accommodation]],10,FALSE)</f>
        <v>Village</v>
      </c>
      <c r="BW152" s="480">
        <f>VLOOKUP(WWWW[[#This Row],[Village  Name]],SiteDB6[[Site Name]:[Ethnic or GCA/NGCA]],11,FALSE)</f>
        <v>0</v>
      </c>
      <c r="BX152" s="480">
        <f>VLOOKUP(WWWW[[#This Row],[Village  Name]],SiteDB6[[Site Name]:[Lat]],12,FALSE)</f>
        <v>92.998542785644503</v>
      </c>
      <c r="BY152" s="480">
        <f>VLOOKUP(WWWW[[#This Row],[Village  Name]],SiteDB6[[Site Name]:[Long]],13,FALSE)</f>
        <v>20.6563606262207</v>
      </c>
      <c r="BZ152" s="480">
        <f>VLOOKUP(WWWW[[#This Row],[Village  Name]],SiteDB6[[Site Name]:[Pcode]],3,FALSE)</f>
        <v>196940</v>
      </c>
      <c r="CA152" s="480" t="str">
        <f t="shared" si="8"/>
        <v>Covered</v>
      </c>
      <c r="CB152" s="505"/>
    </row>
    <row r="153" spans="1:80">
      <c r="A153" s="774" t="s">
        <v>3150</v>
      </c>
      <c r="B153" s="774" t="s">
        <v>318</v>
      </c>
      <c r="C153" s="415" t="s">
        <v>318</v>
      </c>
      <c r="D153" s="415" t="s">
        <v>334</v>
      </c>
      <c r="E153" s="415" t="s">
        <v>2648</v>
      </c>
      <c r="F153" s="415" t="s">
        <v>302</v>
      </c>
      <c r="G153" s="644" t="str">
        <f>VLOOKUP(WWWW[[#This Row],[Village  Name]],SiteDB6[[Site Name]:[Location Type]],8,FALSE)</f>
        <v>Village</v>
      </c>
      <c r="H153" s="415" t="s">
        <v>3157</v>
      </c>
      <c r="I153" s="524">
        <v>176</v>
      </c>
      <c r="J153" s="524">
        <v>880</v>
      </c>
      <c r="K153" s="418">
        <v>43647</v>
      </c>
      <c r="L153" s="55">
        <v>44043</v>
      </c>
      <c r="M153" s="524">
        <v>105</v>
      </c>
      <c r="N153" s="524"/>
      <c r="O153" s="524"/>
      <c r="P153" s="524"/>
      <c r="Q153" s="524"/>
      <c r="R153" s="524"/>
      <c r="S153" s="524">
        <v>3</v>
      </c>
      <c r="T153" s="524"/>
      <c r="U153" s="551"/>
      <c r="V153" s="524">
        <v>50</v>
      </c>
      <c r="W153" s="524" t="s">
        <v>130</v>
      </c>
      <c r="X153" s="524">
        <v>1</v>
      </c>
      <c r="Y153" s="524">
        <v>2</v>
      </c>
      <c r="Z153" s="524"/>
      <c r="AA153" s="524"/>
      <c r="AB153" s="524"/>
      <c r="AC153" s="551"/>
      <c r="AD153" s="524"/>
      <c r="AE153" s="524">
        <v>12</v>
      </c>
      <c r="AF153" s="524"/>
      <c r="AG153" s="524"/>
      <c r="AH153" s="524"/>
      <c r="AI153" s="524"/>
      <c r="AJ153" s="524">
        <v>12</v>
      </c>
      <c r="AK153" s="524"/>
      <c r="AL153" s="524"/>
      <c r="AM153" s="524"/>
      <c r="AN153" s="551"/>
      <c r="AO153" s="477"/>
      <c r="AP153" s="477"/>
      <c r="AQ153" s="524"/>
      <c r="AR153" s="524"/>
      <c r="AS153" s="524"/>
      <c r="AT15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53" s="483">
        <f>WWWW[[#This Row],[%Equitable and continuous access to sufficient quantity of safe drinking water]]*WWWW[[#This Row],[Total PoP ]]</f>
        <v>0</v>
      </c>
      <c r="AV15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3.4090909090909089E-3</v>
      </c>
      <c r="AW153" s="483">
        <f>WWWW[[#This Row],[% Access to unimproved water points]]*WWWW[[#This Row],[Total PoP ]]</f>
        <v>3</v>
      </c>
      <c r="AX15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3.4090909090909089E-3</v>
      </c>
      <c r="AY15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v>
      </c>
      <c r="AZ153" s="483">
        <f>WWWW[[#This Row],[HRP1]]/250</f>
        <v>1.2E-2</v>
      </c>
      <c r="BA153" s="476">
        <f>1-WWWW[[#This Row],[% Equitable and continuous access to sufficient quantity of domestic water]]</f>
        <v>0.99659090909090908</v>
      </c>
      <c r="BB153" s="483">
        <f>WWWW[[#This Row],[%equitable and continuous access to sufficient quantity of safe drinking and domestic water''s GAP]]*WWWW[[#This Row],[Total PoP ]]</f>
        <v>877</v>
      </c>
      <c r="BC153" s="478">
        <f>IF(WWWW[[#This Row],[Total required water points]]-WWWW[[#This Row],['#Water points coverage]]&lt;0,0,WWWW[[#This Row],[Total required water points]]-WWWW[[#This Row],['#Water points coverage]])</f>
        <v>3.988</v>
      </c>
      <c r="BD153" s="478">
        <f>ROUND(IF(WWWW[[#This Row],[Total PoP ]]&lt;250,1,WWWW[[#This Row],[Total PoP ]]/250),0)</f>
        <v>4</v>
      </c>
      <c r="BE15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0.34090909090909088</v>
      </c>
      <c r="BF153" s="483">
        <f>WWWW[[#This Row],[% people access to functioning Latrine]]*WWWW[[#This Row],[Total PoP ]]</f>
        <v>300</v>
      </c>
      <c r="BG153" s="478">
        <f>WWWW[[#This Row],['#_of_Functioning_latrines_in_school]]*50</f>
        <v>50</v>
      </c>
      <c r="BH153" s="478">
        <f>ROUND((WWWW[[#This Row],[Total PoP ]]/6),0)</f>
        <v>147</v>
      </c>
      <c r="BI153" s="478">
        <f>IF(WWWW[[#This Row],[Total required Latrines]]-(WWWW[[#This Row],['#_of_sanitary_fly-proof_HH_latrines]])&lt;0,0,WWWW[[#This Row],[Total required Latrines]]-(WWWW[[#This Row],['#_of_sanitary_fly-proof_HH_latrines]]))</f>
        <v>97</v>
      </c>
      <c r="BJ153" s="479">
        <f>1-WWWW[[#This Row],[% people access to functioning Latrine]]</f>
        <v>0.65909090909090917</v>
      </c>
      <c r="BK15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v>
      </c>
      <c r="BL153" s="483">
        <f>IF(WWWW[[#This Row],['#_of_functional_handwashing_facilities_at_HH_level]]*6&gt;WWWW[[#This Row],[Total PoP ]],WWWW[[#This Row],[Total PoP ]],WWWW[[#This Row],['#_of_functional_handwashing_facilities_at_HH_level]]*6)</f>
        <v>72</v>
      </c>
      <c r="BM153" s="478">
        <f>IF(WWWW[[#This Row],['# people reached by regular dedicated hygiene promotion]]&gt;WWWW[[#This Row],['# People received regular supply of hygiene items]],WWWW[[#This Row],['# people reached by regular dedicated hygiene promotion]],WWWW[[#This Row],['# People received regular supply of hygiene items]])</f>
        <v>12</v>
      </c>
      <c r="BN153" s="476">
        <f>IF(WWWW[[#This Row],[HRP3]]/WWWW[[#This Row],[Total PoP ]]&gt;100%,100%,WWWW[[#This Row],[HRP3]]/WWWW[[#This Row],[Total PoP ]])</f>
        <v>1.3636363636363636E-2</v>
      </c>
      <c r="BO153" s="479">
        <f>1-WWWW[[#This Row],[Hygiene Coverage%]]</f>
        <v>0.98636363636363633</v>
      </c>
      <c r="BP153" s="477">
        <f>WWWW[[#This Row],['# people reached by regular dedicated hygiene promotion]]/WWWW[[#This Row],[Total PoP ]]</f>
        <v>1.3636363636363636E-2</v>
      </c>
      <c r="BQ15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53" s="478">
        <f>WWWW[[#This Row],['#_of_affected_women_and_girls_receiving_a_sufficient_quantity_of_sanitary_pads]]</f>
        <v>0</v>
      </c>
      <c r="BS153" s="524">
        <f>IF(WWWW[[#This Row],['# People with access to soap]]&gt;WWWW[[#This Row],['# People with access to Sanity Pads]],WWWW[[#This Row],['# People with access to soap]],WWWW[[#This Row],['# People with access to Sanity Pads]])</f>
        <v>0</v>
      </c>
      <c r="BT153" s="483" t="str">
        <f>IF(OR(WWWW[[#This Row],['#of students in school]]="",WWWW[[#This Row],['#of students in school]]=0),"No","Yes")</f>
        <v>Yes</v>
      </c>
      <c r="BU153" s="480" t="str">
        <f>VLOOKUP(WWWW[[#This Row],[Village  Name]],SiteDB6[[Site Name]:[Location Type 1]],9,FALSE)</f>
        <v>Village</v>
      </c>
      <c r="BV153" s="480" t="str">
        <f>VLOOKUP(WWWW[[#This Row],[Village  Name]],SiteDB6[[Site Name]:[Type of Accommodation]],10,FALSE)</f>
        <v>Village</v>
      </c>
      <c r="BW153" s="480">
        <f>VLOOKUP(WWWW[[#This Row],[Village  Name]],SiteDB6[[Site Name]:[Ethnic or GCA/NGCA]],11,FALSE)</f>
        <v>0</v>
      </c>
      <c r="BX153" s="480">
        <f>VLOOKUP(WWWW[[#This Row],[Village  Name]],SiteDB6[[Site Name]:[Lat]],12,FALSE)</f>
        <v>92.983703613281307</v>
      </c>
      <c r="BY153" s="480">
        <f>VLOOKUP(WWWW[[#This Row],[Village  Name]],SiteDB6[[Site Name]:[Long]],13,FALSE)</f>
        <v>20.776130676269499</v>
      </c>
      <c r="BZ153" s="480">
        <f>VLOOKUP(WWWW[[#This Row],[Village  Name]],SiteDB6[[Site Name]:[Pcode]],3,FALSE)</f>
        <v>196962</v>
      </c>
      <c r="CA153" s="480" t="str">
        <f t="shared" si="8"/>
        <v>Covered</v>
      </c>
      <c r="CB153" s="505"/>
    </row>
    <row r="154" spans="1:80">
      <c r="A154" s="774" t="s">
        <v>3150</v>
      </c>
      <c r="B154" s="774" t="s">
        <v>318</v>
      </c>
      <c r="C154" s="415" t="s">
        <v>318</v>
      </c>
      <c r="D154" s="415" t="s">
        <v>334</v>
      </c>
      <c r="E154" s="415" t="s">
        <v>2648</v>
      </c>
      <c r="F154" s="415" t="s">
        <v>302</v>
      </c>
      <c r="G154" s="644" t="str">
        <f>VLOOKUP(WWWW[[#This Row],[Village  Name]],SiteDB6[[Site Name]:[Location Type]],8,FALSE)</f>
        <v>Village</v>
      </c>
      <c r="H154" s="415" t="s">
        <v>3167</v>
      </c>
      <c r="I154" s="524">
        <v>29</v>
      </c>
      <c r="J154" s="524">
        <v>137</v>
      </c>
      <c r="K154" s="418">
        <v>43647</v>
      </c>
      <c r="L154" s="55">
        <v>44043</v>
      </c>
      <c r="M154" s="524">
        <v>30</v>
      </c>
      <c r="N154" s="524"/>
      <c r="O154" s="524"/>
      <c r="P154" s="524"/>
      <c r="Q154" s="524">
        <v>2</v>
      </c>
      <c r="R154" s="524"/>
      <c r="S154" s="524">
        <v>2</v>
      </c>
      <c r="T154" s="524"/>
      <c r="U154" s="551"/>
      <c r="V154" s="524">
        <v>15</v>
      </c>
      <c r="W154" s="524" t="s">
        <v>130</v>
      </c>
      <c r="X154" s="524"/>
      <c r="Y154" s="524"/>
      <c r="Z154" s="524"/>
      <c r="AA154" s="524"/>
      <c r="AB154" s="524"/>
      <c r="AC154" s="551"/>
      <c r="AD154" s="524"/>
      <c r="AE154" s="524">
        <v>12</v>
      </c>
      <c r="AF154" s="524"/>
      <c r="AG154" s="524"/>
      <c r="AH154" s="524"/>
      <c r="AI154" s="524"/>
      <c r="AJ154" s="524">
        <v>12</v>
      </c>
      <c r="AK154" s="524"/>
      <c r="AL154" s="524"/>
      <c r="AM154" s="524"/>
      <c r="AN154" s="551"/>
      <c r="AO154" s="477"/>
      <c r="AP154" s="477"/>
      <c r="AQ154" s="524"/>
      <c r="AR154" s="524"/>
      <c r="AS154" s="524"/>
      <c r="AT15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54" s="483">
        <f>WWWW[[#This Row],[%Equitable and continuous access to sufficient quantity of safe drinking water]]*WWWW[[#This Row],[Total PoP ]]</f>
        <v>0</v>
      </c>
      <c r="AV15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54" s="483">
        <f>WWWW[[#This Row],[% Access to unimproved water points]]*WWWW[[#This Row],[Total PoP ]]</f>
        <v>137</v>
      </c>
      <c r="AX15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5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137</v>
      </c>
      <c r="AZ154" s="483">
        <f>WWWW[[#This Row],[HRP1]]/250</f>
        <v>0.54800000000000004</v>
      </c>
      <c r="BA154" s="476">
        <f>1-WWWW[[#This Row],[% Equitable and continuous access to sufficient quantity of domestic water]]</f>
        <v>0</v>
      </c>
      <c r="BB154" s="483">
        <f>WWWW[[#This Row],[%equitable and continuous access to sufficient quantity of safe drinking and domestic water''s GAP]]*WWWW[[#This Row],[Total PoP ]]</f>
        <v>0</v>
      </c>
      <c r="BC154" s="478">
        <f>IF(WWWW[[#This Row],[Total required water points]]-WWWW[[#This Row],['#Water points coverage]]&lt;0,0,WWWW[[#This Row],[Total required water points]]-WWWW[[#This Row],['#Water points coverage]])</f>
        <v>0.45199999999999996</v>
      </c>
      <c r="BD154" s="478">
        <f>ROUND(IF(WWWW[[#This Row],[Total PoP ]]&lt;250,1,WWWW[[#This Row],[Total PoP ]]/250),0)</f>
        <v>1</v>
      </c>
      <c r="BE15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0.65693430656934304</v>
      </c>
      <c r="BF154" s="483">
        <f>WWWW[[#This Row],[% people access to functioning Latrine]]*WWWW[[#This Row],[Total PoP ]]</f>
        <v>90</v>
      </c>
      <c r="BG154" s="478">
        <f>WWWW[[#This Row],['#_of_Functioning_latrines_in_school]]*50</f>
        <v>0</v>
      </c>
      <c r="BH154" s="478">
        <f>ROUND((WWWW[[#This Row],[Total PoP ]]/6),0)</f>
        <v>23</v>
      </c>
      <c r="BI154" s="478">
        <f>IF(WWWW[[#This Row],[Total required Latrines]]-(WWWW[[#This Row],['#_of_sanitary_fly-proof_HH_latrines]])&lt;0,0,WWWW[[#This Row],[Total required Latrines]]-(WWWW[[#This Row],['#_of_sanitary_fly-proof_HH_latrines]]))</f>
        <v>8</v>
      </c>
      <c r="BJ154" s="479">
        <f>1-WWWW[[#This Row],[% people access to functioning Latrine]]</f>
        <v>0.34306569343065696</v>
      </c>
      <c r="BK15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v>
      </c>
      <c r="BL154" s="483">
        <f>IF(WWWW[[#This Row],['#_of_functional_handwashing_facilities_at_HH_level]]*6&gt;WWWW[[#This Row],[Total PoP ]],WWWW[[#This Row],[Total PoP ]],WWWW[[#This Row],['#_of_functional_handwashing_facilities_at_HH_level]]*6)</f>
        <v>72</v>
      </c>
      <c r="BM154" s="478">
        <f>IF(WWWW[[#This Row],['# people reached by regular dedicated hygiene promotion]]&gt;WWWW[[#This Row],['# People received regular supply of hygiene items]],WWWW[[#This Row],['# people reached by regular dedicated hygiene promotion]],WWWW[[#This Row],['# People received regular supply of hygiene items]])</f>
        <v>12</v>
      </c>
      <c r="BN154" s="476">
        <f>IF(WWWW[[#This Row],[HRP3]]/WWWW[[#This Row],[Total PoP ]]&gt;100%,100%,WWWW[[#This Row],[HRP3]]/WWWW[[#This Row],[Total PoP ]])</f>
        <v>8.7591240875912413E-2</v>
      </c>
      <c r="BO154" s="479">
        <f>1-WWWW[[#This Row],[Hygiene Coverage%]]</f>
        <v>0.91240875912408759</v>
      </c>
      <c r="BP154" s="477">
        <f>WWWW[[#This Row],['# people reached by regular dedicated hygiene promotion]]/WWWW[[#This Row],[Total PoP ]]</f>
        <v>8.7591240875912413E-2</v>
      </c>
      <c r="BQ15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54" s="478">
        <f>WWWW[[#This Row],['#_of_affected_women_and_girls_receiving_a_sufficient_quantity_of_sanitary_pads]]</f>
        <v>0</v>
      </c>
      <c r="BS154" s="524">
        <f>IF(WWWW[[#This Row],['# People with access to soap]]&gt;WWWW[[#This Row],['# People with access to Sanity Pads]],WWWW[[#This Row],['# People with access to soap]],WWWW[[#This Row],['# People with access to Sanity Pads]])</f>
        <v>0</v>
      </c>
      <c r="BT154" s="483" t="str">
        <f>IF(OR(WWWW[[#This Row],['#of students in school]]="",WWWW[[#This Row],['#of students in school]]=0),"No","Yes")</f>
        <v>Yes</v>
      </c>
      <c r="BU154" s="480" t="str">
        <f>VLOOKUP(WWWW[[#This Row],[Village  Name]],SiteDB6[[Site Name]:[Location Type 1]],9,FALSE)</f>
        <v>Village</v>
      </c>
      <c r="BV154" s="480" t="str">
        <f>VLOOKUP(WWWW[[#This Row],[Village  Name]],SiteDB6[[Site Name]:[Type of Accommodation]],10,FALSE)</f>
        <v>Village</v>
      </c>
      <c r="BW154" s="480">
        <f>VLOOKUP(WWWW[[#This Row],[Village  Name]],SiteDB6[[Site Name]:[Ethnic or GCA/NGCA]],11,FALSE)</f>
        <v>0</v>
      </c>
      <c r="BX154" s="480">
        <f>VLOOKUP(WWWW[[#This Row],[Village  Name]],SiteDB6[[Site Name]:[Lat]],12,FALSE)</f>
        <v>92.929412841796903</v>
      </c>
      <c r="BY154" s="480">
        <f>VLOOKUP(WWWW[[#This Row],[Village  Name]],SiteDB6[[Site Name]:[Long]],13,FALSE)</f>
        <v>20.642980575561499</v>
      </c>
      <c r="BZ154" s="480">
        <f>VLOOKUP(WWWW[[#This Row],[Village  Name]],SiteDB6[[Site Name]:[Pcode]],3,FALSE)</f>
        <v>196919</v>
      </c>
      <c r="CA154" s="480" t="str">
        <f t="shared" si="8"/>
        <v>Covered</v>
      </c>
      <c r="CB154" s="505"/>
    </row>
    <row r="155" spans="1:80">
      <c r="A155" s="774" t="s">
        <v>3150</v>
      </c>
      <c r="B155" s="774" t="s">
        <v>318</v>
      </c>
      <c r="C155" s="415" t="s">
        <v>318</v>
      </c>
      <c r="D155" s="415" t="s">
        <v>334</v>
      </c>
      <c r="E155" s="415" t="s">
        <v>2648</v>
      </c>
      <c r="F155" s="415" t="s">
        <v>302</v>
      </c>
      <c r="G155" s="644" t="str">
        <f>VLOOKUP(WWWW[[#This Row],[Village  Name]],SiteDB6[[Site Name]:[Location Type]],8,FALSE)</f>
        <v>Village</v>
      </c>
      <c r="H155" s="415" t="s">
        <v>552</v>
      </c>
      <c r="I155" s="524">
        <v>361</v>
      </c>
      <c r="J155" s="524">
        <v>1669</v>
      </c>
      <c r="K155" s="418">
        <v>43647</v>
      </c>
      <c r="L155" s="55">
        <v>44043</v>
      </c>
      <c r="M155" s="524">
        <v>512</v>
      </c>
      <c r="N155" s="524"/>
      <c r="O155" s="524"/>
      <c r="P155" s="524"/>
      <c r="Q155" s="524">
        <v>4</v>
      </c>
      <c r="R155" s="524"/>
      <c r="S155" s="524">
        <v>5</v>
      </c>
      <c r="T155" s="524">
        <v>1</v>
      </c>
      <c r="U155" s="551"/>
      <c r="V155" s="524">
        <v>210</v>
      </c>
      <c r="W155" s="524" t="s">
        <v>130</v>
      </c>
      <c r="X155" s="524">
        <v>4</v>
      </c>
      <c r="Y155" s="524">
        <v>6</v>
      </c>
      <c r="Z155" s="524"/>
      <c r="AA155" s="524">
        <v>1</v>
      </c>
      <c r="AB155" s="524"/>
      <c r="AC155" s="551"/>
      <c r="AD155" s="524"/>
      <c r="AE155" s="524">
        <v>12</v>
      </c>
      <c r="AF155" s="524"/>
      <c r="AG155" s="524"/>
      <c r="AH155" s="524"/>
      <c r="AI155" s="524"/>
      <c r="AJ155" s="524">
        <v>12</v>
      </c>
      <c r="AK155" s="524"/>
      <c r="AL155" s="524"/>
      <c r="AM155" s="524"/>
      <c r="AN155" s="551"/>
      <c r="AO155" s="477"/>
      <c r="AP155" s="477"/>
      <c r="AQ155" s="524"/>
      <c r="AR155" s="524"/>
      <c r="AS155" s="524"/>
      <c r="AT15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0.14979029358897544</v>
      </c>
      <c r="AU155" s="483">
        <f>WWWW[[#This Row],[%Equitable and continuous access to sufficient quantity of safe drinking water]]*WWWW[[#This Row],[Total PoP ]]</f>
        <v>250</v>
      </c>
      <c r="AV15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55" s="483">
        <f>WWWW[[#This Row],[% Access to unimproved water points]]*WWWW[[#This Row],[Total PoP ]]</f>
        <v>1669</v>
      </c>
      <c r="AX15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5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1669</v>
      </c>
      <c r="AZ155" s="483">
        <f>WWWW[[#This Row],[HRP1]]/250</f>
        <v>6.6760000000000002</v>
      </c>
      <c r="BA155" s="476">
        <f>1-WWWW[[#This Row],[% Equitable and continuous access to sufficient quantity of domestic water]]</f>
        <v>0</v>
      </c>
      <c r="BB155" s="483">
        <f>WWWW[[#This Row],[%equitable and continuous access to sufficient quantity of safe drinking and domestic water''s GAP]]*WWWW[[#This Row],[Total PoP ]]</f>
        <v>0</v>
      </c>
      <c r="BC155" s="478">
        <f>IF(WWWW[[#This Row],[Total required water points]]-WWWW[[#This Row],['#Water points coverage]]&lt;0,0,WWWW[[#This Row],[Total required water points]]-WWWW[[#This Row],['#Water points coverage]])</f>
        <v>0.32399999999999984</v>
      </c>
      <c r="BD155" s="478">
        <f>ROUND(IF(WWWW[[#This Row],[Total PoP ]]&lt;250,1,WWWW[[#This Row],[Total PoP ]]/250),0)</f>
        <v>7</v>
      </c>
      <c r="BE15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0.75494307968843621</v>
      </c>
      <c r="BF155" s="483">
        <f>WWWW[[#This Row],[% people access to functioning Latrine]]*WWWW[[#This Row],[Total PoP ]]</f>
        <v>1260</v>
      </c>
      <c r="BG155" s="478">
        <f>WWWW[[#This Row],['#_of_Functioning_latrines_in_school]]*50</f>
        <v>200</v>
      </c>
      <c r="BH155" s="478">
        <f>ROUND((WWWW[[#This Row],[Total PoP ]]/6),0)</f>
        <v>278</v>
      </c>
      <c r="BI155" s="478">
        <f>IF(WWWW[[#This Row],[Total required Latrines]]-(WWWW[[#This Row],['#_of_sanitary_fly-proof_HH_latrines]])&lt;0,0,WWWW[[#This Row],[Total required Latrines]]-(WWWW[[#This Row],['#_of_sanitary_fly-proof_HH_latrines]]))</f>
        <v>68</v>
      </c>
      <c r="BJ155" s="479">
        <f>1-WWWW[[#This Row],[% people access to functioning Latrine]]</f>
        <v>0.24505692031156379</v>
      </c>
      <c r="BK15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v>
      </c>
      <c r="BL155" s="483">
        <f>IF(WWWW[[#This Row],['#_of_functional_handwashing_facilities_at_HH_level]]*6&gt;WWWW[[#This Row],[Total PoP ]],WWWW[[#This Row],[Total PoP ]],WWWW[[#This Row],['#_of_functional_handwashing_facilities_at_HH_level]]*6)</f>
        <v>72</v>
      </c>
      <c r="BM155" s="478">
        <f>IF(WWWW[[#This Row],['# people reached by regular dedicated hygiene promotion]]&gt;WWWW[[#This Row],['# People received regular supply of hygiene items]],WWWW[[#This Row],['# people reached by regular dedicated hygiene promotion]],WWWW[[#This Row],['# People received regular supply of hygiene items]])</f>
        <v>12</v>
      </c>
      <c r="BN155" s="476">
        <f>IF(WWWW[[#This Row],[HRP3]]/WWWW[[#This Row],[Total PoP ]]&gt;100%,100%,WWWW[[#This Row],[HRP3]]/WWWW[[#This Row],[Total PoP ]])</f>
        <v>7.1899340922708206E-3</v>
      </c>
      <c r="BO155" s="479">
        <f>1-WWWW[[#This Row],[Hygiene Coverage%]]</f>
        <v>0.99281006590772913</v>
      </c>
      <c r="BP155" s="477">
        <f>WWWW[[#This Row],['# people reached by regular dedicated hygiene promotion]]/WWWW[[#This Row],[Total PoP ]]</f>
        <v>7.1899340922708206E-3</v>
      </c>
      <c r="BQ15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55" s="478">
        <f>WWWW[[#This Row],['#_of_affected_women_and_girls_receiving_a_sufficient_quantity_of_sanitary_pads]]</f>
        <v>0</v>
      </c>
      <c r="BS155" s="524">
        <f>IF(WWWW[[#This Row],['# People with access to soap]]&gt;WWWW[[#This Row],['# People with access to Sanity Pads]],WWWW[[#This Row],['# People with access to soap]],WWWW[[#This Row],['# People with access to Sanity Pads]])</f>
        <v>0</v>
      </c>
      <c r="BT155" s="483" t="str">
        <f>IF(OR(WWWW[[#This Row],['#of students in school]]="",WWWW[[#This Row],['#of students in school]]=0),"No","Yes")</f>
        <v>Yes</v>
      </c>
      <c r="BU155" s="480" t="str">
        <f>VLOOKUP(WWWW[[#This Row],[Village  Name]],SiteDB6[[Site Name]:[Location Type 1]],9,FALSE)</f>
        <v>Village</v>
      </c>
      <c r="BV155" s="480" t="str">
        <f>VLOOKUP(WWWW[[#This Row],[Village  Name]],SiteDB6[[Site Name]:[Type of Accommodation]],10,FALSE)</f>
        <v>Village</v>
      </c>
      <c r="BW155" s="480" t="str">
        <f>VLOOKUP(WWWW[[#This Row],[Village  Name]],SiteDB6[[Site Name]:[Ethnic or GCA/NGCA]],11,FALSE)</f>
        <v>Rakhine</v>
      </c>
      <c r="BX155" s="480">
        <f>VLOOKUP(WWWW[[#This Row],[Village  Name]],SiteDB6[[Site Name]:[Lat]],12,FALSE)</f>
        <v>20.705930710000001</v>
      </c>
      <c r="BY155" s="480">
        <f>VLOOKUP(WWWW[[#This Row],[Village  Name]],SiteDB6[[Site Name]:[Long]],13,FALSE)</f>
        <v>93.001953130000004</v>
      </c>
      <c r="BZ155" s="480">
        <f>VLOOKUP(WWWW[[#This Row],[Village  Name]],SiteDB6[[Site Name]:[Pcode]],3,FALSE)</f>
        <v>196943</v>
      </c>
      <c r="CA155" s="480" t="str">
        <f t="shared" si="8"/>
        <v>Covered</v>
      </c>
      <c r="CB155" s="505"/>
    </row>
    <row r="156" spans="1:80">
      <c r="A156" s="774" t="s">
        <v>3150</v>
      </c>
      <c r="B156" s="774" t="s">
        <v>318</v>
      </c>
      <c r="C156" s="415" t="s">
        <v>318</v>
      </c>
      <c r="D156" s="415" t="s">
        <v>334</v>
      </c>
      <c r="E156" s="415" t="s">
        <v>2648</v>
      </c>
      <c r="F156" s="415" t="s">
        <v>302</v>
      </c>
      <c r="G156" s="644" t="str">
        <f>VLOOKUP(WWWW[[#This Row],[Village  Name]],SiteDB6[[Site Name]:[Location Type]],8,FALSE)</f>
        <v>Village</v>
      </c>
      <c r="H156" s="415" t="s">
        <v>2280</v>
      </c>
      <c r="I156" s="524">
        <v>86</v>
      </c>
      <c r="J156" s="524">
        <v>404</v>
      </c>
      <c r="K156" s="418">
        <v>43647</v>
      </c>
      <c r="L156" s="55">
        <v>44043</v>
      </c>
      <c r="M156" s="524">
        <v>55</v>
      </c>
      <c r="N156" s="524"/>
      <c r="O156" s="524"/>
      <c r="P156" s="524"/>
      <c r="Q156" s="524">
        <v>3</v>
      </c>
      <c r="R156" s="524"/>
      <c r="S156" s="524"/>
      <c r="T156" s="524"/>
      <c r="U156" s="551"/>
      <c r="V156" s="524">
        <v>35</v>
      </c>
      <c r="W156" s="524" t="s">
        <v>130</v>
      </c>
      <c r="X156" s="524">
        <v>2</v>
      </c>
      <c r="Y156" s="524">
        <v>4</v>
      </c>
      <c r="Z156" s="524"/>
      <c r="AA156" s="524"/>
      <c r="AB156" s="524"/>
      <c r="AC156" s="551"/>
      <c r="AD156" s="524"/>
      <c r="AE156" s="524">
        <v>12</v>
      </c>
      <c r="AF156" s="524"/>
      <c r="AG156" s="524"/>
      <c r="AH156" s="524"/>
      <c r="AI156" s="524"/>
      <c r="AJ156" s="524">
        <v>9</v>
      </c>
      <c r="AK156" s="524"/>
      <c r="AL156" s="524"/>
      <c r="AM156" s="524"/>
      <c r="AN156" s="551"/>
      <c r="AO156" s="477"/>
      <c r="AP156" s="477"/>
      <c r="AQ156" s="524"/>
      <c r="AR156" s="524"/>
      <c r="AS156" s="524"/>
      <c r="AT15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56" s="483">
        <f>WWWW[[#This Row],[%Equitable and continuous access to sufficient quantity of safe drinking water]]*WWWW[[#This Row],[Total PoP ]]</f>
        <v>0</v>
      </c>
      <c r="AV15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56" s="483">
        <f>WWWW[[#This Row],[% Access to unimproved water points]]*WWWW[[#This Row],[Total PoP ]]</f>
        <v>404</v>
      </c>
      <c r="AX15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5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404</v>
      </c>
      <c r="AZ156" s="483">
        <f>WWWW[[#This Row],[HRP1]]/250</f>
        <v>1.6160000000000001</v>
      </c>
      <c r="BA156" s="476">
        <f>1-WWWW[[#This Row],[% Equitable and continuous access to sufficient quantity of domestic water]]</f>
        <v>0</v>
      </c>
      <c r="BB156" s="483">
        <f>WWWW[[#This Row],[%equitable and continuous access to sufficient quantity of safe drinking and domestic water''s GAP]]*WWWW[[#This Row],[Total PoP ]]</f>
        <v>0</v>
      </c>
      <c r="BC156" s="478">
        <f>IF(WWWW[[#This Row],[Total required water points]]-WWWW[[#This Row],['#Water points coverage]]&lt;0,0,WWWW[[#This Row],[Total required water points]]-WWWW[[#This Row],['#Water points coverage]])</f>
        <v>0.3839999999999999</v>
      </c>
      <c r="BD156" s="478">
        <f>ROUND(IF(WWWW[[#This Row],[Total PoP ]]&lt;250,1,WWWW[[#This Row],[Total PoP ]]/250),0)</f>
        <v>2</v>
      </c>
      <c r="BE15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0.51980198019801982</v>
      </c>
      <c r="BF156" s="483">
        <f>WWWW[[#This Row],[% people access to functioning Latrine]]*WWWW[[#This Row],[Total PoP ]]</f>
        <v>210</v>
      </c>
      <c r="BG156" s="478">
        <f>WWWW[[#This Row],['#_of_Functioning_latrines_in_school]]*50</f>
        <v>100</v>
      </c>
      <c r="BH156" s="478">
        <f>ROUND((WWWW[[#This Row],[Total PoP ]]/6),0)</f>
        <v>67</v>
      </c>
      <c r="BI156" s="478">
        <f>IF(WWWW[[#This Row],[Total required Latrines]]-(WWWW[[#This Row],['#_of_sanitary_fly-proof_HH_latrines]])&lt;0,0,WWWW[[#This Row],[Total required Latrines]]-(WWWW[[#This Row],['#_of_sanitary_fly-proof_HH_latrines]]))</f>
        <v>32</v>
      </c>
      <c r="BJ156" s="479">
        <f>1-WWWW[[#This Row],[% people access to functioning Latrine]]</f>
        <v>0.48019801980198018</v>
      </c>
      <c r="BK15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v>
      </c>
      <c r="BL156" s="483">
        <f>IF(WWWW[[#This Row],['#_of_functional_handwashing_facilities_at_HH_level]]*6&gt;WWWW[[#This Row],[Total PoP ]],WWWW[[#This Row],[Total PoP ]],WWWW[[#This Row],['#_of_functional_handwashing_facilities_at_HH_level]]*6)</f>
        <v>54</v>
      </c>
      <c r="BM156" s="478">
        <f>IF(WWWW[[#This Row],['# people reached by regular dedicated hygiene promotion]]&gt;WWWW[[#This Row],['# People received regular supply of hygiene items]],WWWW[[#This Row],['# people reached by regular dedicated hygiene promotion]],WWWW[[#This Row],['# People received regular supply of hygiene items]])</f>
        <v>12</v>
      </c>
      <c r="BN156" s="476">
        <f>IF(WWWW[[#This Row],[HRP3]]/WWWW[[#This Row],[Total PoP ]]&gt;100%,100%,WWWW[[#This Row],[HRP3]]/WWWW[[#This Row],[Total PoP ]])</f>
        <v>2.9702970297029702E-2</v>
      </c>
      <c r="BO156" s="479">
        <f>1-WWWW[[#This Row],[Hygiene Coverage%]]</f>
        <v>0.97029702970297027</v>
      </c>
      <c r="BP156" s="477">
        <f>WWWW[[#This Row],['# people reached by regular dedicated hygiene promotion]]/WWWW[[#This Row],[Total PoP ]]</f>
        <v>2.9702970297029702E-2</v>
      </c>
      <c r="BQ15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56" s="478">
        <f>WWWW[[#This Row],['#_of_affected_women_and_girls_receiving_a_sufficient_quantity_of_sanitary_pads]]</f>
        <v>0</v>
      </c>
      <c r="BS156" s="524">
        <f>IF(WWWW[[#This Row],['# People with access to soap]]&gt;WWWW[[#This Row],['# People with access to Sanity Pads]],WWWW[[#This Row],['# People with access to soap]],WWWW[[#This Row],['# People with access to Sanity Pads]])</f>
        <v>0</v>
      </c>
      <c r="BT156" s="483" t="str">
        <f>IF(OR(WWWW[[#This Row],['#of students in school]]="",WWWW[[#This Row],['#of students in school]]=0),"No","Yes")</f>
        <v>Yes</v>
      </c>
      <c r="BU156" s="480" t="str">
        <f>VLOOKUP(WWWW[[#This Row],[Village  Name]],SiteDB6[[Site Name]:[Location Type 1]],9,FALSE)</f>
        <v>Village</v>
      </c>
      <c r="BV156" s="480" t="str">
        <f>VLOOKUP(WWWW[[#This Row],[Village  Name]],SiteDB6[[Site Name]:[Type of Accommodation]],10,FALSE)</f>
        <v>Village</v>
      </c>
      <c r="BW156" s="480">
        <f>VLOOKUP(WWWW[[#This Row],[Village  Name]],SiteDB6[[Site Name]:[Ethnic or GCA/NGCA]],11,FALSE)</f>
        <v>0</v>
      </c>
      <c r="BX156" s="480">
        <f>VLOOKUP(WWWW[[#This Row],[Village  Name]],SiteDB6[[Site Name]:[Lat]],12,FALSE)</f>
        <v>20.640909189999999</v>
      </c>
      <c r="BY156" s="480">
        <f>VLOOKUP(WWWW[[#This Row],[Village  Name]],SiteDB6[[Site Name]:[Long]],13,FALSE)</f>
        <v>92.979751590000006</v>
      </c>
      <c r="BZ156" s="480">
        <f>VLOOKUP(WWWW[[#This Row],[Village  Name]],SiteDB6[[Site Name]:[Pcode]],3,FALSE)</f>
        <v>196938</v>
      </c>
      <c r="CA156" s="480" t="str">
        <f t="shared" si="8"/>
        <v>Covered</v>
      </c>
      <c r="CB156" s="505"/>
    </row>
    <row r="157" spans="1:80">
      <c r="A157" s="774" t="s">
        <v>3150</v>
      </c>
      <c r="B157" s="774" t="s">
        <v>318</v>
      </c>
      <c r="C157" s="415" t="s">
        <v>318</v>
      </c>
      <c r="D157" s="415" t="s">
        <v>334</v>
      </c>
      <c r="E157" s="415" t="s">
        <v>2648</v>
      </c>
      <c r="F157" s="415" t="s">
        <v>302</v>
      </c>
      <c r="G157" s="644" t="str">
        <f>VLOOKUP(WWWW[[#This Row],[Village  Name]],SiteDB6[[Site Name]:[Location Type]],8,FALSE)</f>
        <v>Village</v>
      </c>
      <c r="H157" s="415" t="s">
        <v>3169</v>
      </c>
      <c r="I157" s="524">
        <v>181</v>
      </c>
      <c r="J157" s="524">
        <v>833</v>
      </c>
      <c r="K157" s="418">
        <v>43647</v>
      </c>
      <c r="L157" s="55">
        <v>44043</v>
      </c>
      <c r="M157" s="524">
        <v>195</v>
      </c>
      <c r="N157" s="524"/>
      <c r="O157" s="524"/>
      <c r="P157" s="524"/>
      <c r="Q157" s="524"/>
      <c r="R157" s="524"/>
      <c r="S157" s="524">
        <v>4</v>
      </c>
      <c r="T157" s="524"/>
      <c r="U157" s="551"/>
      <c r="V157" s="524">
        <v>75</v>
      </c>
      <c r="W157" s="524" t="s">
        <v>130</v>
      </c>
      <c r="X157" s="524">
        <v>1</v>
      </c>
      <c r="Y157" s="524">
        <v>4</v>
      </c>
      <c r="Z157" s="524"/>
      <c r="AA157" s="524"/>
      <c r="AB157" s="524"/>
      <c r="AC157" s="551"/>
      <c r="AD157" s="524">
        <v>1</v>
      </c>
      <c r="AE157" s="524">
        <v>11</v>
      </c>
      <c r="AF157" s="524"/>
      <c r="AG157" s="524"/>
      <c r="AH157" s="524"/>
      <c r="AI157" s="524"/>
      <c r="AJ157" s="524">
        <v>11</v>
      </c>
      <c r="AK157" s="524"/>
      <c r="AL157" s="524"/>
      <c r="AM157" s="524"/>
      <c r="AN157" s="551"/>
      <c r="AO157" s="477"/>
      <c r="AP157" s="477"/>
      <c r="AQ157" s="524"/>
      <c r="AR157" s="524"/>
      <c r="AS157" s="524"/>
      <c r="AT15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57" s="483">
        <f>WWWW[[#This Row],[%Equitable and continuous access to sufficient quantity of safe drinking water]]*WWWW[[#This Row],[Total PoP ]]</f>
        <v>0</v>
      </c>
      <c r="AV15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4.8019207683073226E-3</v>
      </c>
      <c r="AW157" s="483">
        <f>WWWW[[#This Row],[% Access to unimproved water points]]*WWWW[[#This Row],[Total PoP ]]</f>
        <v>3.9999999999999996</v>
      </c>
      <c r="AX15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4.8019207683073226E-3</v>
      </c>
      <c r="AY15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3.9999999999999996</v>
      </c>
      <c r="AZ157" s="483">
        <f>WWWW[[#This Row],[HRP1]]/250</f>
        <v>1.5999999999999997E-2</v>
      </c>
      <c r="BA157" s="476">
        <f>1-WWWW[[#This Row],[% Equitable and continuous access to sufficient quantity of domestic water]]</f>
        <v>0.99519807923169268</v>
      </c>
      <c r="BB157" s="483">
        <f>WWWW[[#This Row],[%equitable and continuous access to sufficient quantity of safe drinking and domestic water''s GAP]]*WWWW[[#This Row],[Total PoP ]]</f>
        <v>829</v>
      </c>
      <c r="BC157" s="478">
        <f>IF(WWWW[[#This Row],[Total required water points]]-WWWW[[#This Row],['#Water points coverage]]&lt;0,0,WWWW[[#This Row],[Total required water points]]-WWWW[[#This Row],['#Water points coverage]])</f>
        <v>2.984</v>
      </c>
      <c r="BD157" s="478">
        <f>ROUND(IF(WWWW[[#This Row],[Total PoP ]]&lt;250,1,WWWW[[#This Row],[Total PoP ]]/250),0)</f>
        <v>3</v>
      </c>
      <c r="BE15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0.54021608643457386</v>
      </c>
      <c r="BF157" s="483">
        <f>WWWW[[#This Row],[% people access to functioning Latrine]]*WWWW[[#This Row],[Total PoP ]]</f>
        <v>450</v>
      </c>
      <c r="BG157" s="478">
        <f>WWWW[[#This Row],['#_of_Functioning_latrines_in_school]]*50</f>
        <v>50</v>
      </c>
      <c r="BH157" s="478">
        <f>ROUND((WWWW[[#This Row],[Total PoP ]]/6),0)</f>
        <v>139</v>
      </c>
      <c r="BI157" s="478">
        <f>IF(WWWW[[#This Row],[Total required Latrines]]-(WWWW[[#This Row],['#_of_sanitary_fly-proof_HH_latrines]])&lt;0,0,WWWW[[#This Row],[Total required Latrines]]-(WWWW[[#This Row],['#_of_sanitary_fly-proof_HH_latrines]]))</f>
        <v>64</v>
      </c>
      <c r="BJ157" s="479">
        <f>1-WWWW[[#This Row],[% people access to functioning Latrine]]</f>
        <v>0.45978391356542614</v>
      </c>
      <c r="BK15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v>
      </c>
      <c r="BL157" s="483">
        <f>IF(WWWW[[#This Row],['#_of_functional_handwashing_facilities_at_HH_level]]*6&gt;WWWW[[#This Row],[Total PoP ]],WWWW[[#This Row],[Total PoP ]],WWWW[[#This Row],['#_of_functional_handwashing_facilities_at_HH_level]]*6)</f>
        <v>66</v>
      </c>
      <c r="BM157" s="478">
        <f>IF(WWWW[[#This Row],['# people reached by regular dedicated hygiene promotion]]&gt;WWWW[[#This Row],['# People received regular supply of hygiene items]],WWWW[[#This Row],['# people reached by regular dedicated hygiene promotion]],WWWW[[#This Row],['# People received regular supply of hygiene items]])</f>
        <v>12</v>
      </c>
      <c r="BN157" s="476">
        <f>IF(WWWW[[#This Row],[HRP3]]/WWWW[[#This Row],[Total PoP ]]&gt;100%,100%,WWWW[[#This Row],[HRP3]]/WWWW[[#This Row],[Total PoP ]])</f>
        <v>1.4405762304921969E-2</v>
      </c>
      <c r="BO157" s="479">
        <f>1-WWWW[[#This Row],[Hygiene Coverage%]]</f>
        <v>0.98559423769507803</v>
      </c>
      <c r="BP157" s="477">
        <f>WWWW[[#This Row],['# people reached by regular dedicated hygiene promotion]]/WWWW[[#This Row],[Total PoP ]]</f>
        <v>1.4405762304921969E-2</v>
      </c>
      <c r="BQ15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57" s="478">
        <f>WWWW[[#This Row],['#_of_affected_women_and_girls_receiving_a_sufficient_quantity_of_sanitary_pads]]</f>
        <v>0</v>
      </c>
      <c r="BS157" s="524">
        <f>IF(WWWW[[#This Row],['# People with access to soap]]&gt;WWWW[[#This Row],['# People with access to Sanity Pads]],WWWW[[#This Row],['# People with access to soap]],WWWW[[#This Row],['# People with access to Sanity Pads]])</f>
        <v>0</v>
      </c>
      <c r="BT157" s="483" t="str">
        <f>IF(OR(WWWW[[#This Row],['#of students in school]]="",WWWW[[#This Row],['#of students in school]]=0),"No","Yes")</f>
        <v>Yes</v>
      </c>
      <c r="BU157" s="480" t="str">
        <f>VLOOKUP(WWWW[[#This Row],[Village  Name]],SiteDB6[[Site Name]:[Location Type 1]],9,FALSE)</f>
        <v>Village</v>
      </c>
      <c r="BV157" s="480" t="str">
        <f>VLOOKUP(WWWW[[#This Row],[Village  Name]],SiteDB6[[Site Name]:[Type of Accommodation]],10,FALSE)</f>
        <v>Village</v>
      </c>
      <c r="BW157" s="480">
        <f>VLOOKUP(WWWW[[#This Row],[Village  Name]],SiteDB6[[Site Name]:[Ethnic or GCA/NGCA]],11,FALSE)</f>
        <v>0</v>
      </c>
      <c r="BX157" s="480">
        <f>VLOOKUP(WWWW[[#This Row],[Village  Name]],SiteDB6[[Site Name]:[Lat]],12,FALSE)</f>
        <v>92.934356689453097</v>
      </c>
      <c r="BY157" s="480">
        <f>VLOOKUP(WWWW[[#This Row],[Village  Name]],SiteDB6[[Site Name]:[Long]],13,FALSE)</f>
        <v>20.657760620117202</v>
      </c>
      <c r="BZ157" s="480">
        <f>VLOOKUP(WWWW[[#This Row],[Village  Name]],SiteDB6[[Site Name]:[Pcode]],3,FALSE)</f>
        <v>196925</v>
      </c>
      <c r="CA157" s="480" t="str">
        <f t="shared" si="8"/>
        <v>Covered</v>
      </c>
      <c r="CB157" s="505"/>
    </row>
    <row r="158" spans="1:80">
      <c r="A158" s="774" t="s">
        <v>3150</v>
      </c>
      <c r="B158" s="774" t="s">
        <v>318</v>
      </c>
      <c r="C158" s="415" t="s">
        <v>318</v>
      </c>
      <c r="D158" s="415" t="s">
        <v>334</v>
      </c>
      <c r="E158" s="415" t="s">
        <v>2648</v>
      </c>
      <c r="F158" s="415" t="s">
        <v>302</v>
      </c>
      <c r="G158" s="644" t="str">
        <f>VLOOKUP(WWWW[[#This Row],[Village  Name]],SiteDB6[[Site Name]:[Location Type]],8,FALSE)</f>
        <v>Village</v>
      </c>
      <c r="H158" s="415" t="s">
        <v>3171</v>
      </c>
      <c r="I158" s="524">
        <v>34</v>
      </c>
      <c r="J158" s="524">
        <v>198</v>
      </c>
      <c r="K158" s="418">
        <v>43647</v>
      </c>
      <c r="L158" s="55">
        <v>44043</v>
      </c>
      <c r="M158" s="524">
        <v>205</v>
      </c>
      <c r="N158" s="524"/>
      <c r="O158" s="524"/>
      <c r="P158" s="524"/>
      <c r="Q158" s="524">
        <v>2</v>
      </c>
      <c r="R158" s="524"/>
      <c r="S158" s="524">
        <v>2</v>
      </c>
      <c r="T158" s="524"/>
      <c r="U158" s="551"/>
      <c r="V158" s="524">
        <v>4</v>
      </c>
      <c r="W158" s="524" t="s">
        <v>130</v>
      </c>
      <c r="X158" s="524">
        <v>1</v>
      </c>
      <c r="Y158" s="524"/>
      <c r="Z158" s="524"/>
      <c r="AA158" s="524"/>
      <c r="AB158" s="524"/>
      <c r="AC158" s="551"/>
      <c r="AD158" s="524"/>
      <c r="AE158" s="524">
        <v>12</v>
      </c>
      <c r="AF158" s="524"/>
      <c r="AG158" s="524"/>
      <c r="AH158" s="524"/>
      <c r="AI158" s="524"/>
      <c r="AJ158" s="524">
        <v>12</v>
      </c>
      <c r="AK158" s="524"/>
      <c r="AL158" s="524"/>
      <c r="AM158" s="524"/>
      <c r="AN158" s="551"/>
      <c r="AO158" s="477"/>
      <c r="AP158" s="477"/>
      <c r="AQ158" s="524"/>
      <c r="AR158" s="524"/>
      <c r="AS158" s="524"/>
      <c r="AT15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58" s="483">
        <f>WWWW[[#This Row],[%Equitable and continuous access to sufficient quantity of safe drinking water]]*WWWW[[#This Row],[Total PoP ]]</f>
        <v>0</v>
      </c>
      <c r="AV15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58" s="483">
        <f>WWWW[[#This Row],[% Access to unimproved water points]]*WWWW[[#This Row],[Total PoP ]]</f>
        <v>198</v>
      </c>
      <c r="AX15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5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198</v>
      </c>
      <c r="AZ158" s="483">
        <f>WWWW[[#This Row],[HRP1]]/250</f>
        <v>0.79200000000000004</v>
      </c>
      <c r="BA158" s="476">
        <f>1-WWWW[[#This Row],[% Equitable and continuous access to sufficient quantity of domestic water]]</f>
        <v>0</v>
      </c>
      <c r="BB158" s="483">
        <f>WWWW[[#This Row],[%equitable and continuous access to sufficient quantity of safe drinking and domestic water''s GAP]]*WWWW[[#This Row],[Total PoP ]]</f>
        <v>0</v>
      </c>
      <c r="BC158" s="478">
        <f>IF(WWWW[[#This Row],[Total required water points]]-WWWW[[#This Row],['#Water points coverage]]&lt;0,0,WWWW[[#This Row],[Total required water points]]-WWWW[[#This Row],['#Water points coverage]])</f>
        <v>0.20799999999999996</v>
      </c>
      <c r="BD158" s="478">
        <f>ROUND(IF(WWWW[[#This Row],[Total PoP ]]&lt;250,1,WWWW[[#This Row],[Total PoP ]]/250),0)</f>
        <v>1</v>
      </c>
      <c r="BE15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0.12121212121212122</v>
      </c>
      <c r="BF158" s="483">
        <f>WWWW[[#This Row],[% people access to functioning Latrine]]*WWWW[[#This Row],[Total PoP ]]</f>
        <v>24</v>
      </c>
      <c r="BG158" s="478">
        <f>WWWW[[#This Row],['#_of_Functioning_latrines_in_school]]*50</f>
        <v>50</v>
      </c>
      <c r="BH158" s="478">
        <f>ROUND((WWWW[[#This Row],[Total PoP ]]/6),0)</f>
        <v>33</v>
      </c>
      <c r="BI158" s="478">
        <f>IF(WWWW[[#This Row],[Total required Latrines]]-(WWWW[[#This Row],['#_of_sanitary_fly-proof_HH_latrines]])&lt;0,0,WWWW[[#This Row],[Total required Latrines]]-(WWWW[[#This Row],['#_of_sanitary_fly-proof_HH_latrines]]))</f>
        <v>29</v>
      </c>
      <c r="BJ158" s="479">
        <f>1-WWWW[[#This Row],[% people access to functioning Latrine]]</f>
        <v>0.87878787878787878</v>
      </c>
      <c r="BK15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v>
      </c>
      <c r="BL158" s="483">
        <f>IF(WWWW[[#This Row],['#_of_functional_handwashing_facilities_at_HH_level]]*6&gt;WWWW[[#This Row],[Total PoP ]],WWWW[[#This Row],[Total PoP ]],WWWW[[#This Row],['#_of_functional_handwashing_facilities_at_HH_level]]*6)</f>
        <v>72</v>
      </c>
      <c r="BM158" s="478">
        <f>IF(WWWW[[#This Row],['# people reached by regular dedicated hygiene promotion]]&gt;WWWW[[#This Row],['# People received regular supply of hygiene items]],WWWW[[#This Row],['# people reached by regular dedicated hygiene promotion]],WWWW[[#This Row],['# People received regular supply of hygiene items]])</f>
        <v>12</v>
      </c>
      <c r="BN158" s="476">
        <f>IF(WWWW[[#This Row],[HRP3]]/WWWW[[#This Row],[Total PoP ]]&gt;100%,100%,WWWW[[#This Row],[HRP3]]/WWWW[[#This Row],[Total PoP ]])</f>
        <v>6.0606060606060608E-2</v>
      </c>
      <c r="BO158" s="479">
        <f>1-WWWW[[#This Row],[Hygiene Coverage%]]</f>
        <v>0.93939393939393945</v>
      </c>
      <c r="BP158" s="477">
        <f>WWWW[[#This Row],['# people reached by regular dedicated hygiene promotion]]/WWWW[[#This Row],[Total PoP ]]</f>
        <v>6.0606060606060608E-2</v>
      </c>
      <c r="BQ15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58" s="478">
        <f>WWWW[[#This Row],['#_of_affected_women_and_girls_receiving_a_sufficient_quantity_of_sanitary_pads]]</f>
        <v>0</v>
      </c>
      <c r="BS158" s="524">
        <f>IF(WWWW[[#This Row],['# People with access to soap]]&gt;WWWW[[#This Row],['# People with access to Sanity Pads]],WWWW[[#This Row],['# People with access to soap]],WWWW[[#This Row],['# People with access to Sanity Pads]])</f>
        <v>0</v>
      </c>
      <c r="BT158" s="483" t="str">
        <f>IF(OR(WWWW[[#This Row],['#of students in school]]="",WWWW[[#This Row],['#of students in school]]=0),"No","Yes")</f>
        <v>Yes</v>
      </c>
      <c r="BU158" s="480" t="str">
        <f>VLOOKUP(WWWW[[#This Row],[Village  Name]],SiteDB6[[Site Name]:[Location Type 1]],9,FALSE)</f>
        <v>Village</v>
      </c>
      <c r="BV158" s="480" t="str">
        <f>VLOOKUP(WWWW[[#This Row],[Village  Name]],SiteDB6[[Site Name]:[Type of Accommodation]],10,FALSE)</f>
        <v>Village</v>
      </c>
      <c r="BW158" s="480">
        <f>VLOOKUP(WWWW[[#This Row],[Village  Name]],SiteDB6[[Site Name]:[Ethnic or GCA/NGCA]],11,FALSE)</f>
        <v>0</v>
      </c>
      <c r="BX158" s="480">
        <f>VLOOKUP(WWWW[[#This Row],[Village  Name]],SiteDB6[[Site Name]:[Lat]],12,FALSE)</f>
        <v>92.928596496582003</v>
      </c>
      <c r="BY158" s="480">
        <f>VLOOKUP(WWWW[[#This Row],[Village  Name]],SiteDB6[[Site Name]:[Long]],13,FALSE)</f>
        <v>20.649574279785199</v>
      </c>
      <c r="BZ158" s="480">
        <f>VLOOKUP(WWWW[[#This Row],[Village  Name]],SiteDB6[[Site Name]:[Pcode]],3,FALSE)</f>
        <v>196920</v>
      </c>
      <c r="CA158" s="480" t="str">
        <f t="shared" si="8"/>
        <v>Covered</v>
      </c>
      <c r="CB158" s="505"/>
    </row>
    <row r="159" spans="1:80">
      <c r="A159" s="774" t="s">
        <v>3150</v>
      </c>
      <c r="B159" s="774" t="s">
        <v>318</v>
      </c>
      <c r="C159" s="415" t="s">
        <v>318</v>
      </c>
      <c r="D159" s="415" t="s">
        <v>334</v>
      </c>
      <c r="E159" s="415" t="s">
        <v>2648</v>
      </c>
      <c r="F159" s="415" t="s">
        <v>302</v>
      </c>
      <c r="G159" s="644" t="str">
        <f>VLOOKUP(WWWW[[#This Row],[Village  Name]],SiteDB6[[Site Name]:[Location Type]],8,FALSE)</f>
        <v>Village</v>
      </c>
      <c r="H159" s="415" t="s">
        <v>3172</v>
      </c>
      <c r="I159" s="524">
        <v>76</v>
      </c>
      <c r="J159" s="524">
        <v>365</v>
      </c>
      <c r="K159" s="418">
        <v>43647</v>
      </c>
      <c r="L159" s="55">
        <v>44043</v>
      </c>
      <c r="M159" s="524">
        <v>400</v>
      </c>
      <c r="N159" s="524"/>
      <c r="O159" s="524"/>
      <c r="P159" s="524"/>
      <c r="Q159" s="524">
        <v>1</v>
      </c>
      <c r="R159" s="524"/>
      <c r="S159" s="524"/>
      <c r="T159" s="524"/>
      <c r="U159" s="551"/>
      <c r="V159" s="524">
        <v>4</v>
      </c>
      <c r="W159" s="524" t="s">
        <v>130</v>
      </c>
      <c r="X159" s="524"/>
      <c r="Y159" s="524">
        <v>2</v>
      </c>
      <c r="Z159" s="524"/>
      <c r="AA159" s="524"/>
      <c r="AB159" s="524"/>
      <c r="AC159" s="551"/>
      <c r="AD159" s="524"/>
      <c r="AE159" s="524">
        <v>12</v>
      </c>
      <c r="AF159" s="524"/>
      <c r="AG159" s="524"/>
      <c r="AH159" s="524"/>
      <c r="AI159" s="524"/>
      <c r="AJ159" s="524">
        <v>12</v>
      </c>
      <c r="AK159" s="524"/>
      <c r="AL159" s="524"/>
      <c r="AM159" s="524"/>
      <c r="AN159" s="551"/>
      <c r="AO159" s="477"/>
      <c r="AP159" s="477"/>
      <c r="AQ159" s="524"/>
      <c r="AR159" s="524"/>
      <c r="AS159" s="524"/>
      <c r="AT15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59" s="483">
        <f>WWWW[[#This Row],[%Equitable and continuous access to sufficient quantity of safe drinking water]]*WWWW[[#This Row],[Total PoP ]]</f>
        <v>0</v>
      </c>
      <c r="AV15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59" s="483">
        <f>WWWW[[#This Row],[% Access to unimproved water points]]*WWWW[[#This Row],[Total PoP ]]</f>
        <v>365</v>
      </c>
      <c r="AX15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5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365</v>
      </c>
      <c r="AZ159" s="483">
        <f>WWWW[[#This Row],[HRP1]]/250</f>
        <v>1.46</v>
      </c>
      <c r="BA159" s="476">
        <f>1-WWWW[[#This Row],[% Equitable and continuous access to sufficient quantity of domestic water]]</f>
        <v>0</v>
      </c>
      <c r="BB159" s="483">
        <f>WWWW[[#This Row],[%equitable and continuous access to sufficient quantity of safe drinking and domestic water''s GAP]]*WWWW[[#This Row],[Total PoP ]]</f>
        <v>0</v>
      </c>
      <c r="BC159" s="478">
        <f>IF(WWWW[[#This Row],[Total required water points]]-WWWW[[#This Row],['#Water points coverage]]&lt;0,0,WWWW[[#This Row],[Total required water points]]-WWWW[[#This Row],['#Water points coverage]])</f>
        <v>0</v>
      </c>
      <c r="BD159" s="478">
        <f>ROUND(IF(WWWW[[#This Row],[Total PoP ]]&lt;250,1,WWWW[[#This Row],[Total PoP ]]/250),0)</f>
        <v>1</v>
      </c>
      <c r="BE15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6.575342465753424E-2</v>
      </c>
      <c r="BF159" s="483">
        <f>WWWW[[#This Row],[% people access to functioning Latrine]]*WWWW[[#This Row],[Total PoP ]]</f>
        <v>23.999999999999996</v>
      </c>
      <c r="BG159" s="478">
        <f>WWWW[[#This Row],['#_of_Functioning_latrines_in_school]]*50</f>
        <v>0</v>
      </c>
      <c r="BH159" s="478">
        <f>ROUND((WWWW[[#This Row],[Total PoP ]]/6),0)</f>
        <v>61</v>
      </c>
      <c r="BI159" s="478">
        <f>IF(WWWW[[#This Row],[Total required Latrines]]-(WWWW[[#This Row],['#_of_sanitary_fly-proof_HH_latrines]])&lt;0,0,WWWW[[#This Row],[Total required Latrines]]-(WWWW[[#This Row],['#_of_sanitary_fly-proof_HH_latrines]]))</f>
        <v>57</v>
      </c>
      <c r="BJ159" s="479">
        <f>1-WWWW[[#This Row],[% people access to functioning Latrine]]</f>
        <v>0.9342465753424658</v>
      </c>
      <c r="BK15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v>
      </c>
      <c r="BL159" s="483">
        <f>IF(WWWW[[#This Row],['#_of_functional_handwashing_facilities_at_HH_level]]*6&gt;WWWW[[#This Row],[Total PoP ]],WWWW[[#This Row],[Total PoP ]],WWWW[[#This Row],['#_of_functional_handwashing_facilities_at_HH_level]]*6)</f>
        <v>72</v>
      </c>
      <c r="BM159" s="478">
        <f>IF(WWWW[[#This Row],['# people reached by regular dedicated hygiene promotion]]&gt;WWWW[[#This Row],['# People received regular supply of hygiene items]],WWWW[[#This Row],['# people reached by regular dedicated hygiene promotion]],WWWW[[#This Row],['# People received regular supply of hygiene items]])</f>
        <v>12</v>
      </c>
      <c r="BN159" s="476">
        <f>IF(WWWW[[#This Row],[HRP3]]/WWWW[[#This Row],[Total PoP ]]&gt;100%,100%,WWWW[[#This Row],[HRP3]]/WWWW[[#This Row],[Total PoP ]])</f>
        <v>3.287671232876712E-2</v>
      </c>
      <c r="BO159" s="479">
        <f>1-WWWW[[#This Row],[Hygiene Coverage%]]</f>
        <v>0.9671232876712329</v>
      </c>
      <c r="BP159" s="477">
        <f>WWWW[[#This Row],['# people reached by regular dedicated hygiene promotion]]/WWWW[[#This Row],[Total PoP ]]</f>
        <v>3.287671232876712E-2</v>
      </c>
      <c r="BQ15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59" s="478">
        <f>WWWW[[#This Row],['#_of_affected_women_and_girls_receiving_a_sufficient_quantity_of_sanitary_pads]]</f>
        <v>0</v>
      </c>
      <c r="BS159" s="524">
        <f>IF(WWWW[[#This Row],['# People with access to soap]]&gt;WWWW[[#This Row],['# People with access to Sanity Pads]],WWWW[[#This Row],['# People with access to soap]],WWWW[[#This Row],['# People with access to Sanity Pads]])</f>
        <v>0</v>
      </c>
      <c r="BT159" s="483" t="str">
        <f>IF(OR(WWWW[[#This Row],['#of students in school]]="",WWWW[[#This Row],['#of students in school]]=0),"No","Yes")</f>
        <v>Yes</v>
      </c>
      <c r="BU159" s="480" t="str">
        <f>VLOOKUP(WWWW[[#This Row],[Village  Name]],SiteDB6[[Site Name]:[Location Type 1]],9,FALSE)</f>
        <v>Village</v>
      </c>
      <c r="BV159" s="480" t="str">
        <f>VLOOKUP(WWWW[[#This Row],[Village  Name]],SiteDB6[[Site Name]:[Type of Accommodation]],10,FALSE)</f>
        <v>Village</v>
      </c>
      <c r="BW159" s="480">
        <f>VLOOKUP(WWWW[[#This Row],[Village  Name]],SiteDB6[[Site Name]:[Ethnic or GCA/NGCA]],11,FALSE)</f>
        <v>0</v>
      </c>
      <c r="BX159" s="480">
        <f>VLOOKUP(WWWW[[#This Row],[Village  Name]],SiteDB6[[Site Name]:[Lat]],12,FALSE)</f>
        <v>92.978729248046903</v>
      </c>
      <c r="BY159" s="480">
        <f>VLOOKUP(WWWW[[#This Row],[Village  Name]],SiteDB6[[Site Name]:[Long]],13,FALSE)</f>
        <v>20.768480300903299</v>
      </c>
      <c r="BZ159" s="480">
        <f>VLOOKUP(WWWW[[#This Row],[Village  Name]],SiteDB6[[Site Name]:[Pcode]],3,FALSE)</f>
        <v>196960</v>
      </c>
      <c r="CA159" s="480" t="str">
        <f t="shared" si="8"/>
        <v>Covered</v>
      </c>
      <c r="CB159" s="505"/>
    </row>
    <row r="160" spans="1:80">
      <c r="A160" s="774" t="s">
        <v>3150</v>
      </c>
      <c r="B160" s="774" t="s">
        <v>318</v>
      </c>
      <c r="C160" s="415" t="s">
        <v>318</v>
      </c>
      <c r="D160" s="415" t="s">
        <v>334</v>
      </c>
      <c r="E160" s="415" t="s">
        <v>2648</v>
      </c>
      <c r="F160" s="415" t="s">
        <v>302</v>
      </c>
      <c r="G160" s="644" t="str">
        <f>VLOOKUP(WWWW[[#This Row],[Village  Name]],SiteDB6[[Site Name]:[Location Type]],8,FALSE)</f>
        <v>Village</v>
      </c>
      <c r="H160" s="415" t="s">
        <v>3173</v>
      </c>
      <c r="I160" s="524">
        <v>289</v>
      </c>
      <c r="J160" s="524">
        <v>1331</v>
      </c>
      <c r="K160" s="418">
        <v>43647</v>
      </c>
      <c r="L160" s="55">
        <v>44043</v>
      </c>
      <c r="M160" s="524">
        <v>100</v>
      </c>
      <c r="N160" s="524"/>
      <c r="O160" s="524"/>
      <c r="P160" s="524"/>
      <c r="Q160" s="524">
        <v>1</v>
      </c>
      <c r="R160" s="524"/>
      <c r="S160" s="524">
        <v>4</v>
      </c>
      <c r="T160" s="524"/>
      <c r="U160" s="551"/>
      <c r="V160" s="524">
        <v>51</v>
      </c>
      <c r="W160" s="524" t="s">
        <v>130</v>
      </c>
      <c r="X160" s="524">
        <v>2</v>
      </c>
      <c r="Y160" s="524">
        <v>10</v>
      </c>
      <c r="Z160" s="524"/>
      <c r="AA160" s="524"/>
      <c r="AB160" s="524"/>
      <c r="AC160" s="551"/>
      <c r="AD160" s="524">
        <v>1</v>
      </c>
      <c r="AE160" s="524">
        <v>10</v>
      </c>
      <c r="AF160" s="524"/>
      <c r="AG160" s="524"/>
      <c r="AH160" s="524"/>
      <c r="AI160" s="524"/>
      <c r="AJ160" s="524">
        <v>10</v>
      </c>
      <c r="AK160" s="524"/>
      <c r="AL160" s="524"/>
      <c r="AM160" s="524"/>
      <c r="AN160" s="551"/>
      <c r="AO160" s="477"/>
      <c r="AP160" s="477"/>
      <c r="AQ160" s="524"/>
      <c r="AR160" s="524"/>
      <c r="AS160" s="524"/>
      <c r="AT16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60" s="483">
        <f>WWWW[[#This Row],[%Equitable and continuous access to sufficient quantity of safe drinking water]]*WWWW[[#This Row],[Total PoP ]]</f>
        <v>0</v>
      </c>
      <c r="AV16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60" s="483">
        <f>WWWW[[#This Row],[% Access to unimproved water points]]*WWWW[[#This Row],[Total PoP ]]</f>
        <v>1331</v>
      </c>
      <c r="AX16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6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1331</v>
      </c>
      <c r="AZ160" s="483">
        <f>WWWW[[#This Row],[HRP1]]/250</f>
        <v>5.3239999999999998</v>
      </c>
      <c r="BA160" s="476">
        <f>1-WWWW[[#This Row],[% Equitable and continuous access to sufficient quantity of domestic water]]</f>
        <v>0</v>
      </c>
      <c r="BB160" s="483">
        <f>WWWW[[#This Row],[%equitable and continuous access to sufficient quantity of safe drinking and domestic water''s GAP]]*WWWW[[#This Row],[Total PoP ]]</f>
        <v>0</v>
      </c>
      <c r="BC160" s="478">
        <f>IF(WWWW[[#This Row],[Total required water points]]-WWWW[[#This Row],['#Water points coverage]]&lt;0,0,WWWW[[#This Row],[Total required water points]]-WWWW[[#This Row],['#Water points coverage]])</f>
        <v>0</v>
      </c>
      <c r="BD160" s="478">
        <f>ROUND(IF(WWWW[[#This Row],[Total PoP ]]&lt;250,1,WWWW[[#This Row],[Total PoP ]]/250),0)</f>
        <v>5</v>
      </c>
      <c r="BE16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0.22990232907588279</v>
      </c>
      <c r="BF160" s="483">
        <f>WWWW[[#This Row],[% people access to functioning Latrine]]*WWWW[[#This Row],[Total PoP ]]</f>
        <v>306</v>
      </c>
      <c r="BG160" s="478">
        <f>WWWW[[#This Row],['#_of_Functioning_latrines_in_school]]*50</f>
        <v>100</v>
      </c>
      <c r="BH160" s="478">
        <f>ROUND((WWWW[[#This Row],[Total PoP ]]/6),0)</f>
        <v>222</v>
      </c>
      <c r="BI160" s="478">
        <f>IF(WWWW[[#This Row],[Total required Latrines]]-(WWWW[[#This Row],['#_of_sanitary_fly-proof_HH_latrines]])&lt;0,0,WWWW[[#This Row],[Total required Latrines]]-(WWWW[[#This Row],['#_of_sanitary_fly-proof_HH_latrines]]))</f>
        <v>171</v>
      </c>
      <c r="BJ160" s="479">
        <f>1-WWWW[[#This Row],[% people access to functioning Latrine]]</f>
        <v>0.77009767092411718</v>
      </c>
      <c r="BK16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11</v>
      </c>
      <c r="BL160" s="483">
        <f>IF(WWWW[[#This Row],['#_of_functional_handwashing_facilities_at_HH_level]]*6&gt;WWWW[[#This Row],[Total PoP ]],WWWW[[#This Row],[Total PoP ]],WWWW[[#This Row],['#_of_functional_handwashing_facilities_at_HH_level]]*6)</f>
        <v>60</v>
      </c>
      <c r="BM160" s="478">
        <f>IF(WWWW[[#This Row],['# people reached by regular dedicated hygiene promotion]]&gt;WWWW[[#This Row],['# People received regular supply of hygiene items]],WWWW[[#This Row],['# people reached by regular dedicated hygiene promotion]],WWWW[[#This Row],['# People received regular supply of hygiene items]])</f>
        <v>11</v>
      </c>
      <c r="BN160" s="476">
        <f>IF(WWWW[[#This Row],[HRP3]]/WWWW[[#This Row],[Total PoP ]]&gt;100%,100%,WWWW[[#This Row],[HRP3]]/WWWW[[#This Row],[Total PoP ]])</f>
        <v>8.2644628099173556E-3</v>
      </c>
      <c r="BO160" s="479">
        <f>1-WWWW[[#This Row],[Hygiene Coverage%]]</f>
        <v>0.99173553719008267</v>
      </c>
      <c r="BP160" s="477">
        <f>WWWW[[#This Row],['# people reached by regular dedicated hygiene promotion]]/WWWW[[#This Row],[Total PoP ]]</f>
        <v>8.2644628099173556E-3</v>
      </c>
      <c r="BQ16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0" s="478">
        <f>WWWW[[#This Row],['#_of_affected_women_and_girls_receiving_a_sufficient_quantity_of_sanitary_pads]]</f>
        <v>0</v>
      </c>
      <c r="BS160" s="524">
        <f>IF(WWWW[[#This Row],['# People with access to soap]]&gt;WWWW[[#This Row],['# People with access to Sanity Pads]],WWWW[[#This Row],['# People with access to soap]],WWWW[[#This Row],['# People with access to Sanity Pads]])</f>
        <v>0</v>
      </c>
      <c r="BT160" s="483" t="str">
        <f>IF(OR(WWWW[[#This Row],['#of students in school]]="",WWWW[[#This Row],['#of students in school]]=0),"No","Yes")</f>
        <v>Yes</v>
      </c>
      <c r="BU160" s="480" t="str">
        <f>VLOOKUP(WWWW[[#This Row],[Village  Name]],SiteDB6[[Site Name]:[Location Type 1]],9,FALSE)</f>
        <v>Village</v>
      </c>
      <c r="BV160" s="480" t="str">
        <f>VLOOKUP(WWWW[[#This Row],[Village  Name]],SiteDB6[[Site Name]:[Type of Accommodation]],10,FALSE)</f>
        <v>Village</v>
      </c>
      <c r="BW160" s="480">
        <f>VLOOKUP(WWWW[[#This Row],[Village  Name]],SiteDB6[[Site Name]:[Ethnic or GCA/NGCA]],11,FALSE)</f>
        <v>0</v>
      </c>
      <c r="BX160" s="480">
        <f>VLOOKUP(WWWW[[#This Row],[Village  Name]],SiteDB6[[Site Name]:[Lat]],12,FALSE)</f>
        <v>92.981712341308594</v>
      </c>
      <c r="BY160" s="480">
        <f>VLOOKUP(WWWW[[#This Row],[Village  Name]],SiteDB6[[Site Name]:[Long]],13,FALSE)</f>
        <v>20.772109985351602</v>
      </c>
      <c r="BZ160" s="480">
        <f>VLOOKUP(WWWW[[#This Row],[Village  Name]],SiteDB6[[Site Name]:[Pcode]],3,FALSE)</f>
        <v>196959</v>
      </c>
      <c r="CA160" s="480" t="str">
        <f t="shared" si="8"/>
        <v>Covered</v>
      </c>
      <c r="CB160" s="505"/>
    </row>
    <row r="161" spans="1:80">
      <c r="A161" s="774" t="s">
        <v>3150</v>
      </c>
      <c r="B161" s="774" t="s">
        <v>318</v>
      </c>
      <c r="C161" s="415" t="s">
        <v>318</v>
      </c>
      <c r="D161" s="415" t="s">
        <v>334</v>
      </c>
      <c r="E161" s="415" t="s">
        <v>2648</v>
      </c>
      <c r="F161" s="415" t="s">
        <v>302</v>
      </c>
      <c r="G161" s="644" t="str">
        <f>VLOOKUP(WWWW[[#This Row],[Village  Name]],SiteDB6[[Site Name]:[Location Type]],8,FALSE)</f>
        <v>Village</v>
      </c>
      <c r="H161" s="415" t="s">
        <v>3158</v>
      </c>
      <c r="I161" s="524">
        <v>219</v>
      </c>
      <c r="J161" s="524">
        <v>959</v>
      </c>
      <c r="K161" s="418">
        <v>43647</v>
      </c>
      <c r="L161" s="55">
        <v>44043</v>
      </c>
      <c r="M161" s="524">
        <v>158</v>
      </c>
      <c r="N161" s="524"/>
      <c r="O161" s="524"/>
      <c r="P161" s="524"/>
      <c r="Q161" s="524">
        <v>2</v>
      </c>
      <c r="R161" s="524"/>
      <c r="S161" s="524">
        <v>3</v>
      </c>
      <c r="T161" s="524"/>
      <c r="U161" s="551"/>
      <c r="V161" s="524">
        <v>50</v>
      </c>
      <c r="W161" s="524" t="s">
        <v>130</v>
      </c>
      <c r="X161" s="524">
        <v>2</v>
      </c>
      <c r="Y161" s="524">
        <v>1</v>
      </c>
      <c r="Z161" s="524"/>
      <c r="AA161" s="524"/>
      <c r="AB161" s="524"/>
      <c r="AC161" s="551"/>
      <c r="AD161" s="524"/>
      <c r="AE161" s="524">
        <v>12</v>
      </c>
      <c r="AF161" s="524"/>
      <c r="AG161" s="524"/>
      <c r="AH161" s="524"/>
      <c r="AI161" s="524"/>
      <c r="AJ161" s="524">
        <v>12</v>
      </c>
      <c r="AK161" s="524"/>
      <c r="AL161" s="524"/>
      <c r="AM161" s="524"/>
      <c r="AN161" s="551"/>
      <c r="AO161" s="477"/>
      <c r="AP161" s="477"/>
      <c r="AQ161" s="524"/>
      <c r="AR161" s="524"/>
      <c r="AS161" s="524"/>
      <c r="AT16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61" s="483">
        <f>WWWW[[#This Row],[%Equitable and continuous access to sufficient quantity of safe drinking water]]*WWWW[[#This Row],[Total PoP ]]</f>
        <v>0</v>
      </c>
      <c r="AV16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61" s="483">
        <f>WWWW[[#This Row],[% Access to unimproved water points]]*WWWW[[#This Row],[Total PoP ]]</f>
        <v>959</v>
      </c>
      <c r="AX16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6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959</v>
      </c>
      <c r="AZ161" s="483">
        <f>WWWW[[#This Row],[HRP1]]/250</f>
        <v>3.8359999999999999</v>
      </c>
      <c r="BA161" s="476">
        <f>1-WWWW[[#This Row],[% Equitable and continuous access to sufficient quantity of domestic water]]</f>
        <v>0</v>
      </c>
      <c r="BB161" s="483">
        <f>WWWW[[#This Row],[%equitable and continuous access to sufficient quantity of safe drinking and domestic water''s GAP]]*WWWW[[#This Row],[Total PoP ]]</f>
        <v>0</v>
      </c>
      <c r="BC161" s="478">
        <f>IF(WWWW[[#This Row],[Total required water points]]-WWWW[[#This Row],['#Water points coverage]]&lt;0,0,WWWW[[#This Row],[Total required water points]]-WWWW[[#This Row],['#Water points coverage]])</f>
        <v>0.16400000000000015</v>
      </c>
      <c r="BD161" s="478">
        <f>ROUND(IF(WWWW[[#This Row],[Total PoP ]]&lt;250,1,WWWW[[#This Row],[Total PoP ]]/250),0)</f>
        <v>4</v>
      </c>
      <c r="BE16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0.31282586027111575</v>
      </c>
      <c r="BF161" s="483">
        <f>WWWW[[#This Row],[% people access to functioning Latrine]]*WWWW[[#This Row],[Total PoP ]]</f>
        <v>300</v>
      </c>
      <c r="BG161" s="478">
        <f>WWWW[[#This Row],['#_of_Functioning_latrines_in_school]]*50</f>
        <v>100</v>
      </c>
      <c r="BH161" s="478">
        <f>ROUND((WWWW[[#This Row],[Total PoP ]]/6),0)</f>
        <v>160</v>
      </c>
      <c r="BI161" s="478">
        <f>IF(WWWW[[#This Row],[Total required Latrines]]-(WWWW[[#This Row],['#_of_sanitary_fly-proof_HH_latrines]])&lt;0,0,WWWW[[#This Row],[Total required Latrines]]-(WWWW[[#This Row],['#_of_sanitary_fly-proof_HH_latrines]]))</f>
        <v>110</v>
      </c>
      <c r="BJ161" s="479">
        <f>1-WWWW[[#This Row],[% people access to functioning Latrine]]</f>
        <v>0.68717413972888419</v>
      </c>
      <c r="BK16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v>
      </c>
      <c r="BL161" s="483">
        <f>IF(WWWW[[#This Row],['#_of_functional_handwashing_facilities_at_HH_level]]*6&gt;WWWW[[#This Row],[Total PoP ]],WWWW[[#This Row],[Total PoP ]],WWWW[[#This Row],['#_of_functional_handwashing_facilities_at_HH_level]]*6)</f>
        <v>72</v>
      </c>
      <c r="BM161" s="478">
        <f>IF(WWWW[[#This Row],['# people reached by regular dedicated hygiene promotion]]&gt;WWWW[[#This Row],['# People received regular supply of hygiene items]],WWWW[[#This Row],['# people reached by regular dedicated hygiene promotion]],WWWW[[#This Row],['# People received regular supply of hygiene items]])</f>
        <v>12</v>
      </c>
      <c r="BN161" s="476">
        <f>IF(WWWW[[#This Row],[HRP3]]/WWWW[[#This Row],[Total PoP ]]&gt;100%,100%,WWWW[[#This Row],[HRP3]]/WWWW[[#This Row],[Total PoP ]])</f>
        <v>1.251303441084463E-2</v>
      </c>
      <c r="BO161" s="479">
        <f>1-WWWW[[#This Row],[Hygiene Coverage%]]</f>
        <v>0.98748696558915539</v>
      </c>
      <c r="BP161" s="477">
        <f>WWWW[[#This Row],['# people reached by regular dedicated hygiene promotion]]/WWWW[[#This Row],[Total PoP ]]</f>
        <v>1.251303441084463E-2</v>
      </c>
      <c r="BQ16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1" s="478">
        <f>WWWW[[#This Row],['#_of_affected_women_and_girls_receiving_a_sufficient_quantity_of_sanitary_pads]]</f>
        <v>0</v>
      </c>
      <c r="BS161" s="524">
        <f>IF(WWWW[[#This Row],['# People with access to soap]]&gt;WWWW[[#This Row],['# People with access to Sanity Pads]],WWWW[[#This Row],['# People with access to soap]],WWWW[[#This Row],['# People with access to Sanity Pads]])</f>
        <v>0</v>
      </c>
      <c r="BT161" s="483" t="str">
        <f>IF(OR(WWWW[[#This Row],['#of students in school]]="",WWWW[[#This Row],['#of students in school]]=0),"No","Yes")</f>
        <v>Yes</v>
      </c>
      <c r="BU161" s="480" t="str">
        <f>VLOOKUP(WWWW[[#This Row],[Village  Name]],SiteDB6[[Site Name]:[Location Type 1]],9,FALSE)</f>
        <v>Village</v>
      </c>
      <c r="BV161" s="480" t="str">
        <f>VLOOKUP(WWWW[[#This Row],[Village  Name]],SiteDB6[[Site Name]:[Type of Accommodation]],10,FALSE)</f>
        <v>Village</v>
      </c>
      <c r="BW161" s="480">
        <f>VLOOKUP(WWWW[[#This Row],[Village  Name]],SiteDB6[[Site Name]:[Ethnic or GCA/NGCA]],11,FALSE)</f>
        <v>0</v>
      </c>
      <c r="BX161" s="480">
        <f>VLOOKUP(WWWW[[#This Row],[Village  Name]],SiteDB6[[Site Name]:[Lat]],12,FALSE)</f>
        <v>92.985267639160199</v>
      </c>
      <c r="BY161" s="480">
        <f>VLOOKUP(WWWW[[#This Row],[Village  Name]],SiteDB6[[Site Name]:[Long]],13,FALSE)</f>
        <v>20.7800903320313</v>
      </c>
      <c r="BZ161" s="480">
        <f>VLOOKUP(WWWW[[#This Row],[Village  Name]],SiteDB6[[Site Name]:[Pcode]],3,FALSE)</f>
        <v>196963</v>
      </c>
      <c r="CA161" s="480" t="str">
        <f t="shared" si="8"/>
        <v>Covered</v>
      </c>
      <c r="CB161" s="505"/>
    </row>
    <row r="162" spans="1:80">
      <c r="A162" s="774" t="s">
        <v>3150</v>
      </c>
      <c r="B162" s="774" t="s">
        <v>318</v>
      </c>
      <c r="C162" s="415" t="s">
        <v>318</v>
      </c>
      <c r="D162" s="415" t="s">
        <v>334</v>
      </c>
      <c r="E162" s="415" t="s">
        <v>2648</v>
      </c>
      <c r="F162" s="415" t="s">
        <v>302</v>
      </c>
      <c r="G162" s="644" t="str">
        <f>VLOOKUP(WWWW[[#This Row],[Village  Name]],SiteDB6[[Site Name]:[Location Type]],8,FALSE)</f>
        <v>Village</v>
      </c>
      <c r="H162" s="415" t="s">
        <v>2960</v>
      </c>
      <c r="I162" s="524">
        <v>158</v>
      </c>
      <c r="J162" s="524">
        <v>456</v>
      </c>
      <c r="K162" s="418">
        <v>43647</v>
      </c>
      <c r="L162" s="55">
        <v>44043</v>
      </c>
      <c r="M162" s="524">
        <v>101</v>
      </c>
      <c r="N162" s="524"/>
      <c r="O162" s="524"/>
      <c r="P162" s="524"/>
      <c r="Q162" s="524">
        <v>3</v>
      </c>
      <c r="R162" s="524"/>
      <c r="S162" s="524">
        <v>1</v>
      </c>
      <c r="T162" s="524">
        <v>1</v>
      </c>
      <c r="U162" s="551"/>
      <c r="V162" s="524">
        <v>250</v>
      </c>
      <c r="W162" s="524" t="s">
        <v>130</v>
      </c>
      <c r="X162" s="524">
        <v>1</v>
      </c>
      <c r="Y162" s="524"/>
      <c r="Z162" s="524"/>
      <c r="AA162" s="524">
        <v>1</v>
      </c>
      <c r="AB162" s="524"/>
      <c r="AC162" s="551"/>
      <c r="AD162" s="524">
        <v>7</v>
      </c>
      <c r="AE162" s="524">
        <v>18</v>
      </c>
      <c r="AF162" s="524"/>
      <c r="AG162" s="524"/>
      <c r="AH162" s="524"/>
      <c r="AI162" s="524"/>
      <c r="AJ162" s="524">
        <v>25</v>
      </c>
      <c r="AK162" s="524"/>
      <c r="AL162" s="524"/>
      <c r="AM162" s="524"/>
      <c r="AN162" s="551"/>
      <c r="AO162" s="477"/>
      <c r="AP162" s="477"/>
      <c r="AQ162" s="524"/>
      <c r="AR162" s="524"/>
      <c r="AS162" s="524"/>
      <c r="AT16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0.54824561403508776</v>
      </c>
      <c r="AU162" s="483">
        <f>WWWW[[#This Row],[%Equitable and continuous access to sufficient quantity of safe drinking water]]*WWWW[[#This Row],[Total PoP ]]</f>
        <v>250.00000000000003</v>
      </c>
      <c r="AV16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62" s="483">
        <f>WWWW[[#This Row],[% Access to unimproved water points]]*WWWW[[#This Row],[Total PoP ]]</f>
        <v>456</v>
      </c>
      <c r="AX16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6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456</v>
      </c>
      <c r="AZ162" s="483">
        <f>WWWW[[#This Row],[HRP1]]/250</f>
        <v>1.8240000000000001</v>
      </c>
      <c r="BA162" s="476">
        <f>1-WWWW[[#This Row],[% Equitable and continuous access to sufficient quantity of domestic water]]</f>
        <v>0</v>
      </c>
      <c r="BB162" s="483">
        <f>WWWW[[#This Row],[%equitable and continuous access to sufficient quantity of safe drinking and domestic water''s GAP]]*WWWW[[#This Row],[Total PoP ]]</f>
        <v>0</v>
      </c>
      <c r="BC162" s="478">
        <f>IF(WWWW[[#This Row],[Total required water points]]-WWWW[[#This Row],['#Water points coverage]]&lt;0,0,WWWW[[#This Row],[Total required water points]]-WWWW[[#This Row],['#Water points coverage]])</f>
        <v>0.17599999999999993</v>
      </c>
      <c r="BD162" s="478">
        <f>ROUND(IF(WWWW[[#This Row],[Total PoP ]]&lt;250,1,WWWW[[#This Row],[Total PoP ]]/250),0)</f>
        <v>2</v>
      </c>
      <c r="BE16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62" s="483">
        <f>WWWW[[#This Row],[% people access to functioning Latrine]]*WWWW[[#This Row],[Total PoP ]]</f>
        <v>456</v>
      </c>
      <c r="BG162" s="478">
        <f>WWWW[[#This Row],['#_of_Functioning_latrines_in_school]]*50</f>
        <v>50</v>
      </c>
      <c r="BH162" s="478">
        <f>ROUND((WWWW[[#This Row],[Total PoP ]]/6),0)</f>
        <v>76</v>
      </c>
      <c r="BI162" s="478">
        <f>IF(WWWW[[#This Row],[Total required Latrines]]-(WWWW[[#This Row],['#_of_sanitary_fly-proof_HH_latrines]])&lt;0,0,WWWW[[#This Row],[Total required Latrines]]-(WWWW[[#This Row],['#_of_sanitary_fly-proof_HH_latrines]]))</f>
        <v>0</v>
      </c>
      <c r="BJ162" s="479">
        <f>1-WWWW[[#This Row],[% people access to functioning Latrine]]</f>
        <v>0</v>
      </c>
      <c r="BK16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v>
      </c>
      <c r="BL162" s="483">
        <f>IF(WWWW[[#This Row],['#_of_functional_handwashing_facilities_at_HH_level]]*6&gt;WWWW[[#This Row],[Total PoP ]],WWWW[[#This Row],[Total PoP ]],WWWW[[#This Row],['#_of_functional_handwashing_facilities_at_HH_level]]*6)</f>
        <v>150</v>
      </c>
      <c r="BM162" s="478">
        <f>IF(WWWW[[#This Row],['# people reached by regular dedicated hygiene promotion]]&gt;WWWW[[#This Row],['# People received regular supply of hygiene items]],WWWW[[#This Row],['# people reached by regular dedicated hygiene promotion]],WWWW[[#This Row],['# People received regular supply of hygiene items]])</f>
        <v>25</v>
      </c>
      <c r="BN162" s="476">
        <f>IF(WWWW[[#This Row],[HRP3]]/WWWW[[#This Row],[Total PoP ]]&gt;100%,100%,WWWW[[#This Row],[HRP3]]/WWWW[[#This Row],[Total PoP ]])</f>
        <v>5.4824561403508769E-2</v>
      </c>
      <c r="BO162" s="479">
        <f>1-WWWW[[#This Row],[Hygiene Coverage%]]</f>
        <v>0.94517543859649122</v>
      </c>
      <c r="BP162" s="477">
        <f>WWWW[[#This Row],['# people reached by regular dedicated hygiene promotion]]/WWWW[[#This Row],[Total PoP ]]</f>
        <v>5.4824561403508769E-2</v>
      </c>
      <c r="BQ16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2" s="478">
        <f>WWWW[[#This Row],['#_of_affected_women_and_girls_receiving_a_sufficient_quantity_of_sanitary_pads]]</f>
        <v>0</v>
      </c>
      <c r="BS162" s="524">
        <f>IF(WWWW[[#This Row],['# People with access to soap]]&gt;WWWW[[#This Row],['# People with access to Sanity Pads]],WWWW[[#This Row],['# People with access to soap]],WWWW[[#This Row],['# People with access to Sanity Pads]])</f>
        <v>0</v>
      </c>
      <c r="BT162" s="483" t="str">
        <f>IF(OR(WWWW[[#This Row],['#of students in school]]="",WWWW[[#This Row],['#of students in school]]=0),"No","Yes")</f>
        <v>Yes</v>
      </c>
      <c r="BU162" s="480" t="str">
        <f>VLOOKUP(WWWW[[#This Row],[Village  Name]],SiteDB6[[Site Name]:[Location Type 1]],9,FALSE)</f>
        <v>Village</v>
      </c>
      <c r="BV162" s="480" t="str">
        <f>VLOOKUP(WWWW[[#This Row],[Village  Name]],SiteDB6[[Site Name]:[Type of Accommodation]],10,FALSE)</f>
        <v>Village</v>
      </c>
      <c r="BW162" s="480">
        <f>VLOOKUP(WWWW[[#This Row],[Village  Name]],SiteDB6[[Site Name]:[Ethnic or GCA/NGCA]],11,FALSE)</f>
        <v>0</v>
      </c>
      <c r="BX162" s="480">
        <f>VLOOKUP(WWWW[[#This Row],[Village  Name]],SiteDB6[[Site Name]:[Lat]],12,FALSE)</f>
        <v>0</v>
      </c>
      <c r="BY162" s="480">
        <f>VLOOKUP(WWWW[[#This Row],[Village  Name]],SiteDB6[[Site Name]:[Long]],13,FALSE)</f>
        <v>0</v>
      </c>
      <c r="BZ162" s="480">
        <f>VLOOKUP(WWWW[[#This Row],[Village  Name]],SiteDB6[[Site Name]:[Pcode]],3,FALSE)</f>
        <v>196948</v>
      </c>
      <c r="CA162" s="480" t="str">
        <f t="shared" si="8"/>
        <v>Covered</v>
      </c>
      <c r="CB162" s="505"/>
    </row>
    <row r="163" spans="1:80">
      <c r="A163" s="774" t="s">
        <v>3150</v>
      </c>
      <c r="B163" s="774" t="s">
        <v>318</v>
      </c>
      <c r="C163" s="415" t="s">
        <v>318</v>
      </c>
      <c r="D163" s="415" t="s">
        <v>334</v>
      </c>
      <c r="E163" s="415" t="s">
        <v>2648</v>
      </c>
      <c r="F163" s="415" t="s">
        <v>302</v>
      </c>
      <c r="G163" s="644" t="str">
        <f>VLOOKUP(WWWW[[#This Row],[Village  Name]],SiteDB6[[Site Name]:[Location Type]],8,FALSE)</f>
        <v>Village</v>
      </c>
      <c r="H163" s="415" t="s">
        <v>2941</v>
      </c>
      <c r="I163" s="524">
        <v>140</v>
      </c>
      <c r="J163" s="524">
        <v>740</v>
      </c>
      <c r="K163" s="418">
        <v>43647</v>
      </c>
      <c r="L163" s="55">
        <v>44043</v>
      </c>
      <c r="M163" s="524">
        <v>103</v>
      </c>
      <c r="N163" s="524"/>
      <c r="O163" s="524"/>
      <c r="P163" s="524"/>
      <c r="Q163" s="524">
        <v>1</v>
      </c>
      <c r="R163" s="524"/>
      <c r="S163" s="524">
        <v>3</v>
      </c>
      <c r="T163" s="524">
        <v>1</v>
      </c>
      <c r="U163" s="551"/>
      <c r="V163" s="524">
        <v>30</v>
      </c>
      <c r="W163" s="524" t="s">
        <v>130</v>
      </c>
      <c r="X163" s="524">
        <v>4</v>
      </c>
      <c r="Y163" s="524">
        <v>1</v>
      </c>
      <c r="Z163" s="524"/>
      <c r="AA163" s="524"/>
      <c r="AB163" s="524"/>
      <c r="AC163" s="551"/>
      <c r="AD163" s="524">
        <v>2</v>
      </c>
      <c r="AE163" s="524">
        <v>23</v>
      </c>
      <c r="AF163" s="524"/>
      <c r="AG163" s="524"/>
      <c r="AH163" s="524"/>
      <c r="AI163" s="524"/>
      <c r="AJ163" s="524">
        <v>25</v>
      </c>
      <c r="AK163" s="524"/>
      <c r="AL163" s="524"/>
      <c r="AM163" s="524"/>
      <c r="AN163" s="551"/>
      <c r="AO163" s="477"/>
      <c r="AP163" s="477"/>
      <c r="AQ163" s="524"/>
      <c r="AR163" s="524"/>
      <c r="AS163" s="524"/>
      <c r="AT16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0.33783783783783783</v>
      </c>
      <c r="AU163" s="483">
        <f>WWWW[[#This Row],[%Equitable and continuous access to sufficient quantity of safe drinking water]]*WWWW[[#This Row],[Total PoP ]]</f>
        <v>250</v>
      </c>
      <c r="AV16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63" s="483">
        <f>WWWW[[#This Row],[% Access to unimproved water points]]*WWWW[[#This Row],[Total PoP ]]</f>
        <v>740</v>
      </c>
      <c r="AX16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6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740</v>
      </c>
      <c r="AZ163" s="483">
        <f>WWWW[[#This Row],[HRP1]]/250</f>
        <v>2.96</v>
      </c>
      <c r="BA163" s="476">
        <f>1-WWWW[[#This Row],[% Equitable and continuous access to sufficient quantity of domestic water]]</f>
        <v>0</v>
      </c>
      <c r="BB163" s="483">
        <f>WWWW[[#This Row],[%equitable and continuous access to sufficient quantity of safe drinking and domestic water''s GAP]]*WWWW[[#This Row],[Total PoP ]]</f>
        <v>0</v>
      </c>
      <c r="BC163" s="478">
        <f>IF(WWWW[[#This Row],[Total required water points]]-WWWW[[#This Row],['#Water points coverage]]&lt;0,0,WWWW[[#This Row],[Total required water points]]-WWWW[[#This Row],['#Water points coverage]])</f>
        <v>4.0000000000000036E-2</v>
      </c>
      <c r="BD163" s="478">
        <f>ROUND(IF(WWWW[[#This Row],[Total PoP ]]&lt;250,1,WWWW[[#This Row],[Total PoP ]]/250),0)</f>
        <v>3</v>
      </c>
      <c r="BE16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0.24324324324324326</v>
      </c>
      <c r="BF163" s="483">
        <f>WWWW[[#This Row],[% people access to functioning Latrine]]*WWWW[[#This Row],[Total PoP ]]</f>
        <v>180</v>
      </c>
      <c r="BG163" s="478">
        <f>WWWW[[#This Row],['#_of_Functioning_latrines_in_school]]*50</f>
        <v>200</v>
      </c>
      <c r="BH163" s="478">
        <f>ROUND((WWWW[[#This Row],[Total PoP ]]/6),0)</f>
        <v>123</v>
      </c>
      <c r="BI163" s="478">
        <f>IF(WWWW[[#This Row],[Total required Latrines]]-(WWWW[[#This Row],['#_of_sanitary_fly-proof_HH_latrines]])&lt;0,0,WWWW[[#This Row],[Total required Latrines]]-(WWWW[[#This Row],['#_of_sanitary_fly-proof_HH_latrines]]))</f>
        <v>93</v>
      </c>
      <c r="BJ163" s="479">
        <f>1-WWWW[[#This Row],[% people access to functioning Latrine]]</f>
        <v>0.7567567567567568</v>
      </c>
      <c r="BK16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v>
      </c>
      <c r="BL163" s="483">
        <f>IF(WWWW[[#This Row],['#_of_functional_handwashing_facilities_at_HH_level]]*6&gt;WWWW[[#This Row],[Total PoP ]],WWWW[[#This Row],[Total PoP ]],WWWW[[#This Row],['#_of_functional_handwashing_facilities_at_HH_level]]*6)</f>
        <v>150</v>
      </c>
      <c r="BM163" s="478">
        <f>IF(WWWW[[#This Row],['# people reached by regular dedicated hygiene promotion]]&gt;WWWW[[#This Row],['# People received regular supply of hygiene items]],WWWW[[#This Row],['# people reached by regular dedicated hygiene promotion]],WWWW[[#This Row],['# People received regular supply of hygiene items]])</f>
        <v>25</v>
      </c>
      <c r="BN163" s="476">
        <f>IF(WWWW[[#This Row],[HRP3]]/WWWW[[#This Row],[Total PoP ]]&gt;100%,100%,WWWW[[#This Row],[HRP3]]/WWWW[[#This Row],[Total PoP ]])</f>
        <v>3.3783783783783786E-2</v>
      </c>
      <c r="BO163" s="479">
        <f>1-WWWW[[#This Row],[Hygiene Coverage%]]</f>
        <v>0.96621621621621623</v>
      </c>
      <c r="BP163" s="477">
        <f>WWWW[[#This Row],['# people reached by regular dedicated hygiene promotion]]/WWWW[[#This Row],[Total PoP ]]</f>
        <v>3.3783783783783786E-2</v>
      </c>
      <c r="BQ16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3" s="478">
        <f>WWWW[[#This Row],['#_of_affected_women_and_girls_receiving_a_sufficient_quantity_of_sanitary_pads]]</f>
        <v>0</v>
      </c>
      <c r="BS163" s="524">
        <f>IF(WWWW[[#This Row],['# People with access to soap]]&gt;WWWW[[#This Row],['# People with access to Sanity Pads]],WWWW[[#This Row],['# People with access to soap]],WWWW[[#This Row],['# People with access to Sanity Pads]])</f>
        <v>0</v>
      </c>
      <c r="BT163" s="483" t="str">
        <f>IF(OR(WWWW[[#This Row],['#of students in school]]="",WWWW[[#This Row],['#of students in school]]=0),"No","Yes")</f>
        <v>Yes</v>
      </c>
      <c r="BU163" s="480" t="str">
        <f>VLOOKUP(WWWW[[#This Row],[Village  Name]],SiteDB6[[Site Name]:[Location Type 1]],9,FALSE)</f>
        <v>Village</v>
      </c>
      <c r="BV163" s="480" t="str">
        <f>VLOOKUP(WWWW[[#This Row],[Village  Name]],SiteDB6[[Site Name]:[Type of Accommodation]],10,FALSE)</f>
        <v>Village</v>
      </c>
      <c r="BW163" s="480">
        <f>VLOOKUP(WWWW[[#This Row],[Village  Name]],SiteDB6[[Site Name]:[Ethnic or GCA/NGCA]],11,FALSE)</f>
        <v>0</v>
      </c>
      <c r="BX163" s="480">
        <f>VLOOKUP(WWWW[[#This Row],[Village  Name]],SiteDB6[[Site Name]:[Lat]],12,FALSE)</f>
        <v>0</v>
      </c>
      <c r="BY163" s="480">
        <f>VLOOKUP(WWWW[[#This Row],[Village  Name]],SiteDB6[[Site Name]:[Long]],13,FALSE)</f>
        <v>0</v>
      </c>
      <c r="BZ163" s="480">
        <f>VLOOKUP(WWWW[[#This Row],[Village  Name]],SiteDB6[[Site Name]:[Pcode]],3,FALSE)</f>
        <v>0</v>
      </c>
      <c r="CA163" s="480" t="str">
        <f t="shared" si="8"/>
        <v>Covered</v>
      </c>
      <c r="CB163" s="505"/>
    </row>
    <row r="164" spans="1:80">
      <c r="A164" s="774" t="s">
        <v>3150</v>
      </c>
      <c r="B164" s="774" t="s">
        <v>318</v>
      </c>
      <c r="C164" s="415" t="s">
        <v>318</v>
      </c>
      <c r="D164" s="415" t="s">
        <v>334</v>
      </c>
      <c r="E164" s="415" t="s">
        <v>2648</v>
      </c>
      <c r="F164" s="415" t="s">
        <v>302</v>
      </c>
      <c r="G164" s="644" t="str">
        <f>VLOOKUP(WWWW[[#This Row],[Village  Name]],SiteDB6[[Site Name]:[Location Type]],8,FALSE)</f>
        <v>Village</v>
      </c>
      <c r="H164" s="415" t="s">
        <v>2942</v>
      </c>
      <c r="I164" s="524">
        <v>62</v>
      </c>
      <c r="J164" s="524">
        <v>142</v>
      </c>
      <c r="K164" s="418">
        <v>43647</v>
      </c>
      <c r="L164" s="55">
        <v>44043</v>
      </c>
      <c r="M164" s="524">
        <v>30</v>
      </c>
      <c r="N164" s="524"/>
      <c r="O164" s="524"/>
      <c r="P164" s="524"/>
      <c r="Q164" s="524">
        <v>1</v>
      </c>
      <c r="R164" s="524"/>
      <c r="S164" s="524">
        <v>2</v>
      </c>
      <c r="T164" s="524"/>
      <c r="U164" s="551"/>
      <c r="V164" s="524">
        <v>5</v>
      </c>
      <c r="W164" s="524" t="s">
        <v>130</v>
      </c>
      <c r="X164" s="524">
        <v>2</v>
      </c>
      <c r="Y164" s="524">
        <v>1</v>
      </c>
      <c r="Z164" s="524"/>
      <c r="AA164" s="524"/>
      <c r="AB164" s="524"/>
      <c r="AC164" s="551"/>
      <c r="AD164" s="524">
        <v>7</v>
      </c>
      <c r="AE164" s="524">
        <v>16</v>
      </c>
      <c r="AF164" s="524"/>
      <c r="AG164" s="524"/>
      <c r="AH164" s="524"/>
      <c r="AI164" s="524"/>
      <c r="AJ164" s="524">
        <v>23</v>
      </c>
      <c r="AK164" s="524"/>
      <c r="AL164" s="524"/>
      <c r="AM164" s="524"/>
      <c r="AN164" s="551"/>
      <c r="AO164" s="477"/>
      <c r="AP164" s="477"/>
      <c r="AQ164" s="524"/>
      <c r="AR164" s="524"/>
      <c r="AS164" s="524"/>
      <c r="AT16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64" s="483">
        <f>WWWW[[#This Row],[%Equitable and continuous access to sufficient quantity of safe drinking water]]*WWWW[[#This Row],[Total PoP ]]</f>
        <v>0</v>
      </c>
      <c r="AV16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64" s="483">
        <f>WWWW[[#This Row],[% Access to unimproved water points]]*WWWW[[#This Row],[Total PoP ]]</f>
        <v>142</v>
      </c>
      <c r="AX16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6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142</v>
      </c>
      <c r="AZ164" s="483">
        <f>WWWW[[#This Row],[HRP1]]/250</f>
        <v>0.56799999999999995</v>
      </c>
      <c r="BA164" s="476">
        <f>1-WWWW[[#This Row],[% Equitable and continuous access to sufficient quantity of domestic water]]</f>
        <v>0</v>
      </c>
      <c r="BB164" s="483">
        <f>WWWW[[#This Row],[%equitable and continuous access to sufficient quantity of safe drinking and domestic water''s GAP]]*WWWW[[#This Row],[Total PoP ]]</f>
        <v>0</v>
      </c>
      <c r="BC164" s="478">
        <f>IF(WWWW[[#This Row],[Total required water points]]-WWWW[[#This Row],['#Water points coverage]]&lt;0,0,WWWW[[#This Row],[Total required water points]]-WWWW[[#This Row],['#Water points coverage]])</f>
        <v>0.43200000000000005</v>
      </c>
      <c r="BD164" s="478">
        <f>ROUND(IF(WWWW[[#This Row],[Total PoP ]]&lt;250,1,WWWW[[#This Row],[Total PoP ]]/250),0)</f>
        <v>1</v>
      </c>
      <c r="BE16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0.21126760563380281</v>
      </c>
      <c r="BF164" s="483">
        <f>WWWW[[#This Row],[% people access to functioning Latrine]]*WWWW[[#This Row],[Total PoP ]]</f>
        <v>30</v>
      </c>
      <c r="BG164" s="478">
        <f>WWWW[[#This Row],['#_of_Functioning_latrines_in_school]]*50</f>
        <v>100</v>
      </c>
      <c r="BH164" s="478">
        <f>ROUND((WWWW[[#This Row],[Total PoP ]]/6),0)</f>
        <v>24</v>
      </c>
      <c r="BI164" s="478">
        <f>IF(WWWW[[#This Row],[Total required Latrines]]-(WWWW[[#This Row],['#_of_sanitary_fly-proof_HH_latrines]])&lt;0,0,WWWW[[#This Row],[Total required Latrines]]-(WWWW[[#This Row],['#_of_sanitary_fly-proof_HH_latrines]]))</f>
        <v>19</v>
      </c>
      <c r="BJ164" s="479">
        <f>1-WWWW[[#This Row],[% people access to functioning Latrine]]</f>
        <v>0.78873239436619724</v>
      </c>
      <c r="BK16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23</v>
      </c>
      <c r="BL164" s="483">
        <f>IF(WWWW[[#This Row],['#_of_functional_handwashing_facilities_at_HH_level]]*6&gt;WWWW[[#This Row],[Total PoP ]],WWWW[[#This Row],[Total PoP ]],WWWW[[#This Row],['#_of_functional_handwashing_facilities_at_HH_level]]*6)</f>
        <v>138</v>
      </c>
      <c r="BM164" s="478">
        <f>IF(WWWW[[#This Row],['# people reached by regular dedicated hygiene promotion]]&gt;WWWW[[#This Row],['# People received regular supply of hygiene items]],WWWW[[#This Row],['# people reached by regular dedicated hygiene promotion]],WWWW[[#This Row],['# People received regular supply of hygiene items]])</f>
        <v>23</v>
      </c>
      <c r="BN164" s="476">
        <f>IF(WWWW[[#This Row],[HRP3]]/WWWW[[#This Row],[Total PoP ]]&gt;100%,100%,WWWW[[#This Row],[HRP3]]/WWWW[[#This Row],[Total PoP ]])</f>
        <v>0.1619718309859155</v>
      </c>
      <c r="BO164" s="479">
        <f>1-WWWW[[#This Row],[Hygiene Coverage%]]</f>
        <v>0.8380281690140845</v>
      </c>
      <c r="BP164" s="477">
        <f>WWWW[[#This Row],['# people reached by regular dedicated hygiene promotion]]/WWWW[[#This Row],[Total PoP ]]</f>
        <v>0.1619718309859155</v>
      </c>
      <c r="BQ16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4" s="478">
        <f>WWWW[[#This Row],['#_of_affected_women_and_girls_receiving_a_sufficient_quantity_of_sanitary_pads]]</f>
        <v>0</v>
      </c>
      <c r="BS164" s="524">
        <f>IF(WWWW[[#This Row],['# People with access to soap]]&gt;WWWW[[#This Row],['# People with access to Sanity Pads]],WWWW[[#This Row],['# People with access to soap]],WWWW[[#This Row],['# People with access to Sanity Pads]])</f>
        <v>0</v>
      </c>
      <c r="BT164" s="483" t="str">
        <f>IF(OR(WWWW[[#This Row],['#of students in school]]="",WWWW[[#This Row],['#of students in school]]=0),"No","Yes")</f>
        <v>Yes</v>
      </c>
      <c r="BU164" s="480" t="str">
        <f>VLOOKUP(WWWW[[#This Row],[Village  Name]],SiteDB6[[Site Name]:[Location Type 1]],9,FALSE)</f>
        <v>Village</v>
      </c>
      <c r="BV164" s="480" t="str">
        <f>VLOOKUP(WWWW[[#This Row],[Village  Name]],SiteDB6[[Site Name]:[Type of Accommodation]],10,FALSE)</f>
        <v>Village</v>
      </c>
      <c r="BW164" s="480">
        <f>VLOOKUP(WWWW[[#This Row],[Village  Name]],SiteDB6[[Site Name]:[Ethnic or GCA/NGCA]],11,FALSE)</f>
        <v>0</v>
      </c>
      <c r="BX164" s="480">
        <f>VLOOKUP(WWWW[[#This Row],[Village  Name]],SiteDB6[[Site Name]:[Lat]],12,FALSE)</f>
        <v>20.7489204406738</v>
      </c>
      <c r="BY164" s="480">
        <f>VLOOKUP(WWWW[[#This Row],[Village  Name]],SiteDB6[[Site Name]:[Long]],13,FALSE)</f>
        <v>92.958816528320298</v>
      </c>
      <c r="BZ164" s="480">
        <f>VLOOKUP(WWWW[[#This Row],[Village  Name]],SiteDB6[[Site Name]:[Pcode]],3,FALSE)</f>
        <v>196894</v>
      </c>
      <c r="CA164" s="480" t="str">
        <f t="shared" si="8"/>
        <v>Covered</v>
      </c>
      <c r="CB164" s="505"/>
    </row>
    <row r="165" spans="1:80">
      <c r="A165" s="774" t="s">
        <v>3150</v>
      </c>
      <c r="B165" s="774" t="s">
        <v>318</v>
      </c>
      <c r="C165" s="415" t="s">
        <v>318</v>
      </c>
      <c r="D165" s="415" t="s">
        <v>334</v>
      </c>
      <c r="E165" s="415" t="s">
        <v>2648</v>
      </c>
      <c r="F165" s="415" t="s">
        <v>302</v>
      </c>
      <c r="G165" s="644" t="str">
        <f>VLOOKUP(WWWW[[#This Row],[Village  Name]],SiteDB6[[Site Name]:[Location Type]],8,FALSE)</f>
        <v>Village</v>
      </c>
      <c r="H165" s="415" t="s">
        <v>928</v>
      </c>
      <c r="I165" s="524">
        <v>103</v>
      </c>
      <c r="J165" s="524">
        <v>449</v>
      </c>
      <c r="K165" s="418">
        <v>43647</v>
      </c>
      <c r="L165" s="55">
        <v>44043</v>
      </c>
      <c r="M165" s="524">
        <v>53</v>
      </c>
      <c r="N165" s="524"/>
      <c r="O165" s="524"/>
      <c r="P165" s="524">
        <v>8</v>
      </c>
      <c r="Q165" s="524">
        <v>1</v>
      </c>
      <c r="R165" s="524"/>
      <c r="S165" s="524">
        <v>4</v>
      </c>
      <c r="T165" s="524"/>
      <c r="U165" s="551"/>
      <c r="V165" s="524">
        <v>96</v>
      </c>
      <c r="W165" s="524" t="s">
        <v>130</v>
      </c>
      <c r="X165" s="524">
        <v>2</v>
      </c>
      <c r="Y165" s="524">
        <v>6</v>
      </c>
      <c r="Z165" s="524"/>
      <c r="AA165" s="524"/>
      <c r="AB165" s="524"/>
      <c r="AC165" s="551"/>
      <c r="AD165" s="524">
        <v>0</v>
      </c>
      <c r="AE165" s="524">
        <v>25</v>
      </c>
      <c r="AF165" s="524"/>
      <c r="AG165" s="524"/>
      <c r="AH165" s="524"/>
      <c r="AI165" s="524"/>
      <c r="AJ165" s="524">
        <v>25</v>
      </c>
      <c r="AK165" s="524"/>
      <c r="AL165" s="524"/>
      <c r="AM165" s="524"/>
      <c r="AN165" s="551"/>
      <c r="AO165" s="477"/>
      <c r="AP165" s="477"/>
      <c r="AQ165" s="524"/>
      <c r="AR165" s="524"/>
      <c r="AS165" s="524"/>
      <c r="AT16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65" s="483">
        <f>WWWW[[#This Row],[%Equitable and continuous access to sufficient quantity of safe drinking water]]*WWWW[[#This Row],[Total PoP ]]</f>
        <v>449</v>
      </c>
      <c r="AV16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65" s="483">
        <f>WWWW[[#This Row],[% Access to unimproved water points]]*WWWW[[#This Row],[Total PoP ]]</f>
        <v>449</v>
      </c>
      <c r="AX16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6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449</v>
      </c>
      <c r="AZ165" s="483">
        <f>WWWW[[#This Row],[HRP1]]/250</f>
        <v>1.796</v>
      </c>
      <c r="BA165" s="476">
        <f>1-WWWW[[#This Row],[% Equitable and continuous access to sufficient quantity of domestic water]]</f>
        <v>0</v>
      </c>
      <c r="BB165" s="483">
        <f>WWWW[[#This Row],[%equitable and continuous access to sufficient quantity of safe drinking and domestic water''s GAP]]*WWWW[[#This Row],[Total PoP ]]</f>
        <v>0</v>
      </c>
      <c r="BC165" s="478">
        <f>IF(WWWW[[#This Row],[Total required water points]]-WWWW[[#This Row],['#Water points coverage]]&lt;0,0,WWWW[[#This Row],[Total required water points]]-WWWW[[#This Row],['#Water points coverage]])</f>
        <v>0.20399999999999996</v>
      </c>
      <c r="BD165" s="478">
        <f>ROUND(IF(WWWW[[#This Row],[Total PoP ]]&lt;250,1,WWWW[[#This Row],[Total PoP ]]/250),0)</f>
        <v>2</v>
      </c>
      <c r="BE16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65" s="483">
        <f>WWWW[[#This Row],[% people access to functioning Latrine]]*WWWW[[#This Row],[Total PoP ]]</f>
        <v>449</v>
      </c>
      <c r="BG165" s="478">
        <f>WWWW[[#This Row],['#_of_Functioning_latrines_in_school]]*50</f>
        <v>100</v>
      </c>
      <c r="BH165" s="478">
        <f>ROUND((WWWW[[#This Row],[Total PoP ]]/6),0)</f>
        <v>75</v>
      </c>
      <c r="BI165" s="478">
        <f>IF(WWWW[[#This Row],[Total required Latrines]]-(WWWW[[#This Row],['#_of_sanitary_fly-proof_HH_latrines]])&lt;0,0,WWWW[[#This Row],[Total required Latrines]]-(WWWW[[#This Row],['#_of_sanitary_fly-proof_HH_latrines]]))</f>
        <v>0</v>
      </c>
      <c r="BJ165" s="479">
        <f>1-WWWW[[#This Row],[% people access to functioning Latrine]]</f>
        <v>0</v>
      </c>
      <c r="BK16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v>
      </c>
      <c r="BL165" s="483">
        <f>IF(WWWW[[#This Row],['#_of_functional_handwashing_facilities_at_HH_level]]*6&gt;WWWW[[#This Row],[Total PoP ]],WWWW[[#This Row],[Total PoP ]],WWWW[[#This Row],['#_of_functional_handwashing_facilities_at_HH_level]]*6)</f>
        <v>150</v>
      </c>
      <c r="BM165" s="478">
        <f>IF(WWWW[[#This Row],['# people reached by regular dedicated hygiene promotion]]&gt;WWWW[[#This Row],['# People received regular supply of hygiene items]],WWWW[[#This Row],['# people reached by regular dedicated hygiene promotion]],WWWW[[#This Row],['# People received regular supply of hygiene items]])</f>
        <v>25</v>
      </c>
      <c r="BN165" s="476">
        <f>IF(WWWW[[#This Row],[HRP3]]/WWWW[[#This Row],[Total PoP ]]&gt;100%,100%,WWWW[[#This Row],[HRP3]]/WWWW[[#This Row],[Total PoP ]])</f>
        <v>5.5679287305122498E-2</v>
      </c>
      <c r="BO165" s="479">
        <f>1-WWWW[[#This Row],[Hygiene Coverage%]]</f>
        <v>0.9443207126948775</v>
      </c>
      <c r="BP165" s="477">
        <f>WWWW[[#This Row],['# people reached by regular dedicated hygiene promotion]]/WWWW[[#This Row],[Total PoP ]]</f>
        <v>5.5679287305122498E-2</v>
      </c>
      <c r="BQ16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5" s="478">
        <f>WWWW[[#This Row],['#_of_affected_women_and_girls_receiving_a_sufficient_quantity_of_sanitary_pads]]</f>
        <v>0</v>
      </c>
      <c r="BS165" s="524">
        <f>IF(WWWW[[#This Row],['# People with access to soap]]&gt;WWWW[[#This Row],['# People with access to Sanity Pads]],WWWW[[#This Row],['# People with access to soap]],WWWW[[#This Row],['# People with access to Sanity Pads]])</f>
        <v>0</v>
      </c>
      <c r="BT165" s="483" t="str">
        <f>IF(OR(WWWW[[#This Row],['#of students in school]]="",WWWW[[#This Row],['#of students in school]]=0),"No","Yes")</f>
        <v>Yes</v>
      </c>
      <c r="BU165" s="480" t="str">
        <f>VLOOKUP(WWWW[[#This Row],[Village  Name]],SiteDB6[[Site Name]:[Location Type 1]],9,FALSE)</f>
        <v>Village</v>
      </c>
      <c r="BV165" s="480" t="str">
        <f>VLOOKUP(WWWW[[#This Row],[Village  Name]],SiteDB6[[Site Name]:[Type of Accommodation]],10,FALSE)</f>
        <v>Village</v>
      </c>
      <c r="BW165" s="480" t="str">
        <f>VLOOKUP(WWWW[[#This Row],[Village  Name]],SiteDB6[[Site Name]:[Ethnic or GCA/NGCA]],11,FALSE)</f>
        <v>Mro</v>
      </c>
      <c r="BX165" s="480">
        <f>VLOOKUP(WWWW[[#This Row],[Village  Name]],SiteDB6[[Site Name]:[Lat]],12,FALSE)</f>
        <v>20.720500950000002</v>
      </c>
      <c r="BY165" s="480">
        <f>VLOOKUP(WWWW[[#This Row],[Village  Name]],SiteDB6[[Site Name]:[Long]],13,FALSE)</f>
        <v>92.937339780000002</v>
      </c>
      <c r="BZ165" s="480">
        <f>VLOOKUP(WWWW[[#This Row],[Village  Name]],SiteDB6[[Site Name]:[Pcode]],3,FALSE)</f>
        <v>196950</v>
      </c>
      <c r="CA165" s="480" t="str">
        <f t="shared" si="8"/>
        <v>Covered</v>
      </c>
      <c r="CB165" s="505"/>
    </row>
    <row r="166" spans="1:80">
      <c r="A166" s="774" t="s">
        <v>3150</v>
      </c>
      <c r="B166" s="774" t="s">
        <v>318</v>
      </c>
      <c r="C166" s="415" t="s">
        <v>318</v>
      </c>
      <c r="D166" s="415" t="s">
        <v>334</v>
      </c>
      <c r="E166" s="415" t="s">
        <v>2648</v>
      </c>
      <c r="F166" s="415" t="s">
        <v>302</v>
      </c>
      <c r="G166" s="644" t="str">
        <f>VLOOKUP(WWWW[[#This Row],[Village  Name]],SiteDB6[[Site Name]:[Location Type]],8,FALSE)</f>
        <v>Village</v>
      </c>
      <c r="H166" s="415" t="s">
        <v>2940</v>
      </c>
      <c r="I166" s="524">
        <v>26</v>
      </c>
      <c r="J166" s="524">
        <v>98</v>
      </c>
      <c r="K166" s="418">
        <v>43647</v>
      </c>
      <c r="L166" s="55">
        <v>44043</v>
      </c>
      <c r="M166" s="524">
        <v>30</v>
      </c>
      <c r="N166" s="524"/>
      <c r="O166" s="524"/>
      <c r="P166" s="524"/>
      <c r="Q166" s="524"/>
      <c r="R166" s="524"/>
      <c r="S166" s="524"/>
      <c r="T166" s="524"/>
      <c r="U166" s="551"/>
      <c r="V166" s="524"/>
      <c r="W166" s="524"/>
      <c r="X166" s="524"/>
      <c r="Y166" s="524"/>
      <c r="Z166" s="524"/>
      <c r="AA166" s="524"/>
      <c r="AB166" s="524"/>
      <c r="AC166" s="551"/>
      <c r="AD166" s="524">
        <v>5</v>
      </c>
      <c r="AE166" s="524">
        <v>20</v>
      </c>
      <c r="AF166" s="524"/>
      <c r="AG166" s="524"/>
      <c r="AH166" s="524"/>
      <c r="AI166" s="524"/>
      <c r="AJ166" s="524"/>
      <c r="AK166" s="524"/>
      <c r="AL166" s="524"/>
      <c r="AM166" s="524"/>
      <c r="AN166" s="551"/>
      <c r="AO166" s="477"/>
      <c r="AP166" s="477"/>
      <c r="AQ166" s="524"/>
      <c r="AR166" s="524"/>
      <c r="AS166" s="524"/>
      <c r="AT16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66" s="483">
        <f>WWWW[[#This Row],[%Equitable and continuous access to sufficient quantity of safe drinking water]]*WWWW[[#This Row],[Total PoP ]]</f>
        <v>0</v>
      </c>
      <c r="AV16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66" s="483">
        <f>WWWW[[#This Row],[% Access to unimproved water points]]*WWWW[[#This Row],[Total PoP ]]</f>
        <v>0</v>
      </c>
      <c r="AX16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6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66" s="483">
        <f>WWWW[[#This Row],[HRP1]]/250</f>
        <v>0</v>
      </c>
      <c r="BA166" s="476">
        <f>1-WWWW[[#This Row],[% Equitable and continuous access to sufficient quantity of domestic water]]</f>
        <v>1</v>
      </c>
      <c r="BB166" s="483">
        <f>WWWW[[#This Row],[%equitable and continuous access to sufficient quantity of safe drinking and domestic water''s GAP]]*WWWW[[#This Row],[Total PoP ]]</f>
        <v>98</v>
      </c>
      <c r="BC166" s="478">
        <f>IF(WWWW[[#This Row],[Total required water points]]-WWWW[[#This Row],['#Water points coverage]]&lt;0,0,WWWW[[#This Row],[Total required water points]]-WWWW[[#This Row],['#Water points coverage]])</f>
        <v>1</v>
      </c>
      <c r="BD166" s="478">
        <f>ROUND(IF(WWWW[[#This Row],[Total PoP ]]&lt;250,1,WWWW[[#This Row],[Total PoP ]]/250),0)</f>
        <v>1</v>
      </c>
      <c r="BE16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66" s="483">
        <f>WWWW[[#This Row],[% people access to functioning Latrine]]*WWWW[[#This Row],[Total PoP ]]</f>
        <v>0</v>
      </c>
      <c r="BG166" s="478">
        <f>WWWW[[#This Row],['#_of_Functioning_latrines_in_school]]*50</f>
        <v>0</v>
      </c>
      <c r="BH166" s="478">
        <f>ROUND((WWWW[[#This Row],[Total PoP ]]/6),0)</f>
        <v>16</v>
      </c>
      <c r="BI166" s="478">
        <f>IF(WWWW[[#This Row],[Total required Latrines]]-(WWWW[[#This Row],['#_of_sanitary_fly-proof_HH_latrines]])&lt;0,0,WWWW[[#This Row],[Total required Latrines]]-(WWWW[[#This Row],['#_of_sanitary_fly-proof_HH_latrines]]))</f>
        <v>16</v>
      </c>
      <c r="BJ166" s="479">
        <f>1-WWWW[[#This Row],[% people access to functioning Latrine]]</f>
        <v>1</v>
      </c>
      <c r="BK16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v>
      </c>
      <c r="BL166" s="483">
        <f>IF(WWWW[[#This Row],['#_of_functional_handwashing_facilities_at_HH_level]]*6&gt;WWWW[[#This Row],[Total PoP ]],WWWW[[#This Row],[Total PoP ]],WWWW[[#This Row],['#_of_functional_handwashing_facilities_at_HH_level]]*6)</f>
        <v>0</v>
      </c>
      <c r="BM166" s="478">
        <f>IF(WWWW[[#This Row],['# people reached by regular dedicated hygiene promotion]]&gt;WWWW[[#This Row],['# People received regular supply of hygiene items]],WWWW[[#This Row],['# people reached by regular dedicated hygiene promotion]],WWWW[[#This Row],['# People received regular supply of hygiene items]])</f>
        <v>25</v>
      </c>
      <c r="BN166" s="476">
        <f>IF(WWWW[[#This Row],[HRP3]]/WWWW[[#This Row],[Total PoP ]]&gt;100%,100%,WWWW[[#This Row],[HRP3]]/WWWW[[#This Row],[Total PoP ]])</f>
        <v>0.25510204081632654</v>
      </c>
      <c r="BO166" s="479">
        <f>1-WWWW[[#This Row],[Hygiene Coverage%]]</f>
        <v>0.74489795918367352</v>
      </c>
      <c r="BP166" s="477">
        <f>WWWW[[#This Row],['# people reached by regular dedicated hygiene promotion]]/WWWW[[#This Row],[Total PoP ]]</f>
        <v>0.25510204081632654</v>
      </c>
      <c r="BQ16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6" s="478">
        <f>WWWW[[#This Row],['#_of_affected_women_and_girls_receiving_a_sufficient_quantity_of_sanitary_pads]]</f>
        <v>0</v>
      </c>
      <c r="BS166" s="524">
        <f>IF(WWWW[[#This Row],['# People with access to soap]]&gt;WWWW[[#This Row],['# People with access to Sanity Pads]],WWWW[[#This Row],['# People with access to soap]],WWWW[[#This Row],['# People with access to Sanity Pads]])</f>
        <v>0</v>
      </c>
      <c r="BT166" s="483" t="str">
        <f>IF(OR(WWWW[[#This Row],['#of students in school]]="",WWWW[[#This Row],['#of students in school]]=0),"No","Yes")</f>
        <v>Yes</v>
      </c>
      <c r="BU166" s="480" t="str">
        <f>VLOOKUP(WWWW[[#This Row],[Village  Name]],SiteDB6[[Site Name]:[Location Type 1]],9,FALSE)</f>
        <v>Village</v>
      </c>
      <c r="BV166" s="480" t="str">
        <f>VLOOKUP(WWWW[[#This Row],[Village  Name]],SiteDB6[[Site Name]:[Type of Accommodation]],10,FALSE)</f>
        <v>Village</v>
      </c>
      <c r="BW166" s="480">
        <f>VLOOKUP(WWWW[[#This Row],[Village  Name]],SiteDB6[[Site Name]:[Ethnic or GCA/NGCA]],11,FALSE)</f>
        <v>0</v>
      </c>
      <c r="BX166" s="480">
        <f>VLOOKUP(WWWW[[#This Row],[Village  Name]],SiteDB6[[Site Name]:[Lat]],12,FALSE)</f>
        <v>0</v>
      </c>
      <c r="BY166" s="480">
        <f>VLOOKUP(WWWW[[#This Row],[Village  Name]],SiteDB6[[Site Name]:[Long]],13,FALSE)</f>
        <v>0</v>
      </c>
      <c r="BZ166" s="480">
        <f>VLOOKUP(WWWW[[#This Row],[Village  Name]],SiteDB6[[Site Name]:[Pcode]],3,FALSE)</f>
        <v>0</v>
      </c>
      <c r="CA166" s="480" t="str">
        <f t="shared" si="8"/>
        <v>Covered</v>
      </c>
      <c r="CB166" s="505"/>
    </row>
    <row r="167" spans="1:80">
      <c r="A167" s="774" t="s">
        <v>3150</v>
      </c>
      <c r="B167" s="774" t="s">
        <v>318</v>
      </c>
      <c r="C167" s="415" t="s">
        <v>318</v>
      </c>
      <c r="D167" s="415" t="s">
        <v>334</v>
      </c>
      <c r="E167" s="415" t="s">
        <v>2648</v>
      </c>
      <c r="F167" s="415" t="s">
        <v>295</v>
      </c>
      <c r="G167" s="644" t="str">
        <f>VLOOKUP(WWWW[[#This Row],[Village  Name]],SiteDB6[[Site Name]:[Location Type]],8,FALSE)</f>
        <v>Village</v>
      </c>
      <c r="H167" s="415" t="s">
        <v>448</v>
      </c>
      <c r="I167" s="524">
        <v>389</v>
      </c>
      <c r="J167" s="524">
        <v>1790</v>
      </c>
      <c r="K167" s="418">
        <v>43678</v>
      </c>
      <c r="L167" s="55">
        <v>44043</v>
      </c>
      <c r="M167" s="524">
        <v>350</v>
      </c>
      <c r="N167" s="524"/>
      <c r="O167" s="524"/>
      <c r="P167" s="524">
        <v>230</v>
      </c>
      <c r="Q167" s="524">
        <v>0</v>
      </c>
      <c r="R167" s="524"/>
      <c r="S167" s="524"/>
      <c r="T167" s="524">
        <v>0</v>
      </c>
      <c r="U167" s="551"/>
      <c r="V167" s="524">
        <v>80</v>
      </c>
      <c r="W167" s="524" t="s">
        <v>126</v>
      </c>
      <c r="X167" s="524">
        <v>0</v>
      </c>
      <c r="Y167" s="524">
        <v>20</v>
      </c>
      <c r="Z167" s="524"/>
      <c r="AA167" s="524"/>
      <c r="AB167" s="524"/>
      <c r="AC167" s="551"/>
      <c r="AD167" s="524"/>
      <c r="AE167" s="524">
        <v>50</v>
      </c>
      <c r="AF167" s="524"/>
      <c r="AG167" s="524"/>
      <c r="AH167" s="524"/>
      <c r="AI167" s="524"/>
      <c r="AJ167" s="524">
        <v>45</v>
      </c>
      <c r="AK167" s="524"/>
      <c r="AL167" s="524"/>
      <c r="AM167" s="524"/>
      <c r="AN167" s="551"/>
      <c r="AO167" s="477"/>
      <c r="AP167" s="477"/>
      <c r="AQ167" s="524"/>
      <c r="AR167" s="524"/>
      <c r="AS167" s="524"/>
      <c r="AT16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67" s="483">
        <f>WWWW[[#This Row],[%Equitable and continuous access to sufficient quantity of safe drinking water]]*WWWW[[#This Row],[Total PoP ]]</f>
        <v>1790</v>
      </c>
      <c r="AV16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67" s="483">
        <f>WWWW[[#This Row],[% Access to unimproved water points]]*WWWW[[#This Row],[Total PoP ]]</f>
        <v>0</v>
      </c>
      <c r="AX16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6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1790</v>
      </c>
      <c r="AZ167" s="483">
        <f>WWWW[[#This Row],[HRP1]]/250</f>
        <v>7.16</v>
      </c>
      <c r="BA167" s="476">
        <f>1-WWWW[[#This Row],[% Equitable and continuous access to sufficient quantity of domestic water]]</f>
        <v>0</v>
      </c>
      <c r="BB167" s="483">
        <f>WWWW[[#This Row],[%equitable and continuous access to sufficient quantity of safe drinking and domestic water''s GAP]]*WWWW[[#This Row],[Total PoP ]]</f>
        <v>0</v>
      </c>
      <c r="BC167" s="478">
        <f>IF(WWWW[[#This Row],[Total required water points]]-WWWW[[#This Row],['#Water points coverage]]&lt;0,0,WWWW[[#This Row],[Total required water points]]-WWWW[[#This Row],['#Water points coverage]])</f>
        <v>0</v>
      </c>
      <c r="BD167" s="478">
        <f>ROUND(IF(WWWW[[#This Row],[Total PoP ]]&lt;250,1,WWWW[[#This Row],[Total PoP ]]/250),0)</f>
        <v>7</v>
      </c>
      <c r="BE16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0.26815642458100558</v>
      </c>
      <c r="BF167" s="483">
        <f>WWWW[[#This Row],[% people access to functioning Latrine]]*WWWW[[#This Row],[Total PoP ]]</f>
        <v>480</v>
      </c>
      <c r="BG167" s="478">
        <f>WWWW[[#This Row],['#_of_Functioning_latrines_in_school]]*50</f>
        <v>0</v>
      </c>
      <c r="BH167" s="478">
        <f>ROUND((WWWW[[#This Row],[Total PoP ]]/6),0)</f>
        <v>298</v>
      </c>
      <c r="BI167" s="478">
        <f>IF(WWWW[[#This Row],[Total required Latrines]]-(WWWW[[#This Row],['#_of_sanitary_fly-proof_HH_latrines]])&lt;0,0,WWWW[[#This Row],[Total required Latrines]]-(WWWW[[#This Row],['#_of_sanitary_fly-proof_HH_latrines]]))</f>
        <v>218</v>
      </c>
      <c r="BJ167" s="479">
        <f>1-WWWW[[#This Row],[% people access to functioning Latrine]]</f>
        <v>0.73184357541899447</v>
      </c>
      <c r="BK16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50</v>
      </c>
      <c r="BL167" s="483">
        <f>IF(WWWW[[#This Row],['#_of_functional_handwashing_facilities_at_HH_level]]*6&gt;WWWW[[#This Row],[Total PoP ]],WWWW[[#This Row],[Total PoP ]],WWWW[[#This Row],['#_of_functional_handwashing_facilities_at_HH_level]]*6)</f>
        <v>270</v>
      </c>
      <c r="BM167" s="478">
        <f>IF(WWWW[[#This Row],['# people reached by regular dedicated hygiene promotion]]&gt;WWWW[[#This Row],['# People received regular supply of hygiene items]],WWWW[[#This Row],['# people reached by regular dedicated hygiene promotion]],WWWW[[#This Row],['# People received regular supply of hygiene items]])</f>
        <v>50</v>
      </c>
      <c r="BN167" s="476">
        <f>IF(WWWW[[#This Row],[HRP3]]/WWWW[[#This Row],[Total PoP ]]&gt;100%,100%,WWWW[[#This Row],[HRP3]]/WWWW[[#This Row],[Total PoP ]])</f>
        <v>2.7932960893854747E-2</v>
      </c>
      <c r="BO167" s="479">
        <f>1-WWWW[[#This Row],[Hygiene Coverage%]]</f>
        <v>0.97206703910614523</v>
      </c>
      <c r="BP167" s="477">
        <f>WWWW[[#This Row],['# people reached by regular dedicated hygiene promotion]]/WWWW[[#This Row],[Total PoP ]]</f>
        <v>2.7932960893854747E-2</v>
      </c>
      <c r="BQ16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7" s="478">
        <f>WWWW[[#This Row],['#_of_affected_women_and_girls_receiving_a_sufficient_quantity_of_sanitary_pads]]</f>
        <v>0</v>
      </c>
      <c r="BS167" s="524">
        <f>IF(WWWW[[#This Row],['# People with access to soap]]&gt;WWWW[[#This Row],['# People with access to Sanity Pads]],WWWW[[#This Row],['# People with access to soap]],WWWW[[#This Row],['# People with access to Sanity Pads]])</f>
        <v>0</v>
      </c>
      <c r="BT167" s="483" t="str">
        <f>IF(OR(WWWW[[#This Row],['#of students in school]]="",WWWW[[#This Row],['#of students in school]]=0),"No","Yes")</f>
        <v>Yes</v>
      </c>
      <c r="BU167" s="480" t="str">
        <f>VLOOKUP(WWWW[[#This Row],[Village  Name]],SiteDB6[[Site Name]:[Location Type 1]],9,FALSE)</f>
        <v>Village</v>
      </c>
      <c r="BV167" s="480" t="str">
        <f>VLOOKUP(WWWW[[#This Row],[Village  Name]],SiteDB6[[Site Name]:[Type of Accommodation]],10,FALSE)</f>
        <v>Village</v>
      </c>
      <c r="BW167" s="480" t="str">
        <f>VLOOKUP(WWWW[[#This Row],[Village  Name]],SiteDB6[[Site Name]:[Ethnic or GCA/NGCA]],11,FALSE)</f>
        <v>Muslim</v>
      </c>
      <c r="BX167" s="480">
        <f>VLOOKUP(WWWW[[#This Row],[Village  Name]],SiteDB6[[Site Name]:[Lat]],12,FALSE)</f>
        <v>20.235199999999999</v>
      </c>
      <c r="BY167" s="480">
        <f>VLOOKUP(WWWW[[#This Row],[Village  Name]],SiteDB6[[Site Name]:[Long]],13,FALSE)</f>
        <v>92.805000000000007</v>
      </c>
      <c r="BZ167" s="480">
        <f>VLOOKUP(WWWW[[#This Row],[Village  Name]],SiteDB6[[Site Name]:[Pcode]],3,FALSE)</f>
        <v>196143</v>
      </c>
      <c r="CA167" s="480" t="str">
        <f t="shared" si="8"/>
        <v>Covered</v>
      </c>
      <c r="CB167" s="505"/>
    </row>
    <row r="168" spans="1:80">
      <c r="A168" s="774" t="s">
        <v>3150</v>
      </c>
      <c r="B168" s="774" t="s">
        <v>318</v>
      </c>
      <c r="C168" s="415" t="s">
        <v>318</v>
      </c>
      <c r="D168" s="415" t="s">
        <v>334</v>
      </c>
      <c r="E168" s="415" t="s">
        <v>2648</v>
      </c>
      <c r="F168" s="415" t="s">
        <v>295</v>
      </c>
      <c r="G168" s="644" t="str">
        <f>VLOOKUP(WWWW[[#This Row],[Village  Name]],SiteDB6[[Site Name]:[Location Type]],8,FALSE)</f>
        <v>Village</v>
      </c>
      <c r="H168" s="415" t="s">
        <v>1664</v>
      </c>
      <c r="I168" s="524">
        <v>410</v>
      </c>
      <c r="J168" s="524">
        <v>2100</v>
      </c>
      <c r="K168" s="418">
        <v>43678</v>
      </c>
      <c r="L168" s="55">
        <v>44043</v>
      </c>
      <c r="M168" s="524">
        <v>200</v>
      </c>
      <c r="N168" s="524"/>
      <c r="O168" s="524">
        <v>10</v>
      </c>
      <c r="P168" s="524">
        <v>50</v>
      </c>
      <c r="Q168" s="524"/>
      <c r="R168" s="524"/>
      <c r="S168" s="524"/>
      <c r="T168" s="524">
        <v>1</v>
      </c>
      <c r="U168" s="551"/>
      <c r="V168" s="524">
        <v>280</v>
      </c>
      <c r="W168" s="524" t="s">
        <v>126</v>
      </c>
      <c r="X168" s="524">
        <v>5</v>
      </c>
      <c r="Y168" s="524">
        <v>9</v>
      </c>
      <c r="Z168" s="524"/>
      <c r="AA168" s="524"/>
      <c r="AB168" s="524"/>
      <c r="AC168" s="551"/>
      <c r="AD168" s="524"/>
      <c r="AE168" s="524">
        <v>50</v>
      </c>
      <c r="AF168" s="524"/>
      <c r="AG168" s="524"/>
      <c r="AH168" s="524"/>
      <c r="AI168" s="524"/>
      <c r="AJ168" s="524">
        <v>50</v>
      </c>
      <c r="AK168" s="524"/>
      <c r="AL168" s="524"/>
      <c r="AM168" s="524"/>
      <c r="AN168" s="551"/>
      <c r="AO168" s="477"/>
      <c r="AP168" s="477"/>
      <c r="AQ168" s="524"/>
      <c r="AR168" s="524"/>
      <c r="AS168" s="524"/>
      <c r="AT16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68" s="483">
        <f>WWWW[[#This Row],[%Equitable and continuous access to sufficient quantity of safe drinking water]]*WWWW[[#This Row],[Total PoP ]]</f>
        <v>2100</v>
      </c>
      <c r="AV16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68" s="483">
        <f>WWWW[[#This Row],[% Access to unimproved water points]]*WWWW[[#This Row],[Total PoP ]]</f>
        <v>0</v>
      </c>
      <c r="AX16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6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2100</v>
      </c>
      <c r="AZ168" s="483">
        <f>WWWW[[#This Row],[HRP1]]/250</f>
        <v>8.4</v>
      </c>
      <c r="BA168" s="476">
        <f>1-WWWW[[#This Row],[% Equitable and continuous access to sufficient quantity of domestic water]]</f>
        <v>0</v>
      </c>
      <c r="BB168" s="483">
        <f>WWWW[[#This Row],[%equitable and continuous access to sufficient quantity of safe drinking and domestic water''s GAP]]*WWWW[[#This Row],[Total PoP ]]</f>
        <v>0</v>
      </c>
      <c r="BC168" s="478">
        <f>IF(WWWW[[#This Row],[Total required water points]]-WWWW[[#This Row],['#Water points coverage]]&lt;0,0,WWWW[[#This Row],[Total required water points]]-WWWW[[#This Row],['#Water points coverage]])</f>
        <v>0</v>
      </c>
      <c r="BD168" s="478">
        <f>ROUND(IF(WWWW[[#This Row],[Total PoP ]]&lt;250,1,WWWW[[#This Row],[Total PoP ]]/250),0)</f>
        <v>8</v>
      </c>
      <c r="BE16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v>
      </c>
      <c r="BF168" s="483">
        <f>WWWW[[#This Row],[% people access to functioning Latrine]]*WWWW[[#This Row],[Total PoP ]]</f>
        <v>1680</v>
      </c>
      <c r="BG168" s="478">
        <f>WWWW[[#This Row],['#_of_Functioning_latrines_in_school]]*50</f>
        <v>250</v>
      </c>
      <c r="BH168" s="478">
        <f>ROUND((WWWW[[#This Row],[Total PoP ]]/6),0)</f>
        <v>350</v>
      </c>
      <c r="BI168" s="478">
        <f>IF(WWWW[[#This Row],[Total required Latrines]]-(WWWW[[#This Row],['#_of_sanitary_fly-proof_HH_latrines]])&lt;0,0,WWWW[[#This Row],[Total required Latrines]]-(WWWW[[#This Row],['#_of_sanitary_fly-proof_HH_latrines]]))</f>
        <v>70</v>
      </c>
      <c r="BJ168" s="479">
        <f>1-WWWW[[#This Row],[% people access to functioning Latrine]]</f>
        <v>0.19999999999999996</v>
      </c>
      <c r="BK16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50</v>
      </c>
      <c r="BL168" s="483">
        <f>IF(WWWW[[#This Row],['#_of_functional_handwashing_facilities_at_HH_level]]*6&gt;WWWW[[#This Row],[Total PoP ]],WWWW[[#This Row],[Total PoP ]],WWWW[[#This Row],['#_of_functional_handwashing_facilities_at_HH_level]]*6)</f>
        <v>300</v>
      </c>
      <c r="BM168" s="478">
        <f>IF(WWWW[[#This Row],['# people reached by regular dedicated hygiene promotion]]&gt;WWWW[[#This Row],['# People received regular supply of hygiene items]],WWWW[[#This Row],['# people reached by regular dedicated hygiene promotion]],WWWW[[#This Row],['# People received regular supply of hygiene items]])</f>
        <v>50</v>
      </c>
      <c r="BN168" s="476">
        <f>IF(WWWW[[#This Row],[HRP3]]/WWWW[[#This Row],[Total PoP ]]&gt;100%,100%,WWWW[[#This Row],[HRP3]]/WWWW[[#This Row],[Total PoP ]])</f>
        <v>2.3809523809523808E-2</v>
      </c>
      <c r="BO168" s="479">
        <f>1-WWWW[[#This Row],[Hygiene Coverage%]]</f>
        <v>0.97619047619047616</v>
      </c>
      <c r="BP168" s="477">
        <f>WWWW[[#This Row],['# people reached by regular dedicated hygiene promotion]]/WWWW[[#This Row],[Total PoP ]]</f>
        <v>2.3809523809523808E-2</v>
      </c>
      <c r="BQ16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8" s="478">
        <f>WWWW[[#This Row],['#_of_affected_women_and_girls_receiving_a_sufficient_quantity_of_sanitary_pads]]</f>
        <v>0</v>
      </c>
      <c r="BS168" s="524">
        <f>IF(WWWW[[#This Row],['# People with access to soap]]&gt;WWWW[[#This Row],['# People with access to Sanity Pads]],WWWW[[#This Row],['# People with access to soap]],WWWW[[#This Row],['# People with access to Sanity Pads]])</f>
        <v>0</v>
      </c>
      <c r="BT168" s="483" t="str">
        <f>IF(OR(WWWW[[#This Row],['#of students in school]]="",WWWW[[#This Row],['#of students in school]]=0),"No","Yes")</f>
        <v>Yes</v>
      </c>
      <c r="BU168" s="480" t="str">
        <f>VLOOKUP(WWWW[[#This Row],[Village  Name]],SiteDB6[[Site Name]:[Location Type 1]],9,FALSE)</f>
        <v>Village</v>
      </c>
      <c r="BV168" s="480" t="str">
        <f>VLOOKUP(WWWW[[#This Row],[Village  Name]],SiteDB6[[Site Name]:[Type of Accommodation]],10,FALSE)</f>
        <v>Village</v>
      </c>
      <c r="BW168" s="480">
        <f>VLOOKUP(WWWW[[#This Row],[Village  Name]],SiteDB6[[Site Name]:[Ethnic or GCA/NGCA]],11,FALSE)</f>
        <v>0</v>
      </c>
      <c r="BX168" s="480">
        <f>VLOOKUP(WWWW[[#This Row],[Village  Name]],SiteDB6[[Site Name]:[Lat]],12,FALSE)</f>
        <v>20.2351894378662</v>
      </c>
      <c r="BY168" s="480">
        <f>VLOOKUP(WWWW[[#This Row],[Village  Name]],SiteDB6[[Site Name]:[Long]],13,FALSE)</f>
        <v>92.790191650390597</v>
      </c>
      <c r="BZ168" s="480">
        <f>VLOOKUP(WWWW[[#This Row],[Village  Name]],SiteDB6[[Site Name]:[Pcode]],3,FALSE)</f>
        <v>196138</v>
      </c>
      <c r="CA168" s="480" t="str">
        <f t="shared" si="8"/>
        <v>Covered</v>
      </c>
      <c r="CB168" s="505"/>
    </row>
    <row r="169" spans="1:80">
      <c r="A169" s="774" t="s">
        <v>3150</v>
      </c>
      <c r="B169" s="774" t="s">
        <v>318</v>
      </c>
      <c r="C169" s="415" t="s">
        <v>318</v>
      </c>
      <c r="D169" s="415" t="s">
        <v>334</v>
      </c>
      <c r="E169" s="415" t="s">
        <v>2648</v>
      </c>
      <c r="F169" s="415" t="s">
        <v>295</v>
      </c>
      <c r="G169" s="644" t="str">
        <f>VLOOKUP(WWWW[[#This Row],[Village  Name]],SiteDB6[[Site Name]:[Location Type]],8,FALSE)</f>
        <v>Village</v>
      </c>
      <c r="H169" s="415" t="s">
        <v>3107</v>
      </c>
      <c r="I169" s="524">
        <v>187</v>
      </c>
      <c r="J169" s="524">
        <v>913</v>
      </c>
      <c r="K169" s="418">
        <v>43678</v>
      </c>
      <c r="L169" s="55">
        <v>44043</v>
      </c>
      <c r="M169" s="524">
        <v>110</v>
      </c>
      <c r="N169" s="524"/>
      <c r="O169" s="524">
        <v>7</v>
      </c>
      <c r="P169" s="524">
        <v>10</v>
      </c>
      <c r="Q169" s="524">
        <v>0</v>
      </c>
      <c r="R169" s="524"/>
      <c r="S169" s="524"/>
      <c r="T169" s="524"/>
      <c r="U169" s="551"/>
      <c r="V169" s="524">
        <v>12</v>
      </c>
      <c r="W169" s="524" t="s">
        <v>126</v>
      </c>
      <c r="X169" s="524">
        <v>0</v>
      </c>
      <c r="Y169" s="524">
        <v>14</v>
      </c>
      <c r="Z169" s="524"/>
      <c r="AA169" s="524"/>
      <c r="AB169" s="524"/>
      <c r="AC169" s="551"/>
      <c r="AD169" s="524"/>
      <c r="AE169" s="524">
        <v>50</v>
      </c>
      <c r="AF169" s="524"/>
      <c r="AG169" s="524"/>
      <c r="AH169" s="524"/>
      <c r="AI169" s="524"/>
      <c r="AJ169" s="524">
        <v>50</v>
      </c>
      <c r="AK169" s="524"/>
      <c r="AL169" s="524"/>
      <c r="AM169" s="524"/>
      <c r="AN169" s="551"/>
      <c r="AO169" s="477"/>
      <c r="AP169" s="477"/>
      <c r="AQ169" s="524"/>
      <c r="AR169" s="524"/>
      <c r="AS169" s="524"/>
      <c r="AT16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69" s="483">
        <f>WWWW[[#This Row],[%Equitable and continuous access to sufficient quantity of safe drinking water]]*WWWW[[#This Row],[Total PoP ]]</f>
        <v>913</v>
      </c>
      <c r="AV16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69" s="483">
        <f>WWWW[[#This Row],[% Access to unimproved water points]]*WWWW[[#This Row],[Total PoP ]]</f>
        <v>0</v>
      </c>
      <c r="AX16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6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913</v>
      </c>
      <c r="AZ169" s="483">
        <f>WWWW[[#This Row],[HRP1]]/250</f>
        <v>3.6520000000000001</v>
      </c>
      <c r="BA169" s="476">
        <f>1-WWWW[[#This Row],[% Equitable and continuous access to sufficient quantity of domestic water]]</f>
        <v>0</v>
      </c>
      <c r="BB169" s="483">
        <f>WWWW[[#This Row],[%equitable and continuous access to sufficient quantity of safe drinking and domestic water''s GAP]]*WWWW[[#This Row],[Total PoP ]]</f>
        <v>0</v>
      </c>
      <c r="BC169" s="478">
        <f>IF(WWWW[[#This Row],[Total required water points]]-WWWW[[#This Row],['#Water points coverage]]&lt;0,0,WWWW[[#This Row],[Total required water points]]-WWWW[[#This Row],['#Water points coverage]])</f>
        <v>0.34799999999999986</v>
      </c>
      <c r="BD169" s="478">
        <f>ROUND(IF(WWWW[[#This Row],[Total PoP ]]&lt;250,1,WWWW[[#This Row],[Total PoP ]]/250),0)</f>
        <v>4</v>
      </c>
      <c r="BE16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7.8860898138006577E-2</v>
      </c>
      <c r="BF169" s="483">
        <f>WWWW[[#This Row],[% people access to functioning Latrine]]*WWWW[[#This Row],[Total PoP ]]</f>
        <v>72</v>
      </c>
      <c r="BG169" s="478">
        <f>WWWW[[#This Row],['#_of_Functioning_latrines_in_school]]*50</f>
        <v>0</v>
      </c>
      <c r="BH169" s="478">
        <f>ROUND((WWWW[[#This Row],[Total PoP ]]/6),0)</f>
        <v>152</v>
      </c>
      <c r="BI169" s="478">
        <f>IF(WWWW[[#This Row],[Total required Latrines]]-(WWWW[[#This Row],['#_of_sanitary_fly-proof_HH_latrines]])&lt;0,0,WWWW[[#This Row],[Total required Latrines]]-(WWWW[[#This Row],['#_of_sanitary_fly-proof_HH_latrines]]))</f>
        <v>140</v>
      </c>
      <c r="BJ169" s="479">
        <f>1-WWWW[[#This Row],[% people access to functioning Latrine]]</f>
        <v>0.92113910186199344</v>
      </c>
      <c r="BK16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50</v>
      </c>
      <c r="BL169" s="483">
        <f>IF(WWWW[[#This Row],['#_of_functional_handwashing_facilities_at_HH_level]]*6&gt;WWWW[[#This Row],[Total PoP ]],WWWW[[#This Row],[Total PoP ]],WWWW[[#This Row],['#_of_functional_handwashing_facilities_at_HH_level]]*6)</f>
        <v>300</v>
      </c>
      <c r="BM169" s="478">
        <f>IF(WWWW[[#This Row],['# people reached by regular dedicated hygiene promotion]]&gt;WWWW[[#This Row],['# People received regular supply of hygiene items]],WWWW[[#This Row],['# people reached by regular dedicated hygiene promotion]],WWWW[[#This Row],['# People received regular supply of hygiene items]])</f>
        <v>50</v>
      </c>
      <c r="BN169" s="476">
        <f>IF(WWWW[[#This Row],[HRP3]]/WWWW[[#This Row],[Total PoP ]]&gt;100%,100%,WWWW[[#This Row],[HRP3]]/WWWW[[#This Row],[Total PoP ]])</f>
        <v>5.4764512595837894E-2</v>
      </c>
      <c r="BO169" s="479">
        <f>1-WWWW[[#This Row],[Hygiene Coverage%]]</f>
        <v>0.94523548740416208</v>
      </c>
      <c r="BP169" s="477">
        <f>WWWW[[#This Row],['# people reached by regular dedicated hygiene promotion]]/WWWW[[#This Row],[Total PoP ]]</f>
        <v>5.4764512595837894E-2</v>
      </c>
      <c r="BQ16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69" s="478">
        <f>WWWW[[#This Row],['#_of_affected_women_and_girls_receiving_a_sufficient_quantity_of_sanitary_pads]]</f>
        <v>0</v>
      </c>
      <c r="BS169" s="524">
        <f>IF(WWWW[[#This Row],['# People with access to soap]]&gt;WWWW[[#This Row],['# People with access to Sanity Pads]],WWWW[[#This Row],['# People with access to soap]],WWWW[[#This Row],['# People with access to Sanity Pads]])</f>
        <v>0</v>
      </c>
      <c r="BT169" s="483" t="str">
        <f>IF(OR(WWWW[[#This Row],['#of students in school]]="",WWWW[[#This Row],['#of students in school]]=0),"No","Yes")</f>
        <v>Yes</v>
      </c>
      <c r="BU169" s="480" t="str">
        <f>VLOOKUP(WWWW[[#This Row],[Village  Name]],SiteDB6[[Site Name]:[Location Type 1]],9,FALSE)</f>
        <v>Village</v>
      </c>
      <c r="BV169" s="480" t="str">
        <f>VLOOKUP(WWWW[[#This Row],[Village  Name]],SiteDB6[[Site Name]:[Type of Accommodation]],10,FALSE)</f>
        <v>Village</v>
      </c>
      <c r="BW169" s="480">
        <f>VLOOKUP(WWWW[[#This Row],[Village  Name]],SiteDB6[[Site Name]:[Ethnic or GCA/NGCA]],11,FALSE)</f>
        <v>0</v>
      </c>
      <c r="BX169" s="480">
        <f>VLOOKUP(WWWW[[#This Row],[Village  Name]],SiteDB6[[Site Name]:[Lat]],12,FALSE)</f>
        <v>0</v>
      </c>
      <c r="BY169" s="480">
        <f>VLOOKUP(WWWW[[#This Row],[Village  Name]],SiteDB6[[Site Name]:[Long]],13,FALSE)</f>
        <v>0</v>
      </c>
      <c r="BZ169" s="480">
        <f>VLOOKUP(WWWW[[#This Row],[Village  Name]],SiteDB6[[Site Name]:[Pcode]],3,FALSE)</f>
        <v>0</v>
      </c>
      <c r="CA169" s="480" t="str">
        <f t="shared" si="8"/>
        <v>Covered</v>
      </c>
      <c r="CB169" s="505"/>
    </row>
    <row r="170" spans="1:80">
      <c r="A170" s="774" t="s">
        <v>3150</v>
      </c>
      <c r="B170" s="774" t="s">
        <v>318</v>
      </c>
      <c r="C170" s="415" t="s">
        <v>318</v>
      </c>
      <c r="D170" s="415" t="s">
        <v>334</v>
      </c>
      <c r="E170" s="415" t="s">
        <v>2648</v>
      </c>
      <c r="F170" s="415" t="s">
        <v>295</v>
      </c>
      <c r="G170" s="644" t="str">
        <f>VLOOKUP(WWWW[[#This Row],[Village  Name]],SiteDB6[[Site Name]:[Location Type]],8,FALSE)</f>
        <v>Village</v>
      </c>
      <c r="H170" s="415" t="s">
        <v>3108</v>
      </c>
      <c r="I170" s="524">
        <v>164</v>
      </c>
      <c r="J170" s="524">
        <v>1172</v>
      </c>
      <c r="K170" s="418">
        <v>43678</v>
      </c>
      <c r="L170" s="55">
        <v>44043</v>
      </c>
      <c r="M170" s="524">
        <v>50</v>
      </c>
      <c r="N170" s="524"/>
      <c r="O170" s="524">
        <v>2</v>
      </c>
      <c r="P170" s="524">
        <v>70</v>
      </c>
      <c r="Q170" s="524">
        <v>0</v>
      </c>
      <c r="R170" s="524"/>
      <c r="S170" s="524">
        <v>0</v>
      </c>
      <c r="T170" s="524">
        <v>0</v>
      </c>
      <c r="U170" s="551"/>
      <c r="V170" s="524">
        <v>20</v>
      </c>
      <c r="W170" s="524" t="s">
        <v>126</v>
      </c>
      <c r="X170" s="524"/>
      <c r="Y170" s="524">
        <v>10</v>
      </c>
      <c r="Z170" s="524"/>
      <c r="AA170" s="524"/>
      <c r="AB170" s="524"/>
      <c r="AC170" s="551"/>
      <c r="AD170" s="524"/>
      <c r="AE170" s="524">
        <v>50</v>
      </c>
      <c r="AF170" s="524"/>
      <c r="AG170" s="524"/>
      <c r="AH170" s="524"/>
      <c r="AI170" s="524"/>
      <c r="AJ170" s="524">
        <v>50</v>
      </c>
      <c r="AK170" s="524"/>
      <c r="AL170" s="524"/>
      <c r="AM170" s="524"/>
      <c r="AN170" s="551"/>
      <c r="AO170" s="477"/>
      <c r="AP170" s="477"/>
      <c r="AQ170" s="524"/>
      <c r="AR170" s="524"/>
      <c r="AS170" s="524"/>
      <c r="AT17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70" s="483">
        <f>WWWW[[#This Row],[%Equitable and continuous access to sufficient quantity of safe drinking water]]*WWWW[[#This Row],[Total PoP ]]</f>
        <v>1172</v>
      </c>
      <c r="AV17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70" s="483">
        <f>WWWW[[#This Row],[% Access to unimproved water points]]*WWWW[[#This Row],[Total PoP ]]</f>
        <v>0</v>
      </c>
      <c r="AX17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7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1172</v>
      </c>
      <c r="AZ170" s="483">
        <f>WWWW[[#This Row],[HRP1]]/250</f>
        <v>4.6879999999999997</v>
      </c>
      <c r="BA170" s="476">
        <f>1-WWWW[[#This Row],[% Equitable and continuous access to sufficient quantity of domestic water]]</f>
        <v>0</v>
      </c>
      <c r="BB170" s="483">
        <f>WWWW[[#This Row],[%equitable and continuous access to sufficient quantity of safe drinking and domestic water''s GAP]]*WWWW[[#This Row],[Total PoP ]]</f>
        <v>0</v>
      </c>
      <c r="BC170" s="478">
        <f>IF(WWWW[[#This Row],[Total required water points]]-WWWW[[#This Row],['#Water points coverage]]&lt;0,0,WWWW[[#This Row],[Total required water points]]-WWWW[[#This Row],['#Water points coverage]])</f>
        <v>0.31200000000000028</v>
      </c>
      <c r="BD170" s="478">
        <f>ROUND(IF(WWWW[[#This Row],[Total PoP ]]&lt;250,1,WWWW[[#This Row],[Total PoP ]]/250),0)</f>
        <v>5</v>
      </c>
      <c r="BE17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0.10238907849829351</v>
      </c>
      <c r="BF170" s="483">
        <f>WWWW[[#This Row],[% people access to functioning Latrine]]*WWWW[[#This Row],[Total PoP ]]</f>
        <v>120</v>
      </c>
      <c r="BG170" s="478">
        <f>WWWW[[#This Row],['#_of_Functioning_latrines_in_school]]*50</f>
        <v>0</v>
      </c>
      <c r="BH170" s="478">
        <f>ROUND((WWWW[[#This Row],[Total PoP ]]/6),0)</f>
        <v>195</v>
      </c>
      <c r="BI170" s="478">
        <f>IF(WWWW[[#This Row],[Total required Latrines]]-(WWWW[[#This Row],['#_of_sanitary_fly-proof_HH_latrines]])&lt;0,0,WWWW[[#This Row],[Total required Latrines]]-(WWWW[[#This Row],['#_of_sanitary_fly-proof_HH_latrines]]))</f>
        <v>175</v>
      </c>
      <c r="BJ170" s="479">
        <f>1-WWWW[[#This Row],[% people access to functioning Latrine]]</f>
        <v>0.89761092150170652</v>
      </c>
      <c r="BK17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50</v>
      </c>
      <c r="BL170" s="483">
        <f>IF(WWWW[[#This Row],['#_of_functional_handwashing_facilities_at_HH_level]]*6&gt;WWWW[[#This Row],[Total PoP ]],WWWW[[#This Row],[Total PoP ]],WWWW[[#This Row],['#_of_functional_handwashing_facilities_at_HH_level]]*6)</f>
        <v>300</v>
      </c>
      <c r="BM170" s="478">
        <f>IF(WWWW[[#This Row],['# people reached by regular dedicated hygiene promotion]]&gt;WWWW[[#This Row],['# People received regular supply of hygiene items]],WWWW[[#This Row],['# people reached by regular dedicated hygiene promotion]],WWWW[[#This Row],['# People received regular supply of hygiene items]])</f>
        <v>50</v>
      </c>
      <c r="BN170" s="476">
        <f>IF(WWWW[[#This Row],[HRP3]]/WWWW[[#This Row],[Total PoP ]]&gt;100%,100%,WWWW[[#This Row],[HRP3]]/WWWW[[#This Row],[Total PoP ]])</f>
        <v>4.2662116040955635E-2</v>
      </c>
      <c r="BO170" s="479">
        <f>1-WWWW[[#This Row],[Hygiene Coverage%]]</f>
        <v>0.9573378839590444</v>
      </c>
      <c r="BP170" s="477">
        <f>WWWW[[#This Row],['# people reached by regular dedicated hygiene promotion]]/WWWW[[#This Row],[Total PoP ]]</f>
        <v>4.2662116040955635E-2</v>
      </c>
      <c r="BQ17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0" s="478">
        <f>WWWW[[#This Row],['#_of_affected_women_and_girls_receiving_a_sufficient_quantity_of_sanitary_pads]]</f>
        <v>0</v>
      </c>
      <c r="BS170" s="524">
        <f>IF(WWWW[[#This Row],['# People with access to soap]]&gt;WWWW[[#This Row],['# People with access to Sanity Pads]],WWWW[[#This Row],['# People with access to soap]],WWWW[[#This Row],['# People with access to Sanity Pads]])</f>
        <v>0</v>
      </c>
      <c r="BT170" s="483" t="str">
        <f>IF(OR(WWWW[[#This Row],['#of students in school]]="",WWWW[[#This Row],['#of students in school]]=0),"No","Yes")</f>
        <v>Yes</v>
      </c>
      <c r="BU170" s="480" t="str">
        <f>VLOOKUP(WWWW[[#This Row],[Village  Name]],SiteDB6[[Site Name]:[Location Type 1]],9,FALSE)</f>
        <v>Village</v>
      </c>
      <c r="BV170" s="480" t="str">
        <f>VLOOKUP(WWWW[[#This Row],[Village  Name]],SiteDB6[[Site Name]:[Type of Accommodation]],10,FALSE)</f>
        <v>Village</v>
      </c>
      <c r="BW170" s="480">
        <f>VLOOKUP(WWWW[[#This Row],[Village  Name]],SiteDB6[[Site Name]:[Ethnic or GCA/NGCA]],11,FALSE)</f>
        <v>0</v>
      </c>
      <c r="BX170" s="480">
        <f>VLOOKUP(WWWW[[#This Row],[Village  Name]],SiteDB6[[Site Name]:[Lat]],12,FALSE)</f>
        <v>0</v>
      </c>
      <c r="BY170" s="480">
        <f>VLOOKUP(WWWW[[#This Row],[Village  Name]],SiteDB6[[Site Name]:[Long]],13,FALSE)</f>
        <v>0</v>
      </c>
      <c r="BZ170" s="480">
        <f>VLOOKUP(WWWW[[#This Row],[Village  Name]],SiteDB6[[Site Name]:[Pcode]],3,FALSE)</f>
        <v>0</v>
      </c>
      <c r="CA170" s="480" t="str">
        <f t="shared" si="8"/>
        <v>Covered</v>
      </c>
      <c r="CB170" s="505"/>
    </row>
    <row r="171" spans="1:80">
      <c r="A171" s="774" t="s">
        <v>3150</v>
      </c>
      <c r="B171" s="774" t="s">
        <v>318</v>
      </c>
      <c r="C171" s="415" t="s">
        <v>318</v>
      </c>
      <c r="D171" s="415" t="s">
        <v>334</v>
      </c>
      <c r="E171" s="415" t="s">
        <v>2648</v>
      </c>
      <c r="F171" s="415" t="s">
        <v>295</v>
      </c>
      <c r="G171" s="644" t="str">
        <f>VLOOKUP(WWWW[[#This Row],[Village  Name]],SiteDB6[[Site Name]:[Location Type]],8,FALSE)</f>
        <v>Village</v>
      </c>
      <c r="H171" s="415" t="s">
        <v>3109</v>
      </c>
      <c r="I171" s="524">
        <v>126</v>
      </c>
      <c r="J171" s="524">
        <v>636</v>
      </c>
      <c r="K171" s="418">
        <v>43678</v>
      </c>
      <c r="L171" s="55">
        <v>44043</v>
      </c>
      <c r="M171" s="524">
        <v>136</v>
      </c>
      <c r="N171" s="524"/>
      <c r="O171" s="524"/>
      <c r="P171" s="524">
        <v>23</v>
      </c>
      <c r="Q171" s="524">
        <v>0</v>
      </c>
      <c r="R171" s="524"/>
      <c r="S171" s="524"/>
      <c r="T171" s="524"/>
      <c r="U171" s="551"/>
      <c r="V171" s="524">
        <v>10</v>
      </c>
      <c r="W171" s="524" t="s">
        <v>126</v>
      </c>
      <c r="X171" s="524">
        <v>0</v>
      </c>
      <c r="Y171" s="524">
        <v>15</v>
      </c>
      <c r="Z171" s="524"/>
      <c r="AA171" s="524"/>
      <c r="AB171" s="524"/>
      <c r="AC171" s="551"/>
      <c r="AD171" s="524"/>
      <c r="AE171" s="524">
        <v>50</v>
      </c>
      <c r="AF171" s="524"/>
      <c r="AG171" s="524"/>
      <c r="AH171" s="524"/>
      <c r="AI171" s="524"/>
      <c r="AJ171" s="524">
        <v>48</v>
      </c>
      <c r="AK171" s="524"/>
      <c r="AL171" s="524"/>
      <c r="AM171" s="524"/>
      <c r="AN171" s="551"/>
      <c r="AO171" s="477"/>
      <c r="AP171" s="477"/>
      <c r="AQ171" s="524"/>
      <c r="AR171" s="524"/>
      <c r="AS171" s="524"/>
      <c r="AT171"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71" s="483">
        <f>WWWW[[#This Row],[%Equitable and continuous access to sufficient quantity of safe drinking water]]*WWWW[[#This Row],[Total PoP ]]</f>
        <v>636</v>
      </c>
      <c r="AV171"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71" s="483">
        <f>WWWW[[#This Row],[% Access to unimproved water points]]*WWWW[[#This Row],[Total PoP ]]</f>
        <v>0</v>
      </c>
      <c r="AX171"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71"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636</v>
      </c>
      <c r="AZ171" s="483">
        <f>WWWW[[#This Row],[HRP1]]/250</f>
        <v>2.544</v>
      </c>
      <c r="BA171" s="476">
        <f>1-WWWW[[#This Row],[% Equitable and continuous access to sufficient quantity of domestic water]]</f>
        <v>0</v>
      </c>
      <c r="BB171" s="483">
        <f>WWWW[[#This Row],[%equitable and continuous access to sufficient quantity of safe drinking and domestic water''s GAP]]*WWWW[[#This Row],[Total PoP ]]</f>
        <v>0</v>
      </c>
      <c r="BC171" s="478">
        <f>IF(WWWW[[#This Row],[Total required water points]]-WWWW[[#This Row],['#Water points coverage]]&lt;0,0,WWWW[[#This Row],[Total required water points]]-WWWW[[#This Row],['#Water points coverage]])</f>
        <v>0.45599999999999996</v>
      </c>
      <c r="BD171" s="478">
        <f>ROUND(IF(WWWW[[#This Row],[Total PoP ]]&lt;250,1,WWWW[[#This Row],[Total PoP ]]/250),0)</f>
        <v>3</v>
      </c>
      <c r="BE17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9.4339622641509441E-2</v>
      </c>
      <c r="BF171" s="483">
        <f>WWWW[[#This Row],[% people access to functioning Latrine]]*WWWW[[#This Row],[Total PoP ]]</f>
        <v>60.000000000000007</v>
      </c>
      <c r="BG171" s="478">
        <f>WWWW[[#This Row],['#_of_Functioning_latrines_in_school]]*50</f>
        <v>0</v>
      </c>
      <c r="BH171" s="478">
        <f>ROUND((WWWW[[#This Row],[Total PoP ]]/6),0)</f>
        <v>106</v>
      </c>
      <c r="BI171" s="478">
        <f>IF(WWWW[[#This Row],[Total required Latrines]]-(WWWW[[#This Row],['#_of_sanitary_fly-proof_HH_latrines]])&lt;0,0,WWWW[[#This Row],[Total required Latrines]]-(WWWW[[#This Row],['#_of_sanitary_fly-proof_HH_latrines]]))</f>
        <v>96</v>
      </c>
      <c r="BJ171" s="479">
        <f>1-WWWW[[#This Row],[% people access to functioning Latrine]]</f>
        <v>0.90566037735849059</v>
      </c>
      <c r="BK171"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50</v>
      </c>
      <c r="BL171" s="483">
        <f>IF(WWWW[[#This Row],['#_of_functional_handwashing_facilities_at_HH_level]]*6&gt;WWWW[[#This Row],[Total PoP ]],WWWW[[#This Row],[Total PoP ]],WWWW[[#This Row],['#_of_functional_handwashing_facilities_at_HH_level]]*6)</f>
        <v>288</v>
      </c>
      <c r="BM171" s="478">
        <f>IF(WWWW[[#This Row],['# people reached by regular dedicated hygiene promotion]]&gt;WWWW[[#This Row],['# People received regular supply of hygiene items]],WWWW[[#This Row],['# people reached by regular dedicated hygiene promotion]],WWWW[[#This Row],['# People received regular supply of hygiene items]])</f>
        <v>50</v>
      </c>
      <c r="BN171" s="476">
        <f>IF(WWWW[[#This Row],[HRP3]]/WWWW[[#This Row],[Total PoP ]]&gt;100%,100%,WWWW[[#This Row],[HRP3]]/WWWW[[#This Row],[Total PoP ]])</f>
        <v>7.8616352201257858E-2</v>
      </c>
      <c r="BO171" s="479">
        <f>1-WWWW[[#This Row],[Hygiene Coverage%]]</f>
        <v>0.92138364779874216</v>
      </c>
      <c r="BP171" s="477">
        <f>WWWW[[#This Row],['# people reached by regular dedicated hygiene promotion]]/WWWW[[#This Row],[Total PoP ]]</f>
        <v>7.8616352201257858E-2</v>
      </c>
      <c r="BQ17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1" s="478">
        <f>WWWW[[#This Row],['#_of_affected_women_and_girls_receiving_a_sufficient_quantity_of_sanitary_pads]]</f>
        <v>0</v>
      </c>
      <c r="BS171" s="524">
        <f>IF(WWWW[[#This Row],['# People with access to soap]]&gt;WWWW[[#This Row],['# People with access to Sanity Pads]],WWWW[[#This Row],['# People with access to soap]],WWWW[[#This Row],['# People with access to Sanity Pads]])</f>
        <v>0</v>
      </c>
      <c r="BT171" s="483" t="str">
        <f>IF(OR(WWWW[[#This Row],['#of students in school]]="",WWWW[[#This Row],['#of students in school]]=0),"No","Yes")</f>
        <v>Yes</v>
      </c>
      <c r="BU171" s="480" t="str">
        <f>VLOOKUP(WWWW[[#This Row],[Village  Name]],SiteDB6[[Site Name]:[Location Type 1]],9,FALSE)</f>
        <v>Village</v>
      </c>
      <c r="BV171" s="480" t="str">
        <f>VLOOKUP(WWWW[[#This Row],[Village  Name]],SiteDB6[[Site Name]:[Type of Accommodation]],10,FALSE)</f>
        <v>Village</v>
      </c>
      <c r="BW171" s="480">
        <f>VLOOKUP(WWWW[[#This Row],[Village  Name]],SiteDB6[[Site Name]:[Ethnic or GCA/NGCA]],11,FALSE)</f>
        <v>0</v>
      </c>
      <c r="BX171" s="480">
        <f>VLOOKUP(WWWW[[#This Row],[Village  Name]],SiteDB6[[Site Name]:[Lat]],12,FALSE)</f>
        <v>0</v>
      </c>
      <c r="BY171" s="480">
        <f>VLOOKUP(WWWW[[#This Row],[Village  Name]],SiteDB6[[Site Name]:[Long]],13,FALSE)</f>
        <v>0</v>
      </c>
      <c r="BZ171" s="480">
        <f>VLOOKUP(WWWW[[#This Row],[Village  Name]],SiteDB6[[Site Name]:[Pcode]],3,FALSE)</f>
        <v>0</v>
      </c>
      <c r="CA171" s="480" t="str">
        <f t="shared" si="8"/>
        <v>Covered</v>
      </c>
      <c r="CB171" s="505"/>
    </row>
    <row r="172" spans="1:80">
      <c r="A172" s="774" t="s">
        <v>3150</v>
      </c>
      <c r="B172" s="774" t="s">
        <v>318</v>
      </c>
      <c r="C172" s="415" t="s">
        <v>318</v>
      </c>
      <c r="D172" s="415" t="s">
        <v>334</v>
      </c>
      <c r="E172" s="415" t="s">
        <v>2648</v>
      </c>
      <c r="F172" s="415" t="s">
        <v>295</v>
      </c>
      <c r="G172" s="644" t="str">
        <f>VLOOKUP(WWWW[[#This Row],[Village  Name]],SiteDB6[[Site Name]:[Location Type]],8,FALSE)</f>
        <v>Village</v>
      </c>
      <c r="H172" s="415" t="s">
        <v>442</v>
      </c>
      <c r="I172" s="524">
        <v>240</v>
      </c>
      <c r="J172" s="524">
        <v>1150</v>
      </c>
      <c r="K172" s="418">
        <v>43678</v>
      </c>
      <c r="L172" s="55">
        <v>44043</v>
      </c>
      <c r="M172" s="524">
        <v>320</v>
      </c>
      <c r="N172" s="524"/>
      <c r="O172" s="524">
        <v>10</v>
      </c>
      <c r="P172" s="524">
        <v>40</v>
      </c>
      <c r="Q172" s="524">
        <v>0</v>
      </c>
      <c r="R172" s="524"/>
      <c r="S172" s="524">
        <v>0</v>
      </c>
      <c r="T172" s="524">
        <v>0</v>
      </c>
      <c r="U172" s="551"/>
      <c r="V172" s="524">
        <v>100</v>
      </c>
      <c r="W172" s="524" t="s">
        <v>126</v>
      </c>
      <c r="X172" s="524">
        <v>6</v>
      </c>
      <c r="Y172" s="524">
        <v>15</v>
      </c>
      <c r="Z172" s="524"/>
      <c r="AA172" s="524"/>
      <c r="AB172" s="524"/>
      <c r="AC172" s="551"/>
      <c r="AD172" s="524"/>
      <c r="AE172" s="524">
        <v>50</v>
      </c>
      <c r="AF172" s="524"/>
      <c r="AG172" s="524"/>
      <c r="AH172" s="524"/>
      <c r="AI172" s="524"/>
      <c r="AJ172" s="524">
        <v>46</v>
      </c>
      <c r="AK172" s="524"/>
      <c r="AL172" s="524"/>
      <c r="AM172" s="524"/>
      <c r="AN172" s="551"/>
      <c r="AO172" s="477"/>
      <c r="AP172" s="477"/>
      <c r="AQ172" s="524"/>
      <c r="AR172" s="524"/>
      <c r="AS172" s="524"/>
      <c r="AT172"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72" s="483">
        <f>WWWW[[#This Row],[%Equitable and continuous access to sufficient quantity of safe drinking water]]*WWWW[[#This Row],[Total PoP ]]</f>
        <v>1150</v>
      </c>
      <c r="AV172"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72" s="483">
        <f>WWWW[[#This Row],[% Access to unimproved water points]]*WWWW[[#This Row],[Total PoP ]]</f>
        <v>0</v>
      </c>
      <c r="AX172"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72"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1150</v>
      </c>
      <c r="AZ172" s="483">
        <f>WWWW[[#This Row],[HRP1]]/250</f>
        <v>4.5999999999999996</v>
      </c>
      <c r="BA172" s="476">
        <f>1-WWWW[[#This Row],[% Equitable and continuous access to sufficient quantity of domestic water]]</f>
        <v>0</v>
      </c>
      <c r="BB172" s="483">
        <f>WWWW[[#This Row],[%equitable and continuous access to sufficient quantity of safe drinking and domestic water''s GAP]]*WWWW[[#This Row],[Total PoP ]]</f>
        <v>0</v>
      </c>
      <c r="BC172" s="478">
        <f>IF(WWWW[[#This Row],[Total required water points]]-WWWW[[#This Row],['#Water points coverage]]&lt;0,0,WWWW[[#This Row],[Total required water points]]-WWWW[[#This Row],['#Water points coverage]])</f>
        <v>0.40000000000000036</v>
      </c>
      <c r="BD172" s="478">
        <f>ROUND(IF(WWWW[[#This Row],[Total PoP ]]&lt;250,1,WWWW[[#This Row],[Total PoP ]]/250),0)</f>
        <v>5</v>
      </c>
      <c r="BE17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0.52173913043478259</v>
      </c>
      <c r="BF172" s="483">
        <f>WWWW[[#This Row],[% people access to functioning Latrine]]*WWWW[[#This Row],[Total PoP ]]</f>
        <v>600</v>
      </c>
      <c r="BG172" s="478">
        <f>WWWW[[#This Row],['#_of_Functioning_latrines_in_school]]*50</f>
        <v>300</v>
      </c>
      <c r="BH172" s="478">
        <f>ROUND((WWWW[[#This Row],[Total PoP ]]/6),0)</f>
        <v>192</v>
      </c>
      <c r="BI172" s="478">
        <f>IF(WWWW[[#This Row],[Total required Latrines]]-(WWWW[[#This Row],['#_of_sanitary_fly-proof_HH_latrines]])&lt;0,0,WWWW[[#This Row],[Total required Latrines]]-(WWWW[[#This Row],['#_of_sanitary_fly-proof_HH_latrines]]))</f>
        <v>92</v>
      </c>
      <c r="BJ172" s="479">
        <f>1-WWWW[[#This Row],[% people access to functioning Latrine]]</f>
        <v>0.47826086956521741</v>
      </c>
      <c r="BK172"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50</v>
      </c>
      <c r="BL172" s="483">
        <f>IF(WWWW[[#This Row],['#_of_functional_handwashing_facilities_at_HH_level]]*6&gt;WWWW[[#This Row],[Total PoP ]],WWWW[[#This Row],[Total PoP ]],WWWW[[#This Row],['#_of_functional_handwashing_facilities_at_HH_level]]*6)</f>
        <v>276</v>
      </c>
      <c r="BM172" s="478">
        <f>IF(WWWW[[#This Row],['# people reached by regular dedicated hygiene promotion]]&gt;WWWW[[#This Row],['# People received regular supply of hygiene items]],WWWW[[#This Row],['# people reached by regular dedicated hygiene promotion]],WWWW[[#This Row],['# People received regular supply of hygiene items]])</f>
        <v>50</v>
      </c>
      <c r="BN172" s="476">
        <f>IF(WWWW[[#This Row],[HRP3]]/WWWW[[#This Row],[Total PoP ]]&gt;100%,100%,WWWW[[#This Row],[HRP3]]/WWWW[[#This Row],[Total PoP ]])</f>
        <v>4.3478260869565216E-2</v>
      </c>
      <c r="BO172" s="479">
        <f>1-WWWW[[#This Row],[Hygiene Coverage%]]</f>
        <v>0.95652173913043481</v>
      </c>
      <c r="BP172" s="477">
        <f>WWWW[[#This Row],['# people reached by regular dedicated hygiene promotion]]/WWWW[[#This Row],[Total PoP ]]</f>
        <v>4.3478260869565216E-2</v>
      </c>
      <c r="BQ17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2" s="478">
        <f>WWWW[[#This Row],['#_of_affected_women_and_girls_receiving_a_sufficient_quantity_of_sanitary_pads]]</f>
        <v>0</v>
      </c>
      <c r="BS172" s="524">
        <f>IF(WWWW[[#This Row],['# People with access to soap]]&gt;WWWW[[#This Row],['# People with access to Sanity Pads]],WWWW[[#This Row],['# People with access to soap]],WWWW[[#This Row],['# People with access to Sanity Pads]])</f>
        <v>0</v>
      </c>
      <c r="BT172" s="483" t="str">
        <f>IF(OR(WWWW[[#This Row],['#of students in school]]="",WWWW[[#This Row],['#of students in school]]=0),"No","Yes")</f>
        <v>Yes</v>
      </c>
      <c r="BU172" s="480" t="str">
        <f>VLOOKUP(WWWW[[#This Row],[Village  Name]],SiteDB6[[Site Name]:[Location Type 1]],9,FALSE)</f>
        <v>Village</v>
      </c>
      <c r="BV172" s="480" t="str">
        <f>VLOOKUP(WWWW[[#This Row],[Village  Name]],SiteDB6[[Site Name]:[Type of Accommodation]],10,FALSE)</f>
        <v>Village</v>
      </c>
      <c r="BW172" s="480" t="str">
        <f>VLOOKUP(WWWW[[#This Row],[Village  Name]],SiteDB6[[Site Name]:[Ethnic or GCA/NGCA]],11,FALSE)</f>
        <v>Muslim</v>
      </c>
      <c r="BX172" s="480">
        <f>VLOOKUP(WWWW[[#This Row],[Village  Name]],SiteDB6[[Site Name]:[Lat]],12,FALSE)</f>
        <v>20.212700000000002</v>
      </c>
      <c r="BY172" s="480">
        <f>VLOOKUP(WWWW[[#This Row],[Village  Name]],SiteDB6[[Site Name]:[Long]],13,FALSE)</f>
        <v>92.820800000000006</v>
      </c>
      <c r="BZ172" s="480">
        <f>VLOOKUP(WWWW[[#This Row],[Village  Name]],SiteDB6[[Site Name]:[Pcode]],3,FALSE)</f>
        <v>196144</v>
      </c>
      <c r="CA172" s="480" t="str">
        <f t="shared" si="8"/>
        <v>Covered</v>
      </c>
      <c r="CB172" s="505"/>
    </row>
    <row r="173" spans="1:80">
      <c r="A173" s="774" t="s">
        <v>3150</v>
      </c>
      <c r="B173" s="774" t="s">
        <v>318</v>
      </c>
      <c r="C173" s="415" t="s">
        <v>318</v>
      </c>
      <c r="D173" s="415" t="s">
        <v>334</v>
      </c>
      <c r="E173" s="415" t="s">
        <v>2648</v>
      </c>
      <c r="F173" s="415" t="s">
        <v>295</v>
      </c>
      <c r="G173" s="644" t="str">
        <f>VLOOKUP(WWWW[[#This Row],[Village  Name]],SiteDB6[[Site Name]:[Location Type]],8,FALSE)</f>
        <v>Village</v>
      </c>
      <c r="H173" s="415" t="s">
        <v>871</v>
      </c>
      <c r="I173" s="524">
        <v>430</v>
      </c>
      <c r="J173" s="524">
        <v>1530</v>
      </c>
      <c r="K173" s="418">
        <v>43678</v>
      </c>
      <c r="L173" s="55">
        <v>44043</v>
      </c>
      <c r="M173" s="524">
        <v>480</v>
      </c>
      <c r="N173" s="524"/>
      <c r="O173" s="524">
        <v>30</v>
      </c>
      <c r="P173" s="524">
        <v>124</v>
      </c>
      <c r="Q173" s="524">
        <v>0</v>
      </c>
      <c r="R173" s="524"/>
      <c r="S173" s="524"/>
      <c r="T173" s="524">
        <v>1</v>
      </c>
      <c r="U173" s="551"/>
      <c r="V173" s="524">
        <v>130</v>
      </c>
      <c r="W173" s="524" t="s">
        <v>126</v>
      </c>
      <c r="X173" s="524">
        <v>6</v>
      </c>
      <c r="Y173" s="524">
        <v>2</v>
      </c>
      <c r="Z173" s="524"/>
      <c r="AA173" s="524"/>
      <c r="AB173" s="524"/>
      <c r="AC173" s="551"/>
      <c r="AD173" s="524"/>
      <c r="AE173" s="524">
        <v>50</v>
      </c>
      <c r="AF173" s="524"/>
      <c r="AG173" s="524"/>
      <c r="AH173" s="524"/>
      <c r="AI173" s="524"/>
      <c r="AJ173" s="524">
        <v>42</v>
      </c>
      <c r="AK173" s="524"/>
      <c r="AL173" s="524"/>
      <c r="AM173" s="524"/>
      <c r="AN173" s="551"/>
      <c r="AO173" s="477"/>
      <c r="AP173" s="477"/>
      <c r="AQ173" s="524"/>
      <c r="AR173" s="524"/>
      <c r="AS173" s="524"/>
      <c r="AT173"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73" s="483">
        <f>WWWW[[#This Row],[%Equitable and continuous access to sufficient quantity of safe drinking water]]*WWWW[[#This Row],[Total PoP ]]</f>
        <v>1530</v>
      </c>
      <c r="AV173"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73" s="483">
        <f>WWWW[[#This Row],[% Access to unimproved water points]]*WWWW[[#This Row],[Total PoP ]]</f>
        <v>0</v>
      </c>
      <c r="AX173"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73"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1530</v>
      </c>
      <c r="AZ173" s="483">
        <f>WWWW[[#This Row],[HRP1]]/250</f>
        <v>6.12</v>
      </c>
      <c r="BA173" s="476">
        <f>1-WWWW[[#This Row],[% Equitable and continuous access to sufficient quantity of domestic water]]</f>
        <v>0</v>
      </c>
      <c r="BB173" s="483">
        <f>WWWW[[#This Row],[%equitable and continuous access to sufficient quantity of safe drinking and domestic water''s GAP]]*WWWW[[#This Row],[Total PoP ]]</f>
        <v>0</v>
      </c>
      <c r="BC173" s="478">
        <f>IF(WWWW[[#This Row],[Total required water points]]-WWWW[[#This Row],['#Water points coverage]]&lt;0,0,WWWW[[#This Row],[Total required water points]]-WWWW[[#This Row],['#Water points coverage]])</f>
        <v>0</v>
      </c>
      <c r="BD173" s="478">
        <f>ROUND(IF(WWWW[[#This Row],[Total PoP ]]&lt;250,1,WWWW[[#This Row],[Total PoP ]]/250),0)</f>
        <v>6</v>
      </c>
      <c r="BE17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0.50980392156862742</v>
      </c>
      <c r="BF173" s="483">
        <f>WWWW[[#This Row],[% people access to functioning Latrine]]*WWWW[[#This Row],[Total PoP ]]</f>
        <v>780</v>
      </c>
      <c r="BG173" s="478">
        <f>WWWW[[#This Row],['#_of_Functioning_latrines_in_school]]*50</f>
        <v>300</v>
      </c>
      <c r="BH173" s="478">
        <f>ROUND((WWWW[[#This Row],[Total PoP ]]/6),0)</f>
        <v>255</v>
      </c>
      <c r="BI173" s="478">
        <f>IF(WWWW[[#This Row],[Total required Latrines]]-(WWWW[[#This Row],['#_of_sanitary_fly-proof_HH_latrines]])&lt;0,0,WWWW[[#This Row],[Total required Latrines]]-(WWWW[[#This Row],['#_of_sanitary_fly-proof_HH_latrines]]))</f>
        <v>125</v>
      </c>
      <c r="BJ173" s="479">
        <f>1-WWWW[[#This Row],[% people access to functioning Latrine]]</f>
        <v>0.49019607843137258</v>
      </c>
      <c r="BK173"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50</v>
      </c>
      <c r="BL173" s="483">
        <f>IF(WWWW[[#This Row],['#_of_functional_handwashing_facilities_at_HH_level]]*6&gt;WWWW[[#This Row],[Total PoP ]],WWWW[[#This Row],[Total PoP ]],WWWW[[#This Row],['#_of_functional_handwashing_facilities_at_HH_level]]*6)</f>
        <v>252</v>
      </c>
      <c r="BM173" s="478">
        <f>IF(WWWW[[#This Row],['# people reached by regular dedicated hygiene promotion]]&gt;WWWW[[#This Row],['# People received regular supply of hygiene items]],WWWW[[#This Row],['# people reached by regular dedicated hygiene promotion]],WWWW[[#This Row],['# People received regular supply of hygiene items]])</f>
        <v>50</v>
      </c>
      <c r="BN173" s="476">
        <f>IF(WWWW[[#This Row],[HRP3]]/WWWW[[#This Row],[Total PoP ]]&gt;100%,100%,WWWW[[#This Row],[HRP3]]/WWWW[[#This Row],[Total PoP ]])</f>
        <v>3.2679738562091505E-2</v>
      </c>
      <c r="BO173" s="479">
        <f>1-WWWW[[#This Row],[Hygiene Coverage%]]</f>
        <v>0.9673202614379085</v>
      </c>
      <c r="BP173" s="477">
        <f>WWWW[[#This Row],['# people reached by regular dedicated hygiene promotion]]/WWWW[[#This Row],[Total PoP ]]</f>
        <v>3.2679738562091505E-2</v>
      </c>
      <c r="BQ17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3" s="478">
        <f>WWWW[[#This Row],['#_of_affected_women_and_girls_receiving_a_sufficient_quantity_of_sanitary_pads]]</f>
        <v>0</v>
      </c>
      <c r="BS173" s="524">
        <f>IF(WWWW[[#This Row],['# People with access to soap]]&gt;WWWW[[#This Row],['# People with access to Sanity Pads]],WWWW[[#This Row],['# People with access to soap]],WWWW[[#This Row],['# People with access to Sanity Pads]])</f>
        <v>0</v>
      </c>
      <c r="BT173" s="483" t="str">
        <f>IF(OR(WWWW[[#This Row],['#of students in school]]="",WWWW[[#This Row],['#of students in school]]=0),"No","Yes")</f>
        <v>Yes</v>
      </c>
      <c r="BU173" s="480" t="str">
        <f>VLOOKUP(WWWW[[#This Row],[Village  Name]],SiteDB6[[Site Name]:[Location Type 1]],9,FALSE)</f>
        <v>Village</v>
      </c>
      <c r="BV173" s="480" t="str">
        <f>VLOOKUP(WWWW[[#This Row],[Village  Name]],SiteDB6[[Site Name]:[Type of Accommodation]],10,FALSE)</f>
        <v>Village</v>
      </c>
      <c r="BW173" s="480" t="str">
        <f>VLOOKUP(WWWW[[#This Row],[Village  Name]],SiteDB6[[Site Name]:[Ethnic or GCA/NGCA]],11,FALSE)</f>
        <v>Muslim</v>
      </c>
      <c r="BX173" s="480">
        <f>VLOOKUP(WWWW[[#This Row],[Village  Name]],SiteDB6[[Site Name]:[Lat]],12,FALSE)</f>
        <v>20.219509120000001</v>
      </c>
      <c r="BY173" s="480">
        <f>VLOOKUP(WWWW[[#This Row],[Village  Name]],SiteDB6[[Site Name]:[Long]],13,FALSE)</f>
        <v>92.811332699999994</v>
      </c>
      <c r="BZ173" s="480">
        <f>VLOOKUP(WWWW[[#This Row],[Village  Name]],SiteDB6[[Site Name]:[Pcode]],3,FALSE)</f>
        <v>196145</v>
      </c>
      <c r="CA173" s="480" t="str">
        <f t="shared" si="8"/>
        <v>Covered</v>
      </c>
      <c r="CB173" s="505"/>
    </row>
    <row r="174" spans="1:80">
      <c r="A174" s="774" t="s">
        <v>3150</v>
      </c>
      <c r="B174" s="774" t="s">
        <v>318</v>
      </c>
      <c r="C174" s="415" t="s">
        <v>318</v>
      </c>
      <c r="D174" s="415" t="s">
        <v>334</v>
      </c>
      <c r="E174" s="415" t="s">
        <v>2648</v>
      </c>
      <c r="F174" s="415" t="s">
        <v>295</v>
      </c>
      <c r="G174" s="644" t="str">
        <f>VLOOKUP(WWWW[[#This Row],[Village  Name]],SiteDB6[[Site Name]:[Location Type]],8,FALSE)</f>
        <v>Village</v>
      </c>
      <c r="H174" s="415" t="s">
        <v>838</v>
      </c>
      <c r="I174" s="524">
        <v>150</v>
      </c>
      <c r="J174" s="524">
        <v>590</v>
      </c>
      <c r="K174" s="418">
        <v>43678</v>
      </c>
      <c r="L174" s="55">
        <v>44043</v>
      </c>
      <c r="M174" s="524">
        <v>112</v>
      </c>
      <c r="N174" s="524"/>
      <c r="O174" s="524">
        <v>4</v>
      </c>
      <c r="P174" s="524">
        <v>20</v>
      </c>
      <c r="Q174" s="524">
        <v>0</v>
      </c>
      <c r="R174" s="524"/>
      <c r="S174" s="524">
        <v>0</v>
      </c>
      <c r="T174" s="524">
        <v>1</v>
      </c>
      <c r="U174" s="551"/>
      <c r="V174" s="524">
        <v>10</v>
      </c>
      <c r="W174" s="524" t="s">
        <v>126</v>
      </c>
      <c r="X174" s="524">
        <v>2</v>
      </c>
      <c r="Y174" s="524">
        <v>0</v>
      </c>
      <c r="Z174" s="524"/>
      <c r="AA174" s="524"/>
      <c r="AB174" s="524"/>
      <c r="AC174" s="551"/>
      <c r="AD174" s="524"/>
      <c r="AE174" s="524">
        <v>50</v>
      </c>
      <c r="AF174" s="524"/>
      <c r="AG174" s="524"/>
      <c r="AH174" s="524"/>
      <c r="AI174" s="524"/>
      <c r="AJ174" s="524">
        <v>43</v>
      </c>
      <c r="AK174" s="524"/>
      <c r="AL174" s="524"/>
      <c r="AM174" s="524"/>
      <c r="AN174" s="551"/>
      <c r="AO174" s="477"/>
      <c r="AP174" s="477"/>
      <c r="AQ174" s="524"/>
      <c r="AR174" s="524"/>
      <c r="AS174" s="524"/>
      <c r="AT174"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74" s="483">
        <f>WWWW[[#This Row],[%Equitable and continuous access to sufficient quantity of safe drinking water]]*WWWW[[#This Row],[Total PoP ]]</f>
        <v>590</v>
      </c>
      <c r="AV174"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74" s="483">
        <f>WWWW[[#This Row],[% Access to unimproved water points]]*WWWW[[#This Row],[Total PoP ]]</f>
        <v>0</v>
      </c>
      <c r="AX174"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74"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590</v>
      </c>
      <c r="AZ174" s="483">
        <f>WWWW[[#This Row],[HRP1]]/250</f>
        <v>2.36</v>
      </c>
      <c r="BA174" s="476">
        <f>1-WWWW[[#This Row],[% Equitable and continuous access to sufficient quantity of domestic water]]</f>
        <v>0</v>
      </c>
      <c r="BB174" s="483">
        <f>WWWW[[#This Row],[%equitable and continuous access to sufficient quantity of safe drinking and domestic water''s GAP]]*WWWW[[#This Row],[Total PoP ]]</f>
        <v>0</v>
      </c>
      <c r="BC174" s="478">
        <f>IF(WWWW[[#This Row],[Total required water points]]-WWWW[[#This Row],['#Water points coverage]]&lt;0,0,WWWW[[#This Row],[Total required water points]]-WWWW[[#This Row],['#Water points coverage]])</f>
        <v>0</v>
      </c>
      <c r="BD174" s="478">
        <f>ROUND(IF(WWWW[[#This Row],[Total PoP ]]&lt;250,1,WWWW[[#This Row],[Total PoP ]]/250),0)</f>
        <v>2</v>
      </c>
      <c r="BE17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0.10169491525423729</v>
      </c>
      <c r="BF174" s="483">
        <f>WWWW[[#This Row],[% people access to functioning Latrine]]*WWWW[[#This Row],[Total PoP ]]</f>
        <v>60.000000000000007</v>
      </c>
      <c r="BG174" s="478">
        <f>WWWW[[#This Row],['#_of_Functioning_latrines_in_school]]*50</f>
        <v>100</v>
      </c>
      <c r="BH174" s="478">
        <f>ROUND((WWWW[[#This Row],[Total PoP ]]/6),0)</f>
        <v>98</v>
      </c>
      <c r="BI174" s="478">
        <f>IF(WWWW[[#This Row],[Total required Latrines]]-(WWWW[[#This Row],['#_of_sanitary_fly-proof_HH_latrines]])&lt;0,0,WWWW[[#This Row],[Total required Latrines]]-(WWWW[[#This Row],['#_of_sanitary_fly-proof_HH_latrines]]))</f>
        <v>88</v>
      </c>
      <c r="BJ174" s="479">
        <f>1-WWWW[[#This Row],[% people access to functioning Latrine]]</f>
        <v>0.89830508474576276</v>
      </c>
      <c r="BK174"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50</v>
      </c>
      <c r="BL174" s="483">
        <f>IF(WWWW[[#This Row],['#_of_functional_handwashing_facilities_at_HH_level]]*6&gt;WWWW[[#This Row],[Total PoP ]],WWWW[[#This Row],[Total PoP ]],WWWW[[#This Row],['#_of_functional_handwashing_facilities_at_HH_level]]*6)</f>
        <v>258</v>
      </c>
      <c r="BM174" s="478">
        <f>IF(WWWW[[#This Row],['# people reached by regular dedicated hygiene promotion]]&gt;WWWW[[#This Row],['# People received regular supply of hygiene items]],WWWW[[#This Row],['# people reached by regular dedicated hygiene promotion]],WWWW[[#This Row],['# People received regular supply of hygiene items]])</f>
        <v>50</v>
      </c>
      <c r="BN174" s="476">
        <f>IF(WWWW[[#This Row],[HRP3]]/WWWW[[#This Row],[Total PoP ]]&gt;100%,100%,WWWW[[#This Row],[HRP3]]/WWWW[[#This Row],[Total PoP ]])</f>
        <v>8.4745762711864403E-2</v>
      </c>
      <c r="BO174" s="479">
        <f>1-WWWW[[#This Row],[Hygiene Coverage%]]</f>
        <v>0.9152542372881356</v>
      </c>
      <c r="BP174" s="477">
        <f>WWWW[[#This Row],['# people reached by regular dedicated hygiene promotion]]/WWWW[[#This Row],[Total PoP ]]</f>
        <v>8.4745762711864403E-2</v>
      </c>
      <c r="BQ17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4" s="478">
        <f>WWWW[[#This Row],['#_of_affected_women_and_girls_receiving_a_sufficient_quantity_of_sanitary_pads]]</f>
        <v>0</v>
      </c>
      <c r="BS174" s="524">
        <f>IF(WWWW[[#This Row],['# People with access to soap]]&gt;WWWW[[#This Row],['# People with access to Sanity Pads]],WWWW[[#This Row],['# People with access to soap]],WWWW[[#This Row],['# People with access to Sanity Pads]])</f>
        <v>0</v>
      </c>
      <c r="BT174" s="483" t="str">
        <f>IF(OR(WWWW[[#This Row],['#of students in school]]="",WWWW[[#This Row],['#of students in school]]=0),"No","Yes")</f>
        <v>Yes</v>
      </c>
      <c r="BU174" s="480" t="str">
        <f>VLOOKUP(WWWW[[#This Row],[Village  Name]],SiteDB6[[Site Name]:[Location Type 1]],9,FALSE)</f>
        <v>Village</v>
      </c>
      <c r="BV174" s="480" t="str">
        <f>VLOOKUP(WWWW[[#This Row],[Village  Name]],SiteDB6[[Site Name]:[Type of Accommodation]],10,FALSE)</f>
        <v>Village</v>
      </c>
      <c r="BW174" s="480" t="str">
        <f>VLOOKUP(WWWW[[#This Row],[Village  Name]],SiteDB6[[Site Name]:[Ethnic or GCA/NGCA]],11,FALSE)</f>
        <v>Rakhine</v>
      </c>
      <c r="BX174" s="480">
        <f>VLOOKUP(WWWW[[#This Row],[Village  Name]],SiteDB6[[Site Name]:[Lat]],12,FALSE)</f>
        <v>20.2199096679688</v>
      </c>
      <c r="BY174" s="480">
        <f>VLOOKUP(WWWW[[#This Row],[Village  Name]],SiteDB6[[Site Name]:[Long]],13,FALSE)</f>
        <v>92.7716064453125</v>
      </c>
      <c r="BZ174" s="480">
        <f>VLOOKUP(WWWW[[#This Row],[Village  Name]],SiteDB6[[Site Name]:[Pcode]],3,FALSE)</f>
        <v>196141</v>
      </c>
      <c r="CA174" s="480" t="str">
        <f t="shared" si="8"/>
        <v>Covered</v>
      </c>
      <c r="CB174" s="505"/>
    </row>
    <row r="175" spans="1:80">
      <c r="A175" s="774" t="s">
        <v>3150</v>
      </c>
      <c r="B175" s="774" t="s">
        <v>318</v>
      </c>
      <c r="C175" s="415" t="s">
        <v>318</v>
      </c>
      <c r="D175" s="415" t="s">
        <v>334</v>
      </c>
      <c r="E175" s="415" t="s">
        <v>2648</v>
      </c>
      <c r="F175" s="415" t="s">
        <v>295</v>
      </c>
      <c r="G175" s="644" t="str">
        <f>VLOOKUP(WWWW[[#This Row],[Village  Name]],SiteDB6[[Site Name]:[Location Type]],8,FALSE)</f>
        <v>Village</v>
      </c>
      <c r="H175" s="415" t="s">
        <v>835</v>
      </c>
      <c r="I175" s="524">
        <v>289</v>
      </c>
      <c r="J175" s="524">
        <v>3400</v>
      </c>
      <c r="K175" s="418">
        <v>43678</v>
      </c>
      <c r="L175" s="55">
        <v>44043</v>
      </c>
      <c r="M175" s="524">
        <v>287</v>
      </c>
      <c r="N175" s="524"/>
      <c r="O175" s="524">
        <v>0</v>
      </c>
      <c r="P175" s="524">
        <v>200</v>
      </c>
      <c r="Q175" s="524">
        <v>0</v>
      </c>
      <c r="R175" s="524"/>
      <c r="S175" s="524">
        <v>0</v>
      </c>
      <c r="T175" s="524">
        <v>0</v>
      </c>
      <c r="U175" s="551"/>
      <c r="V175" s="524">
        <v>50</v>
      </c>
      <c r="W175" s="524" t="s">
        <v>126</v>
      </c>
      <c r="X175" s="524">
        <v>3</v>
      </c>
      <c r="Y175" s="524">
        <v>6</v>
      </c>
      <c r="Z175" s="524"/>
      <c r="AA175" s="524"/>
      <c r="AB175" s="524"/>
      <c r="AC175" s="551"/>
      <c r="AD175" s="524"/>
      <c r="AE175" s="524">
        <v>50</v>
      </c>
      <c r="AF175" s="524"/>
      <c r="AG175" s="524"/>
      <c r="AH175" s="524"/>
      <c r="AI175" s="524"/>
      <c r="AJ175" s="524">
        <v>44</v>
      </c>
      <c r="AK175" s="524"/>
      <c r="AL175" s="524"/>
      <c r="AM175" s="524"/>
      <c r="AN175" s="551"/>
      <c r="AO175" s="477"/>
      <c r="AP175" s="477"/>
      <c r="AQ175" s="524"/>
      <c r="AR175" s="524"/>
      <c r="AS175" s="524"/>
      <c r="AT175"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75" s="483">
        <f>WWWW[[#This Row],[%Equitable and continuous access to sufficient quantity of safe drinking water]]*WWWW[[#This Row],[Total PoP ]]</f>
        <v>3400</v>
      </c>
      <c r="AV175"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75" s="483">
        <f>WWWW[[#This Row],[% Access to unimproved water points]]*WWWW[[#This Row],[Total PoP ]]</f>
        <v>0</v>
      </c>
      <c r="AX175"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75"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3400</v>
      </c>
      <c r="AZ175" s="483">
        <f>WWWW[[#This Row],[HRP1]]/250</f>
        <v>13.6</v>
      </c>
      <c r="BA175" s="476">
        <f>1-WWWW[[#This Row],[% Equitable and continuous access to sufficient quantity of domestic water]]</f>
        <v>0</v>
      </c>
      <c r="BB175" s="483">
        <f>WWWW[[#This Row],[%equitable and continuous access to sufficient quantity of safe drinking and domestic water''s GAP]]*WWWW[[#This Row],[Total PoP ]]</f>
        <v>0</v>
      </c>
      <c r="BC175" s="478">
        <f>IF(WWWW[[#This Row],[Total required water points]]-WWWW[[#This Row],['#Water points coverage]]&lt;0,0,WWWW[[#This Row],[Total required water points]]-WWWW[[#This Row],['#Water points coverage]])</f>
        <v>0.40000000000000036</v>
      </c>
      <c r="BD175" s="478">
        <f>ROUND(IF(WWWW[[#This Row],[Total PoP ]]&lt;250,1,WWWW[[#This Row],[Total PoP ]]/250),0)</f>
        <v>14</v>
      </c>
      <c r="BE17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8.8235294117647065E-2</v>
      </c>
      <c r="BF175" s="483">
        <f>WWWW[[#This Row],[% people access to functioning Latrine]]*WWWW[[#This Row],[Total PoP ]]</f>
        <v>300</v>
      </c>
      <c r="BG175" s="478">
        <f>WWWW[[#This Row],['#_of_Functioning_latrines_in_school]]*50</f>
        <v>150</v>
      </c>
      <c r="BH175" s="478">
        <f>ROUND((WWWW[[#This Row],[Total PoP ]]/6),0)</f>
        <v>567</v>
      </c>
      <c r="BI175" s="478">
        <f>IF(WWWW[[#This Row],[Total required Latrines]]-(WWWW[[#This Row],['#_of_sanitary_fly-proof_HH_latrines]])&lt;0,0,WWWW[[#This Row],[Total required Latrines]]-(WWWW[[#This Row],['#_of_sanitary_fly-proof_HH_latrines]]))</f>
        <v>517</v>
      </c>
      <c r="BJ175" s="479">
        <f>1-WWWW[[#This Row],[% people access to functioning Latrine]]</f>
        <v>0.91176470588235292</v>
      </c>
      <c r="BK175"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50</v>
      </c>
      <c r="BL175" s="483">
        <f>IF(WWWW[[#This Row],['#_of_functional_handwashing_facilities_at_HH_level]]*6&gt;WWWW[[#This Row],[Total PoP ]],WWWW[[#This Row],[Total PoP ]],WWWW[[#This Row],['#_of_functional_handwashing_facilities_at_HH_level]]*6)</f>
        <v>264</v>
      </c>
      <c r="BM175" s="478">
        <f>IF(WWWW[[#This Row],['# people reached by regular dedicated hygiene promotion]]&gt;WWWW[[#This Row],['# People received regular supply of hygiene items]],WWWW[[#This Row],['# people reached by regular dedicated hygiene promotion]],WWWW[[#This Row],['# People received regular supply of hygiene items]])</f>
        <v>50</v>
      </c>
      <c r="BN175" s="476">
        <f>IF(WWWW[[#This Row],[HRP3]]/WWWW[[#This Row],[Total PoP ]]&gt;100%,100%,WWWW[[#This Row],[HRP3]]/WWWW[[#This Row],[Total PoP ]])</f>
        <v>1.4705882352941176E-2</v>
      </c>
      <c r="BO175" s="479">
        <f>1-WWWW[[#This Row],[Hygiene Coverage%]]</f>
        <v>0.98529411764705888</v>
      </c>
      <c r="BP175" s="477">
        <f>WWWW[[#This Row],['# people reached by regular dedicated hygiene promotion]]/WWWW[[#This Row],[Total PoP ]]</f>
        <v>1.4705882352941176E-2</v>
      </c>
      <c r="BQ17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5" s="478">
        <f>WWWW[[#This Row],['#_of_affected_women_and_girls_receiving_a_sufficient_quantity_of_sanitary_pads]]</f>
        <v>0</v>
      </c>
      <c r="BS175" s="524">
        <f>IF(WWWW[[#This Row],['# People with access to soap]]&gt;WWWW[[#This Row],['# People with access to Sanity Pads]],WWWW[[#This Row],['# People with access to soap]],WWWW[[#This Row],['# People with access to Sanity Pads]])</f>
        <v>0</v>
      </c>
      <c r="BT175" s="483" t="str">
        <f>IF(OR(WWWW[[#This Row],['#of students in school]]="",WWWW[[#This Row],['#of students in school]]=0),"No","Yes")</f>
        <v>Yes</v>
      </c>
      <c r="BU175" s="480" t="str">
        <f>VLOOKUP(WWWW[[#This Row],[Village  Name]],SiteDB6[[Site Name]:[Location Type 1]],9,FALSE)</f>
        <v>Village</v>
      </c>
      <c r="BV175" s="480" t="str">
        <f>VLOOKUP(WWWW[[#This Row],[Village  Name]],SiteDB6[[Site Name]:[Type of Accommodation]],10,FALSE)</f>
        <v>Village</v>
      </c>
      <c r="BW175" s="480" t="str">
        <f>VLOOKUP(WWWW[[#This Row],[Village  Name]],SiteDB6[[Site Name]:[Ethnic or GCA/NGCA]],11,FALSE)</f>
        <v>Muslim</v>
      </c>
      <c r="BX175" s="480">
        <f>VLOOKUP(WWWW[[#This Row],[Village  Name]],SiteDB6[[Site Name]:[Lat]],12,FALSE)</f>
        <v>20.208799362182599</v>
      </c>
      <c r="BY175" s="480">
        <f>VLOOKUP(WWWW[[#This Row],[Village  Name]],SiteDB6[[Site Name]:[Long]],13,FALSE)</f>
        <v>92.794113159179702</v>
      </c>
      <c r="BZ175" s="480">
        <f>VLOOKUP(WWWW[[#This Row],[Village  Name]],SiteDB6[[Site Name]:[Pcode]],3,FALSE)</f>
        <v>196142</v>
      </c>
      <c r="CA175" s="480" t="str">
        <f t="shared" si="8"/>
        <v>Covered</v>
      </c>
      <c r="CB175" s="505"/>
    </row>
    <row r="176" spans="1:80">
      <c r="A176" s="774" t="s">
        <v>3150</v>
      </c>
      <c r="B176" s="774" t="s">
        <v>287</v>
      </c>
      <c r="C176" s="415" t="s">
        <v>287</v>
      </c>
      <c r="D176" s="415" t="s">
        <v>327</v>
      </c>
      <c r="E176" s="415" t="s">
        <v>2648</v>
      </c>
      <c r="F176" s="415" t="s">
        <v>402</v>
      </c>
      <c r="G176" s="644" t="str">
        <f>VLOOKUP(WWWW[[#This Row],[Village  Name]],SiteDB6[[Site Name]:[Location Type]],8,FALSE)</f>
        <v>Village</v>
      </c>
      <c r="H176" s="415" t="s">
        <v>3159</v>
      </c>
      <c r="I176" s="524">
        <v>106</v>
      </c>
      <c r="J176" s="524">
        <v>469</v>
      </c>
      <c r="K176" s="418">
        <v>43359</v>
      </c>
      <c r="L176" s="55">
        <v>44196</v>
      </c>
      <c r="M176" s="524">
        <v>189</v>
      </c>
      <c r="N176" s="524"/>
      <c r="O176" s="524"/>
      <c r="P176" s="524"/>
      <c r="Q176" s="524">
        <v>0</v>
      </c>
      <c r="R176" s="524"/>
      <c r="S176" s="524">
        <v>469</v>
      </c>
      <c r="T176" s="524">
        <v>1</v>
      </c>
      <c r="U176" s="551"/>
      <c r="V176" s="524">
        <v>30</v>
      </c>
      <c r="W176" s="524" t="s">
        <v>40</v>
      </c>
      <c r="X176" s="524">
        <v>14</v>
      </c>
      <c r="Y176" s="524">
        <v>9</v>
      </c>
      <c r="Z176" s="524"/>
      <c r="AA176" s="524"/>
      <c r="AB176" s="524"/>
      <c r="AC176" s="551"/>
      <c r="AD176" s="524"/>
      <c r="AE176" s="524"/>
      <c r="AF176" s="524"/>
      <c r="AG176" s="524"/>
      <c r="AH176" s="524"/>
      <c r="AI176" s="524"/>
      <c r="AJ176" s="524"/>
      <c r="AK176" s="524"/>
      <c r="AL176" s="524"/>
      <c r="AM176" s="524"/>
      <c r="AN176" s="551"/>
      <c r="AO176" s="477"/>
      <c r="AP176" s="477"/>
      <c r="AQ176" s="524"/>
      <c r="AR176" s="524"/>
      <c r="AS176" s="524"/>
      <c r="AT176"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0.53304904051172708</v>
      </c>
      <c r="AU176" s="483">
        <f>WWWW[[#This Row],[%Equitable and continuous access to sufficient quantity of safe drinking water]]*WWWW[[#This Row],[Total PoP ]]</f>
        <v>250</v>
      </c>
      <c r="AV176"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76" s="483">
        <f>WWWW[[#This Row],[% Access to unimproved water points]]*WWWW[[#This Row],[Total PoP ]]</f>
        <v>469</v>
      </c>
      <c r="AX176"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76"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469</v>
      </c>
      <c r="AZ176" s="483">
        <f>WWWW[[#This Row],[HRP1]]/250</f>
        <v>1.8759999999999999</v>
      </c>
      <c r="BA176" s="476">
        <f>1-WWWW[[#This Row],[% Equitable and continuous access to sufficient quantity of domestic water]]</f>
        <v>0</v>
      </c>
      <c r="BB176" s="483">
        <f>WWWW[[#This Row],[%equitable and continuous access to sufficient quantity of safe drinking and domestic water''s GAP]]*WWWW[[#This Row],[Total PoP ]]</f>
        <v>0</v>
      </c>
      <c r="BC176" s="478">
        <f>IF(WWWW[[#This Row],[Total required water points]]-WWWW[[#This Row],['#Water points coverage]]&lt;0,0,WWWW[[#This Row],[Total required water points]]-WWWW[[#This Row],['#Water points coverage]])</f>
        <v>0.12400000000000011</v>
      </c>
      <c r="BD176" s="478">
        <f>ROUND(IF(WWWW[[#This Row],[Total PoP ]]&lt;250,1,WWWW[[#This Row],[Total PoP ]]/250),0)</f>
        <v>2</v>
      </c>
      <c r="BE17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0.38379530916844351</v>
      </c>
      <c r="BF176" s="483">
        <f>WWWW[[#This Row],[% people access to functioning Latrine]]*WWWW[[#This Row],[Total PoP ]]</f>
        <v>180</v>
      </c>
      <c r="BG176" s="478">
        <f>WWWW[[#This Row],['#_of_Functioning_latrines_in_school]]*50</f>
        <v>700</v>
      </c>
      <c r="BH176" s="478">
        <f>ROUND((WWWW[[#This Row],[Total PoP ]]/6),0)</f>
        <v>78</v>
      </c>
      <c r="BI176" s="478">
        <f>IF(WWWW[[#This Row],[Total required Latrines]]-(WWWW[[#This Row],['#_of_sanitary_fly-proof_HH_latrines]])&lt;0,0,WWWW[[#This Row],[Total required Latrines]]-(WWWW[[#This Row],['#_of_sanitary_fly-proof_HH_latrines]]))</f>
        <v>48</v>
      </c>
      <c r="BJ176" s="479">
        <f>1-WWWW[[#This Row],[% people access to functioning Latrine]]</f>
        <v>0.61620469083155649</v>
      </c>
      <c r="BK176"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76" s="483">
        <f>IF(WWWW[[#This Row],['#_of_functional_handwashing_facilities_at_HH_level]]*6&gt;WWWW[[#This Row],[Total PoP ]],WWWW[[#This Row],[Total PoP ]],WWWW[[#This Row],['#_of_functional_handwashing_facilities_at_HH_level]]*6)</f>
        <v>0</v>
      </c>
      <c r="BM176" s="478">
        <f>IF(WWWW[[#This Row],['# people reached by regular dedicated hygiene promotion]]&gt;WWWW[[#This Row],['# People received regular supply of hygiene items]],WWWW[[#This Row],['# people reached by regular dedicated hygiene promotion]],WWWW[[#This Row],['# People received regular supply of hygiene items]])</f>
        <v>0</v>
      </c>
      <c r="BN176" s="476">
        <f>IF(WWWW[[#This Row],[HRP3]]/WWWW[[#This Row],[Total PoP ]]&gt;100%,100%,WWWW[[#This Row],[HRP3]]/WWWW[[#This Row],[Total PoP ]])</f>
        <v>0</v>
      </c>
      <c r="BO176" s="479">
        <f>1-WWWW[[#This Row],[Hygiene Coverage%]]</f>
        <v>1</v>
      </c>
      <c r="BP176" s="477">
        <f>WWWW[[#This Row],['# people reached by regular dedicated hygiene promotion]]/WWWW[[#This Row],[Total PoP ]]</f>
        <v>0</v>
      </c>
      <c r="BQ17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6" s="478">
        <f>WWWW[[#This Row],['#_of_affected_women_and_girls_receiving_a_sufficient_quantity_of_sanitary_pads]]</f>
        <v>0</v>
      </c>
      <c r="BS176" s="524">
        <f>IF(WWWW[[#This Row],['# People with access to soap]]&gt;WWWW[[#This Row],['# People with access to Sanity Pads]],WWWW[[#This Row],['# People with access to soap]],WWWW[[#This Row],['# People with access to Sanity Pads]])</f>
        <v>0</v>
      </c>
      <c r="BT176" s="483" t="str">
        <f>IF(OR(WWWW[[#This Row],['#of students in school]]="",WWWW[[#This Row],['#of students in school]]=0),"No","Yes")</f>
        <v>Yes</v>
      </c>
      <c r="BU176" s="480" t="str">
        <f>VLOOKUP(WWWW[[#This Row],[Village  Name]],SiteDB6[[Site Name]:[Location Type 1]],9,FALSE)</f>
        <v>Village</v>
      </c>
      <c r="BV176" s="480" t="str">
        <f>VLOOKUP(WWWW[[#This Row],[Village  Name]],SiteDB6[[Site Name]:[Type of Accommodation]],10,FALSE)</f>
        <v>Village</v>
      </c>
      <c r="BW176" s="480">
        <f>VLOOKUP(WWWW[[#This Row],[Village  Name]],SiteDB6[[Site Name]:[Ethnic or GCA/NGCA]],11,FALSE)</f>
        <v>0</v>
      </c>
      <c r="BX176" s="480">
        <f>VLOOKUP(WWWW[[#This Row],[Village  Name]],SiteDB6[[Site Name]:[Lat]],12,FALSE)</f>
        <v>92.994781494140597</v>
      </c>
      <c r="BY176" s="480">
        <f>VLOOKUP(WWWW[[#This Row],[Village  Name]],SiteDB6[[Site Name]:[Long]],13,FALSE)</f>
        <v>19.9693508148193</v>
      </c>
      <c r="BZ176" s="480">
        <f>VLOOKUP(WWWW[[#This Row],[Village  Name]],SiteDB6[[Site Name]:[Pcode]],3,FALSE)</f>
        <v>197541</v>
      </c>
      <c r="CA176" s="480" t="str">
        <f t="shared" ref="CA176:CA180" si="9">IF(C176="none","Notcovered","Covered")</f>
        <v>Covered</v>
      </c>
      <c r="CB176" s="505"/>
    </row>
    <row r="177" spans="1:80">
      <c r="A177" s="774" t="s">
        <v>3150</v>
      </c>
      <c r="B177" s="774" t="s">
        <v>287</v>
      </c>
      <c r="C177" s="415" t="s">
        <v>287</v>
      </c>
      <c r="D177" s="415" t="s">
        <v>327</v>
      </c>
      <c r="E177" s="415" t="s">
        <v>2648</v>
      </c>
      <c r="F177" s="415" t="s">
        <v>402</v>
      </c>
      <c r="G177" s="644" t="str">
        <f>VLOOKUP(WWWW[[#This Row],[Village  Name]],SiteDB6[[Site Name]:[Location Type]],8,FALSE)</f>
        <v>Village</v>
      </c>
      <c r="H177" s="415" t="s">
        <v>3160</v>
      </c>
      <c r="I177" s="524">
        <v>37</v>
      </c>
      <c r="J177" s="524">
        <v>207</v>
      </c>
      <c r="K177" s="418">
        <v>43359</v>
      </c>
      <c r="L177" s="55">
        <v>44196</v>
      </c>
      <c r="M177" s="524">
        <v>33</v>
      </c>
      <c r="N177" s="524"/>
      <c r="O177" s="524"/>
      <c r="P177" s="524"/>
      <c r="Q177" s="524">
        <v>1</v>
      </c>
      <c r="R177" s="524"/>
      <c r="S177" s="524">
        <v>207</v>
      </c>
      <c r="T177" s="524">
        <v>0</v>
      </c>
      <c r="U177" s="551"/>
      <c r="V177" s="524">
        <v>0</v>
      </c>
      <c r="W177" s="524" t="s">
        <v>40</v>
      </c>
      <c r="X177" s="524">
        <v>2</v>
      </c>
      <c r="Y177" s="524">
        <v>3</v>
      </c>
      <c r="Z177" s="524"/>
      <c r="AA177" s="524"/>
      <c r="AB177" s="524"/>
      <c r="AC177" s="551"/>
      <c r="AD177" s="524"/>
      <c r="AE177" s="524"/>
      <c r="AF177" s="524"/>
      <c r="AG177" s="524"/>
      <c r="AH177" s="524"/>
      <c r="AI177" s="524"/>
      <c r="AJ177" s="524"/>
      <c r="AK177" s="524"/>
      <c r="AL177" s="524"/>
      <c r="AM177" s="524"/>
      <c r="AN177" s="551"/>
      <c r="AO177" s="477"/>
      <c r="AP177" s="477"/>
      <c r="AQ177" s="524"/>
      <c r="AR177" s="524"/>
      <c r="AS177" s="524"/>
      <c r="AT177"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77" s="483">
        <f>WWWW[[#This Row],[%Equitable and continuous access to sufficient quantity of safe drinking water]]*WWWW[[#This Row],[Total PoP ]]</f>
        <v>0</v>
      </c>
      <c r="AV177"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77" s="483">
        <f>WWWW[[#This Row],[% Access to unimproved water points]]*WWWW[[#This Row],[Total PoP ]]</f>
        <v>207</v>
      </c>
      <c r="AX177"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77"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207</v>
      </c>
      <c r="AZ177" s="483">
        <f>WWWW[[#This Row],[HRP1]]/250</f>
        <v>0.82799999999999996</v>
      </c>
      <c r="BA177" s="476">
        <f>1-WWWW[[#This Row],[% Equitable and continuous access to sufficient quantity of domestic water]]</f>
        <v>0</v>
      </c>
      <c r="BB177" s="483">
        <f>WWWW[[#This Row],[%equitable and continuous access to sufficient quantity of safe drinking and domestic water''s GAP]]*WWWW[[#This Row],[Total PoP ]]</f>
        <v>0</v>
      </c>
      <c r="BC177" s="478">
        <f>IF(WWWW[[#This Row],[Total required water points]]-WWWW[[#This Row],['#Water points coverage]]&lt;0,0,WWWW[[#This Row],[Total required water points]]-WWWW[[#This Row],['#Water points coverage]])</f>
        <v>0.17200000000000004</v>
      </c>
      <c r="BD177" s="478">
        <f>ROUND(IF(WWWW[[#This Row],[Total PoP ]]&lt;250,1,WWWW[[#This Row],[Total PoP ]]/250),0)</f>
        <v>1</v>
      </c>
      <c r="BE17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77" s="483">
        <f>WWWW[[#This Row],[% people access to functioning Latrine]]*WWWW[[#This Row],[Total PoP ]]</f>
        <v>0</v>
      </c>
      <c r="BG177" s="478">
        <f>WWWW[[#This Row],['#_of_Functioning_latrines_in_school]]*50</f>
        <v>100</v>
      </c>
      <c r="BH177" s="478">
        <f>ROUND((WWWW[[#This Row],[Total PoP ]]/6),0)</f>
        <v>35</v>
      </c>
      <c r="BI177" s="478">
        <f>IF(WWWW[[#This Row],[Total required Latrines]]-(WWWW[[#This Row],['#_of_sanitary_fly-proof_HH_latrines]])&lt;0,0,WWWW[[#This Row],[Total required Latrines]]-(WWWW[[#This Row],['#_of_sanitary_fly-proof_HH_latrines]]))</f>
        <v>35</v>
      </c>
      <c r="BJ177" s="479">
        <f>1-WWWW[[#This Row],[% people access to functioning Latrine]]</f>
        <v>1</v>
      </c>
      <c r="BK177"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77" s="483">
        <f>IF(WWWW[[#This Row],['#_of_functional_handwashing_facilities_at_HH_level]]*6&gt;WWWW[[#This Row],[Total PoP ]],WWWW[[#This Row],[Total PoP ]],WWWW[[#This Row],['#_of_functional_handwashing_facilities_at_HH_level]]*6)</f>
        <v>0</v>
      </c>
      <c r="BM177" s="478">
        <f>IF(WWWW[[#This Row],['# people reached by regular dedicated hygiene promotion]]&gt;WWWW[[#This Row],['# People received regular supply of hygiene items]],WWWW[[#This Row],['# people reached by regular dedicated hygiene promotion]],WWWW[[#This Row],['# People received regular supply of hygiene items]])</f>
        <v>0</v>
      </c>
      <c r="BN177" s="476">
        <f>IF(WWWW[[#This Row],[HRP3]]/WWWW[[#This Row],[Total PoP ]]&gt;100%,100%,WWWW[[#This Row],[HRP3]]/WWWW[[#This Row],[Total PoP ]])</f>
        <v>0</v>
      </c>
      <c r="BO177" s="479">
        <f>1-WWWW[[#This Row],[Hygiene Coverage%]]</f>
        <v>1</v>
      </c>
      <c r="BP177" s="477">
        <f>WWWW[[#This Row],['# people reached by regular dedicated hygiene promotion]]/WWWW[[#This Row],[Total PoP ]]</f>
        <v>0</v>
      </c>
      <c r="BQ17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7" s="478">
        <f>WWWW[[#This Row],['#_of_affected_women_and_girls_receiving_a_sufficient_quantity_of_sanitary_pads]]</f>
        <v>0</v>
      </c>
      <c r="BS177" s="524">
        <f>IF(WWWW[[#This Row],['# People with access to soap]]&gt;WWWW[[#This Row],['# People with access to Sanity Pads]],WWWW[[#This Row],['# People with access to soap]],WWWW[[#This Row],['# People with access to Sanity Pads]])</f>
        <v>0</v>
      </c>
      <c r="BT177" s="483" t="str">
        <f>IF(OR(WWWW[[#This Row],['#of students in school]]="",WWWW[[#This Row],['#of students in school]]=0),"No","Yes")</f>
        <v>Yes</v>
      </c>
      <c r="BU177" s="480" t="str">
        <f>VLOOKUP(WWWW[[#This Row],[Village  Name]],SiteDB6[[Site Name]:[Location Type 1]],9,FALSE)</f>
        <v>Village</v>
      </c>
      <c r="BV177" s="480" t="str">
        <f>VLOOKUP(WWWW[[#This Row],[Village  Name]],SiteDB6[[Site Name]:[Type of Accommodation]],10,FALSE)</f>
        <v>Village</v>
      </c>
      <c r="BW177" s="480">
        <f>VLOOKUP(WWWW[[#This Row],[Village  Name]],SiteDB6[[Site Name]:[Ethnic or GCA/NGCA]],11,FALSE)</f>
        <v>0</v>
      </c>
      <c r="BX177" s="480">
        <f>VLOOKUP(WWWW[[#This Row],[Village  Name]],SiteDB6[[Site Name]:[Lat]],12,FALSE)</f>
        <v>93.005447387695298</v>
      </c>
      <c r="BY177" s="480">
        <f>VLOOKUP(WWWW[[#This Row],[Village  Name]],SiteDB6[[Site Name]:[Long]],13,FALSE)</f>
        <v>19.914190292358398</v>
      </c>
      <c r="BZ177" s="480">
        <f>VLOOKUP(WWWW[[#This Row],[Village  Name]],SiteDB6[[Site Name]:[Pcode]],3,FALSE)</f>
        <v>197567</v>
      </c>
      <c r="CA177" s="480" t="str">
        <f t="shared" si="9"/>
        <v>Covered</v>
      </c>
      <c r="CB177" s="505"/>
    </row>
    <row r="178" spans="1:80">
      <c r="A178" s="774" t="s">
        <v>3150</v>
      </c>
      <c r="B178" s="774" t="s">
        <v>287</v>
      </c>
      <c r="C178" s="415" t="s">
        <v>287</v>
      </c>
      <c r="D178" s="415" t="s">
        <v>327</v>
      </c>
      <c r="E178" s="415" t="s">
        <v>2648</v>
      </c>
      <c r="F178" s="415" t="s">
        <v>402</v>
      </c>
      <c r="G178" s="644" t="str">
        <f>VLOOKUP(WWWW[[#This Row],[Village  Name]],SiteDB6[[Site Name]:[Location Type]],8,FALSE)</f>
        <v>Village</v>
      </c>
      <c r="H178" s="415" t="s">
        <v>521</v>
      </c>
      <c r="I178" s="524">
        <v>486</v>
      </c>
      <c r="J178" s="524">
        <v>2042</v>
      </c>
      <c r="K178" s="418">
        <v>43359</v>
      </c>
      <c r="L178" s="55">
        <v>44196</v>
      </c>
      <c r="M178" s="524">
        <v>531</v>
      </c>
      <c r="N178" s="524"/>
      <c r="O178" s="524"/>
      <c r="P178" s="524"/>
      <c r="Q178" s="524">
        <v>5</v>
      </c>
      <c r="R178" s="524"/>
      <c r="S178" s="524">
        <v>2042</v>
      </c>
      <c r="T178" s="524">
        <v>1</v>
      </c>
      <c r="U178" s="551"/>
      <c r="V178" s="524">
        <v>30</v>
      </c>
      <c r="W178" s="524" t="s">
        <v>40</v>
      </c>
      <c r="X178" s="524">
        <v>10</v>
      </c>
      <c r="Y178" s="524">
        <v>21</v>
      </c>
      <c r="Z178" s="524"/>
      <c r="AA178" s="524"/>
      <c r="AB178" s="524"/>
      <c r="AC178" s="551"/>
      <c r="AD178" s="524"/>
      <c r="AE178" s="524"/>
      <c r="AF178" s="524"/>
      <c r="AG178" s="524"/>
      <c r="AH178" s="524"/>
      <c r="AI178" s="524"/>
      <c r="AJ178" s="524"/>
      <c r="AK178" s="524"/>
      <c r="AL178" s="524"/>
      <c r="AM178" s="524"/>
      <c r="AN178" s="551"/>
      <c r="AO178" s="477"/>
      <c r="AP178" s="477"/>
      <c r="AQ178" s="524"/>
      <c r="AR178" s="524"/>
      <c r="AS178" s="524"/>
      <c r="AT178"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0.12242899118511263</v>
      </c>
      <c r="AU178" s="483">
        <f>WWWW[[#This Row],[%Equitable and continuous access to sufficient quantity of safe drinking water]]*WWWW[[#This Row],[Total PoP ]]</f>
        <v>250</v>
      </c>
      <c r="AV178"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78" s="483">
        <f>WWWW[[#This Row],[% Access to unimproved water points]]*WWWW[[#This Row],[Total PoP ]]</f>
        <v>2042</v>
      </c>
      <c r="AX178"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78"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2042</v>
      </c>
      <c r="AZ178" s="483">
        <f>WWWW[[#This Row],[HRP1]]/250</f>
        <v>8.1679999999999993</v>
      </c>
      <c r="BA178" s="476">
        <f>1-WWWW[[#This Row],[% Equitable and continuous access to sufficient quantity of domestic water]]</f>
        <v>0</v>
      </c>
      <c r="BB178" s="483">
        <f>WWWW[[#This Row],[%equitable and continuous access to sufficient quantity of safe drinking and domestic water''s GAP]]*WWWW[[#This Row],[Total PoP ]]</f>
        <v>0</v>
      </c>
      <c r="BC178" s="478">
        <f>IF(WWWW[[#This Row],[Total required water points]]-WWWW[[#This Row],['#Water points coverage]]&lt;0,0,WWWW[[#This Row],[Total required water points]]-WWWW[[#This Row],['#Water points coverage]])</f>
        <v>0</v>
      </c>
      <c r="BD178" s="478">
        <f>ROUND(IF(WWWW[[#This Row],[Total PoP ]]&lt;250,1,WWWW[[#This Row],[Total PoP ]]/250),0)</f>
        <v>8</v>
      </c>
      <c r="BE17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8.8148873653281098E-2</v>
      </c>
      <c r="BF178" s="483">
        <f>WWWW[[#This Row],[% people access to functioning Latrine]]*WWWW[[#This Row],[Total PoP ]]</f>
        <v>180</v>
      </c>
      <c r="BG178" s="478">
        <f>WWWW[[#This Row],['#_of_Functioning_latrines_in_school]]*50</f>
        <v>500</v>
      </c>
      <c r="BH178" s="478">
        <f>ROUND((WWWW[[#This Row],[Total PoP ]]/6),0)</f>
        <v>340</v>
      </c>
      <c r="BI178" s="478">
        <f>IF(WWWW[[#This Row],[Total required Latrines]]-(WWWW[[#This Row],['#_of_sanitary_fly-proof_HH_latrines]])&lt;0,0,WWWW[[#This Row],[Total required Latrines]]-(WWWW[[#This Row],['#_of_sanitary_fly-proof_HH_latrines]]))</f>
        <v>310</v>
      </c>
      <c r="BJ178" s="479">
        <f>1-WWWW[[#This Row],[% people access to functioning Latrine]]</f>
        <v>0.91185112634671894</v>
      </c>
      <c r="BK178"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78" s="483">
        <f>IF(WWWW[[#This Row],['#_of_functional_handwashing_facilities_at_HH_level]]*6&gt;WWWW[[#This Row],[Total PoP ]],WWWW[[#This Row],[Total PoP ]],WWWW[[#This Row],['#_of_functional_handwashing_facilities_at_HH_level]]*6)</f>
        <v>0</v>
      </c>
      <c r="BM178" s="478">
        <f>IF(WWWW[[#This Row],['# people reached by regular dedicated hygiene promotion]]&gt;WWWW[[#This Row],['# People received regular supply of hygiene items]],WWWW[[#This Row],['# people reached by regular dedicated hygiene promotion]],WWWW[[#This Row],['# People received regular supply of hygiene items]])</f>
        <v>0</v>
      </c>
      <c r="BN178" s="476">
        <f>IF(WWWW[[#This Row],[HRP3]]/WWWW[[#This Row],[Total PoP ]]&gt;100%,100%,WWWW[[#This Row],[HRP3]]/WWWW[[#This Row],[Total PoP ]])</f>
        <v>0</v>
      </c>
      <c r="BO178" s="479">
        <f>1-WWWW[[#This Row],[Hygiene Coverage%]]</f>
        <v>1</v>
      </c>
      <c r="BP178" s="477">
        <f>WWWW[[#This Row],['# people reached by regular dedicated hygiene promotion]]/WWWW[[#This Row],[Total PoP ]]</f>
        <v>0</v>
      </c>
      <c r="BQ17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8" s="478">
        <f>WWWW[[#This Row],['#_of_affected_women_and_girls_receiving_a_sufficient_quantity_of_sanitary_pads]]</f>
        <v>0</v>
      </c>
      <c r="BS178" s="524">
        <f>IF(WWWW[[#This Row],['# People with access to soap]]&gt;WWWW[[#This Row],['# People with access to Sanity Pads]],WWWW[[#This Row],['# People with access to soap]],WWWW[[#This Row],['# People with access to Sanity Pads]])</f>
        <v>0</v>
      </c>
      <c r="BT178" s="483" t="str">
        <f>IF(OR(WWWW[[#This Row],['#of students in school]]="",WWWW[[#This Row],['#of students in school]]=0),"No","Yes")</f>
        <v>Yes</v>
      </c>
      <c r="BU178" s="480" t="str">
        <f>VLOOKUP(WWWW[[#This Row],[Village  Name]],SiteDB6[[Site Name]:[Location Type 1]],9,FALSE)</f>
        <v>Village</v>
      </c>
      <c r="BV178" s="480" t="str">
        <f>VLOOKUP(WWWW[[#This Row],[Village  Name]],SiteDB6[[Site Name]:[Type of Accommodation]],10,FALSE)</f>
        <v>Village</v>
      </c>
      <c r="BW178" s="480"/>
      <c r="BX178" s="480">
        <v>20.0305500030518</v>
      </c>
      <c r="BY178" s="480">
        <v>92.966842651367202</v>
      </c>
      <c r="BZ178" s="480">
        <v>197538</v>
      </c>
      <c r="CA178" s="480" t="str">
        <f t="shared" si="9"/>
        <v>Covered</v>
      </c>
      <c r="CB178" s="505"/>
    </row>
    <row r="179" spans="1:80">
      <c r="A179" s="774" t="s">
        <v>3150</v>
      </c>
      <c r="B179" s="774" t="s">
        <v>287</v>
      </c>
      <c r="C179" s="415" t="s">
        <v>287</v>
      </c>
      <c r="D179" s="415" t="s">
        <v>327</v>
      </c>
      <c r="E179" s="415" t="s">
        <v>2648</v>
      </c>
      <c r="F179" s="415" t="s">
        <v>402</v>
      </c>
      <c r="G179" s="644" t="str">
        <f>VLOOKUP(WWWW[[#This Row],[Village  Name]],SiteDB6[[Site Name]:[Location Type]],8,FALSE)</f>
        <v>Village</v>
      </c>
      <c r="H179" s="415" t="s">
        <v>3165</v>
      </c>
      <c r="I179" s="524">
        <v>340</v>
      </c>
      <c r="J179" s="524">
        <v>1408</v>
      </c>
      <c r="K179" s="418">
        <v>43359</v>
      </c>
      <c r="L179" s="55">
        <v>44196</v>
      </c>
      <c r="M179" s="524">
        <v>223</v>
      </c>
      <c r="N179" s="524"/>
      <c r="O179" s="524"/>
      <c r="P179" s="524"/>
      <c r="Q179" s="524">
        <v>0</v>
      </c>
      <c r="R179" s="524"/>
      <c r="S179" s="524">
        <v>1408</v>
      </c>
      <c r="T179" s="524">
        <v>0</v>
      </c>
      <c r="U179" s="551"/>
      <c r="V179" s="524">
        <v>30</v>
      </c>
      <c r="W179" s="524" t="s">
        <v>126</v>
      </c>
      <c r="X179" s="524">
        <v>1</v>
      </c>
      <c r="Y179" s="524">
        <v>8</v>
      </c>
      <c r="Z179" s="524"/>
      <c r="AA179" s="524"/>
      <c r="AB179" s="524"/>
      <c r="AC179" s="551"/>
      <c r="AD179" s="524"/>
      <c r="AE179" s="524"/>
      <c r="AF179" s="524"/>
      <c r="AG179" s="524"/>
      <c r="AH179" s="524"/>
      <c r="AI179" s="524"/>
      <c r="AJ179" s="524"/>
      <c r="AK179" s="524"/>
      <c r="AL179" s="524"/>
      <c r="AM179" s="524"/>
      <c r="AN179" s="551"/>
      <c r="AO179" s="477"/>
      <c r="AP179" s="477"/>
      <c r="AQ179" s="524"/>
      <c r="AR179" s="524"/>
      <c r="AS179" s="524"/>
      <c r="AT179"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79" s="483">
        <f>WWWW[[#This Row],[%Equitable and continuous access to sufficient quantity of safe drinking water]]*WWWW[[#This Row],[Total PoP ]]</f>
        <v>0</v>
      </c>
      <c r="AV179"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79" s="483">
        <f>WWWW[[#This Row],[% Access to unimproved water points]]*WWWW[[#This Row],[Total PoP ]]</f>
        <v>1408</v>
      </c>
      <c r="AX179"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79"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1408</v>
      </c>
      <c r="AZ179" s="483">
        <f>WWWW[[#This Row],[HRP1]]/250</f>
        <v>5.6319999999999997</v>
      </c>
      <c r="BA179" s="476">
        <f>1-WWWW[[#This Row],[% Equitable and continuous access to sufficient quantity of domestic water]]</f>
        <v>0</v>
      </c>
      <c r="BB179" s="483">
        <f>WWWW[[#This Row],[%equitable and continuous access to sufficient quantity of safe drinking and domestic water''s GAP]]*WWWW[[#This Row],[Total PoP ]]</f>
        <v>0</v>
      </c>
      <c r="BC179" s="478">
        <f>IF(WWWW[[#This Row],[Total required water points]]-WWWW[[#This Row],['#Water points coverage]]&lt;0,0,WWWW[[#This Row],[Total required water points]]-WWWW[[#This Row],['#Water points coverage]])</f>
        <v>0.36800000000000033</v>
      </c>
      <c r="BD179" s="478">
        <f>ROUND(IF(WWWW[[#This Row],[Total PoP ]]&lt;250,1,WWWW[[#This Row],[Total PoP ]]/250),0)</f>
        <v>6</v>
      </c>
      <c r="BE17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0.12784090909090909</v>
      </c>
      <c r="BF179" s="483">
        <f>WWWW[[#This Row],[% people access to functioning Latrine]]*WWWW[[#This Row],[Total PoP ]]</f>
        <v>180</v>
      </c>
      <c r="BG179" s="478">
        <f>WWWW[[#This Row],['#_of_Functioning_latrines_in_school]]*50</f>
        <v>50</v>
      </c>
      <c r="BH179" s="478">
        <f>ROUND((WWWW[[#This Row],[Total PoP ]]/6),0)</f>
        <v>235</v>
      </c>
      <c r="BI179" s="478">
        <f>IF(WWWW[[#This Row],[Total required Latrines]]-(WWWW[[#This Row],['#_of_sanitary_fly-proof_HH_latrines]])&lt;0,0,WWWW[[#This Row],[Total required Latrines]]-(WWWW[[#This Row],['#_of_sanitary_fly-proof_HH_latrines]]))</f>
        <v>205</v>
      </c>
      <c r="BJ179" s="479">
        <f>1-WWWW[[#This Row],[% people access to functioning Latrine]]</f>
        <v>0.87215909090909094</v>
      </c>
      <c r="BK179"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79" s="483">
        <f>IF(WWWW[[#This Row],['#_of_functional_handwashing_facilities_at_HH_level]]*6&gt;WWWW[[#This Row],[Total PoP ]],WWWW[[#This Row],[Total PoP ]],WWWW[[#This Row],['#_of_functional_handwashing_facilities_at_HH_level]]*6)</f>
        <v>0</v>
      </c>
      <c r="BM179" s="478">
        <f>IF(WWWW[[#This Row],['# people reached by regular dedicated hygiene promotion]]&gt;WWWW[[#This Row],['# People received regular supply of hygiene items]],WWWW[[#This Row],['# people reached by regular dedicated hygiene promotion]],WWWW[[#This Row],['# People received regular supply of hygiene items]])</f>
        <v>0</v>
      </c>
      <c r="BN179" s="476">
        <f>IF(WWWW[[#This Row],[HRP3]]/WWWW[[#This Row],[Total PoP ]]&gt;100%,100%,WWWW[[#This Row],[HRP3]]/WWWW[[#This Row],[Total PoP ]])</f>
        <v>0</v>
      </c>
      <c r="BO179" s="479">
        <f>1-WWWW[[#This Row],[Hygiene Coverage%]]</f>
        <v>1</v>
      </c>
      <c r="BP179" s="477">
        <f>WWWW[[#This Row],['# people reached by regular dedicated hygiene promotion]]/WWWW[[#This Row],[Total PoP ]]</f>
        <v>0</v>
      </c>
      <c r="BQ17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79" s="478">
        <f>WWWW[[#This Row],['#_of_affected_women_and_girls_receiving_a_sufficient_quantity_of_sanitary_pads]]</f>
        <v>0</v>
      </c>
      <c r="BS179" s="524">
        <f>IF(WWWW[[#This Row],['# People with access to soap]]&gt;WWWW[[#This Row],['# People with access to Sanity Pads]],WWWW[[#This Row],['# People with access to soap]],WWWW[[#This Row],['# People with access to Sanity Pads]])</f>
        <v>0</v>
      </c>
      <c r="BT179" s="483" t="str">
        <f>IF(OR(WWWW[[#This Row],['#of students in school]]="",WWWW[[#This Row],['#of students in school]]=0),"No","Yes")</f>
        <v>Yes</v>
      </c>
      <c r="BU179" s="480" t="str">
        <f>VLOOKUP(WWWW[[#This Row],[Village  Name]],SiteDB6[[Site Name]:[Location Type 1]],9,FALSE)</f>
        <v>Village</v>
      </c>
      <c r="BV179" s="480" t="str">
        <f>VLOOKUP(WWWW[[#This Row],[Village  Name]],SiteDB6[[Site Name]:[Type of Accommodation]],10,FALSE)</f>
        <v>Village</v>
      </c>
      <c r="BW179" s="480">
        <f>VLOOKUP(WWWW[[#This Row],[Village  Name]],SiteDB6[[Site Name]:[Ethnic or GCA/NGCA]],11,FALSE)</f>
        <v>0</v>
      </c>
      <c r="BX179" s="480">
        <f>VLOOKUP(WWWW[[#This Row],[Village  Name]],SiteDB6[[Site Name]:[Lat]],12,FALSE)</f>
        <v>92.925521850585895</v>
      </c>
      <c r="BY179" s="480">
        <f>VLOOKUP(WWWW[[#This Row],[Village  Name]],SiteDB6[[Site Name]:[Long]],13,FALSE)</f>
        <v>20.091190338134801</v>
      </c>
      <c r="BZ179" s="480">
        <f>VLOOKUP(WWWW[[#This Row],[Village  Name]],SiteDB6[[Site Name]:[Pcode]],3,FALSE)</f>
        <v>217989</v>
      </c>
      <c r="CA179" s="480" t="str">
        <f t="shared" si="9"/>
        <v>Covered</v>
      </c>
      <c r="CB179" s="505"/>
    </row>
    <row r="180" spans="1:80">
      <c r="A180" s="774" t="s">
        <v>3150</v>
      </c>
      <c r="B180" s="774" t="s">
        <v>287</v>
      </c>
      <c r="C180" s="415" t="s">
        <v>287</v>
      </c>
      <c r="D180" s="415" t="s">
        <v>327</v>
      </c>
      <c r="E180" s="415" t="s">
        <v>2648</v>
      </c>
      <c r="F180" s="415" t="s">
        <v>402</v>
      </c>
      <c r="G180" s="644" t="str">
        <f>VLOOKUP(WWWW[[#This Row],[Village  Name]],SiteDB6[[Site Name]:[Location Type]],8,FALSE)</f>
        <v>Village</v>
      </c>
      <c r="H180" s="415" t="s">
        <v>825</v>
      </c>
      <c r="I180" s="524">
        <v>72</v>
      </c>
      <c r="J180" s="524">
        <v>308</v>
      </c>
      <c r="K180" s="418">
        <v>43359</v>
      </c>
      <c r="L180" s="55">
        <v>44196</v>
      </c>
      <c r="M180" s="524">
        <v>65</v>
      </c>
      <c r="N180" s="524"/>
      <c r="O180" s="524"/>
      <c r="P180" s="524"/>
      <c r="Q180" s="524">
        <v>1</v>
      </c>
      <c r="R180" s="524"/>
      <c r="S180" s="524">
        <v>308</v>
      </c>
      <c r="T180" s="524">
        <v>0</v>
      </c>
      <c r="U180" s="551"/>
      <c r="V180" s="524">
        <v>3</v>
      </c>
      <c r="W180" s="524" t="s">
        <v>126</v>
      </c>
      <c r="X180" s="524">
        <v>0</v>
      </c>
      <c r="Y180" s="524">
        <v>3</v>
      </c>
      <c r="Z180" s="524"/>
      <c r="AA180" s="524"/>
      <c r="AB180" s="524"/>
      <c r="AC180" s="551"/>
      <c r="AD180" s="524"/>
      <c r="AE180" s="524"/>
      <c r="AF180" s="524"/>
      <c r="AG180" s="524"/>
      <c r="AH180" s="524"/>
      <c r="AI180" s="524"/>
      <c r="AJ180" s="524"/>
      <c r="AK180" s="524"/>
      <c r="AL180" s="524"/>
      <c r="AM180" s="524"/>
      <c r="AN180" s="551"/>
      <c r="AO180" s="477"/>
      <c r="AP180" s="477"/>
      <c r="AQ180" s="524"/>
      <c r="AR180" s="524"/>
      <c r="AS180" s="524"/>
      <c r="AT180" s="479">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80" s="483">
        <f>WWWW[[#This Row],[%Equitable and continuous access to sufficient quantity of safe drinking water]]*WWWW[[#This Row],[Total PoP ]]</f>
        <v>0</v>
      </c>
      <c r="AV180" s="479">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180" s="483">
        <f>WWWW[[#This Row],[% Access to unimproved water points]]*WWWW[[#This Row],[Total PoP ]]</f>
        <v>308</v>
      </c>
      <c r="AX180" s="4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80" s="483">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308</v>
      </c>
      <c r="AZ180" s="483">
        <f>WWWW[[#This Row],[HRP1]]/250</f>
        <v>1.232</v>
      </c>
      <c r="BA180" s="476">
        <f>1-WWWW[[#This Row],[% Equitable and continuous access to sufficient quantity of domestic water]]</f>
        <v>0</v>
      </c>
      <c r="BB180" s="483">
        <f>WWWW[[#This Row],[%equitable and continuous access to sufficient quantity of safe drinking and domestic water''s GAP]]*WWWW[[#This Row],[Total PoP ]]</f>
        <v>0</v>
      </c>
      <c r="BC180" s="478">
        <f>IF(WWWW[[#This Row],[Total required water points]]-WWWW[[#This Row],['#Water points coverage]]&lt;0,0,WWWW[[#This Row],[Total required water points]]-WWWW[[#This Row],['#Water points coverage]])</f>
        <v>0</v>
      </c>
      <c r="BD180" s="478">
        <f>ROUND(IF(WWWW[[#This Row],[Total PoP ]]&lt;250,1,WWWW[[#This Row],[Total PoP ]]/250),0)</f>
        <v>1</v>
      </c>
      <c r="BE18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5.844155844155844E-2</v>
      </c>
      <c r="BF180" s="483">
        <f>WWWW[[#This Row],[% people access to functioning Latrine]]*WWWW[[#This Row],[Total PoP ]]</f>
        <v>18</v>
      </c>
      <c r="BG180" s="478">
        <f>WWWW[[#This Row],['#_of_Functioning_latrines_in_school]]*50</f>
        <v>0</v>
      </c>
      <c r="BH180" s="478">
        <f>ROUND((WWWW[[#This Row],[Total PoP ]]/6),0)</f>
        <v>51</v>
      </c>
      <c r="BI180" s="478">
        <f>IF(WWWW[[#This Row],[Total required Latrines]]-(WWWW[[#This Row],['#_of_sanitary_fly-proof_HH_latrines]])&lt;0,0,WWWW[[#This Row],[Total required Latrines]]-(WWWW[[#This Row],['#_of_sanitary_fly-proof_HH_latrines]]))</f>
        <v>48</v>
      </c>
      <c r="BJ180" s="479">
        <f>1-WWWW[[#This Row],[% people access to functioning Latrine]]</f>
        <v>0.94155844155844159</v>
      </c>
      <c r="BK180" s="483">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80" s="483">
        <f>IF(WWWW[[#This Row],['#_of_functional_handwashing_facilities_at_HH_level]]*6&gt;WWWW[[#This Row],[Total PoP ]],WWWW[[#This Row],[Total PoP ]],WWWW[[#This Row],['#_of_functional_handwashing_facilities_at_HH_level]]*6)</f>
        <v>0</v>
      </c>
      <c r="BM180" s="478">
        <f>IF(WWWW[[#This Row],['# people reached by regular dedicated hygiene promotion]]&gt;WWWW[[#This Row],['# People received regular supply of hygiene items]],WWWW[[#This Row],['# people reached by regular dedicated hygiene promotion]],WWWW[[#This Row],['# People received regular supply of hygiene items]])</f>
        <v>0</v>
      </c>
      <c r="BN180" s="476">
        <f>IF(WWWW[[#This Row],[HRP3]]/WWWW[[#This Row],[Total PoP ]]&gt;100%,100%,WWWW[[#This Row],[HRP3]]/WWWW[[#This Row],[Total PoP ]])</f>
        <v>0</v>
      </c>
      <c r="BO180" s="479">
        <f>1-WWWW[[#This Row],[Hygiene Coverage%]]</f>
        <v>1</v>
      </c>
      <c r="BP180" s="477">
        <f>WWWW[[#This Row],['# people reached by regular dedicated hygiene promotion]]/WWWW[[#This Row],[Total PoP ]]</f>
        <v>0</v>
      </c>
      <c r="BQ18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0" s="478">
        <f>WWWW[[#This Row],['#_of_affected_women_and_girls_receiving_a_sufficient_quantity_of_sanitary_pads]]</f>
        <v>0</v>
      </c>
      <c r="BS180" s="524">
        <f>IF(WWWW[[#This Row],['# People with access to soap]]&gt;WWWW[[#This Row],['# People with access to Sanity Pads]],WWWW[[#This Row],['# People with access to soap]],WWWW[[#This Row],['# People with access to Sanity Pads]])</f>
        <v>0</v>
      </c>
      <c r="BT180" s="483" t="str">
        <f>IF(OR(WWWW[[#This Row],['#of students in school]]="",WWWW[[#This Row],['#of students in school]]=0),"No","Yes")</f>
        <v>Yes</v>
      </c>
      <c r="BU180" s="480" t="str">
        <f>VLOOKUP(WWWW[[#This Row],[Village  Name]],SiteDB6[[Site Name]:[Location Type 1]],9,FALSE)</f>
        <v>Village</v>
      </c>
      <c r="BV180" s="480" t="str">
        <f>VLOOKUP(WWWW[[#This Row],[Village  Name]],SiteDB6[[Site Name]:[Type of Accommodation]],10,FALSE)</f>
        <v>Village</v>
      </c>
      <c r="BW180" s="480">
        <f>VLOOKUP(WWWW[[#This Row],[Village  Name]],SiteDB6[[Site Name]:[Ethnic or GCA/NGCA]],11,FALSE)</f>
        <v>0</v>
      </c>
      <c r="BX180" s="480">
        <f>VLOOKUP(WWWW[[#This Row],[Village  Name]],SiteDB6[[Site Name]:[Lat]],12,FALSE)</f>
        <v>20.06903076</v>
      </c>
      <c r="BY180" s="480">
        <f>VLOOKUP(WWWW[[#This Row],[Village  Name]],SiteDB6[[Site Name]:[Long]],13,FALSE)</f>
        <v>92.930137630000004</v>
      </c>
      <c r="BZ180" s="480">
        <f>VLOOKUP(WWWW[[#This Row],[Village  Name]],SiteDB6[[Site Name]:[Pcode]],3,FALSE)</f>
        <v>197562</v>
      </c>
      <c r="CA180" s="480" t="str">
        <f t="shared" si="9"/>
        <v>Covered</v>
      </c>
      <c r="CB180" s="505"/>
    </row>
    <row r="181" spans="1:80">
      <c r="A181" s="774" t="s">
        <v>3150</v>
      </c>
      <c r="B181" s="703" t="s">
        <v>2812</v>
      </c>
      <c r="C181" s="703" t="s">
        <v>2812</v>
      </c>
      <c r="D181" s="704" t="s">
        <v>3176</v>
      </c>
      <c r="E181" s="704" t="s">
        <v>36</v>
      </c>
      <c r="F181" s="704" t="s">
        <v>132</v>
      </c>
      <c r="G181" s="705" t="str">
        <f>VLOOKUP(WWWW[[#This Row],[Village  Name]],SiteDB6[[Site Name]:[Location Type]],8,FALSE)</f>
        <v>Village</v>
      </c>
      <c r="H181" s="704" t="s">
        <v>3177</v>
      </c>
      <c r="I181" s="706">
        <v>43</v>
      </c>
      <c r="J181" s="706">
        <v>185</v>
      </c>
      <c r="K181" s="707">
        <v>43081</v>
      </c>
      <c r="L181" s="708">
        <v>44104</v>
      </c>
      <c r="M181" s="706"/>
      <c r="N181" s="706"/>
      <c r="O181" s="524">
        <v>1</v>
      </c>
      <c r="P181" s="706"/>
      <c r="Q181" s="706"/>
      <c r="R181" s="706"/>
      <c r="S181" s="706"/>
      <c r="T181" s="706"/>
      <c r="U181" s="709"/>
      <c r="V181" s="706">
        <v>33</v>
      </c>
      <c r="W181" s="706"/>
      <c r="X181" s="706">
        <v>2</v>
      </c>
      <c r="Y181" s="706"/>
      <c r="Z181" s="706"/>
      <c r="AA181" s="706"/>
      <c r="AB181" s="706"/>
      <c r="AC181" s="709"/>
      <c r="AD181" s="706">
        <v>11</v>
      </c>
      <c r="AE181" s="706">
        <v>18</v>
      </c>
      <c r="AF181" s="706"/>
      <c r="AG181" s="706"/>
      <c r="AH181" s="706"/>
      <c r="AI181" s="706"/>
      <c r="AJ181" s="524"/>
      <c r="AK181" s="706"/>
      <c r="AL181" s="524"/>
      <c r="AM181" s="524"/>
      <c r="AN181" s="709"/>
      <c r="AO181" s="477"/>
      <c r="AP181" s="477"/>
      <c r="AQ181" s="524"/>
      <c r="AR181" s="524"/>
      <c r="AS181" s="524"/>
      <c r="AT181"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81" s="711">
        <f>WWWW[[#This Row],[%Equitable and continuous access to sufficient quantity of safe drinking water]]*WWWW[[#This Row],[Total PoP ]]</f>
        <v>185</v>
      </c>
      <c r="AV181"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81" s="711">
        <f>WWWW[[#This Row],[% Access to unimproved water points]]*WWWW[[#This Row],[Total PoP ]]</f>
        <v>0</v>
      </c>
      <c r="AX181"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81"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185</v>
      </c>
      <c r="AZ181" s="711">
        <f>WWWW[[#This Row],[HRP1]]/250</f>
        <v>0.74</v>
      </c>
      <c r="BA181" s="713">
        <f>1-WWWW[[#This Row],[% Equitable and continuous access to sufficient quantity of domestic water]]</f>
        <v>0</v>
      </c>
      <c r="BB181" s="711">
        <f>WWWW[[#This Row],[%equitable and continuous access to sufficient quantity of safe drinking and domestic water''s GAP]]*WWWW[[#This Row],[Total PoP ]]</f>
        <v>0</v>
      </c>
      <c r="BC181" s="714">
        <f>IF(WWWW[[#This Row],[Total required water points]]-WWWW[[#This Row],['#Water points coverage]]&lt;0,0,WWWW[[#This Row],[Total required water points]]-WWWW[[#This Row],['#Water points coverage]])</f>
        <v>0.26</v>
      </c>
      <c r="BD181" s="714">
        <f>ROUND(IF(WWWW[[#This Row],[Total PoP ]]&lt;250,1,WWWW[[#This Row],[Total PoP ]]/250),0)</f>
        <v>1</v>
      </c>
      <c r="BE18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81" s="711">
        <f>WWWW[[#This Row],[% people access to functioning Latrine]]*WWWW[[#This Row],[Total PoP ]]</f>
        <v>185</v>
      </c>
      <c r="BG181" s="714">
        <f>WWWW[[#This Row],['#_of_Functioning_latrines_in_school]]*50</f>
        <v>100</v>
      </c>
      <c r="BH181" s="714">
        <f>ROUND((WWWW[[#This Row],[Total PoP ]]/6),0)</f>
        <v>31</v>
      </c>
      <c r="BI181" s="714">
        <f>IF(WWWW[[#This Row],[Total required Latrines]]-(WWWW[[#This Row],['#_of_sanitary_fly-proof_HH_latrines]])&lt;0,0,WWWW[[#This Row],[Total required Latrines]]-(WWWW[[#This Row],['#_of_sanitary_fly-proof_HH_latrines]]))</f>
        <v>0</v>
      </c>
      <c r="BJ181" s="710">
        <f>1-WWWW[[#This Row],[% people access to functioning Latrine]]</f>
        <v>0</v>
      </c>
      <c r="BK181"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29</v>
      </c>
      <c r="BL181" s="483">
        <f>IF(WWWW[[#This Row],['#_of_functional_handwashing_facilities_at_HH_level]]*6&gt;WWWW[[#This Row],[Total PoP ]],WWWW[[#This Row],[Total PoP ]],WWWW[[#This Row],['#_of_functional_handwashing_facilities_at_HH_level]]*6)</f>
        <v>0</v>
      </c>
      <c r="BM181" s="714">
        <f>IF(WWWW[[#This Row],['# people reached by regular dedicated hygiene promotion]]&gt;WWWW[[#This Row],['# People received regular supply of hygiene items]],WWWW[[#This Row],['# people reached by regular dedicated hygiene promotion]],WWWW[[#This Row],['# People received regular supply of hygiene items]])</f>
        <v>29</v>
      </c>
      <c r="BN181" s="713">
        <f>IF(WWWW[[#This Row],[HRP3]]/WWWW[[#This Row],[Total PoP ]]&gt;100%,100%,WWWW[[#This Row],[HRP3]]/WWWW[[#This Row],[Total PoP ]])</f>
        <v>0.15675675675675677</v>
      </c>
      <c r="BO181" s="710">
        <f>1-WWWW[[#This Row],[Hygiene Coverage%]]</f>
        <v>0.84324324324324329</v>
      </c>
      <c r="BP181" s="712">
        <f>WWWW[[#This Row],['# people reached by regular dedicated hygiene promotion]]/WWWW[[#This Row],[Total PoP ]]</f>
        <v>0.15675675675675677</v>
      </c>
      <c r="BQ18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1" s="478">
        <f>WWWW[[#This Row],['#_of_affected_women_and_girls_receiving_a_sufficient_quantity_of_sanitary_pads]]</f>
        <v>0</v>
      </c>
      <c r="BS181" s="524">
        <f>IF(WWWW[[#This Row],['# People with access to soap]]&gt;WWWW[[#This Row],['# People with access to Sanity Pads]],WWWW[[#This Row],['# People with access to soap]],WWWW[[#This Row],['# People with access to Sanity Pads]])</f>
        <v>0</v>
      </c>
      <c r="BT181" s="483" t="str">
        <f>IF(OR(WWWW[[#This Row],['#of students in school]]="",WWWW[[#This Row],['#of students in school]]=0),"No","Yes")</f>
        <v>No</v>
      </c>
      <c r="BU181" s="705" t="str">
        <f>VLOOKUP(WWWW[[#This Row],[Village  Name]],SiteDB6[[Site Name]:[Location Type 1]],9,FALSE)</f>
        <v>Village</v>
      </c>
      <c r="BV181" s="705" t="str">
        <f>VLOOKUP(WWWW[[#This Row],[Village  Name]],SiteDB6[[Site Name]:[Type of Accommodation]],10,FALSE)</f>
        <v>Village</v>
      </c>
      <c r="BW181" s="705">
        <f>VLOOKUP(WWWW[[#This Row],[Village  Name]],SiteDB6[[Site Name]:[Ethnic or GCA/NGCA]],11,FALSE)</f>
        <v>0</v>
      </c>
      <c r="BX181" s="705">
        <f>VLOOKUP(WWWW[[#This Row],[Village  Name]],SiteDB6[[Site Name]:[Lat]],12,FALSE)</f>
        <v>0</v>
      </c>
      <c r="BY181" s="705">
        <f>VLOOKUP(WWWW[[#This Row],[Village  Name]],SiteDB6[[Site Name]:[Long]],13,FALSE)</f>
        <v>0</v>
      </c>
      <c r="BZ181" s="705">
        <f>VLOOKUP(WWWW[[#This Row],[Village  Name]],SiteDB6[[Site Name]:[Pcode]],3,FALSE)</f>
        <v>0</v>
      </c>
      <c r="CA181" s="705" t="str">
        <f t="shared" ref="CA181:CA201" si="10">IF(C181="none","Notcovered","Covered")</f>
        <v>Covered</v>
      </c>
      <c r="CB181" s="715"/>
    </row>
    <row r="182" spans="1:80">
      <c r="A182" s="774" t="s">
        <v>3150</v>
      </c>
      <c r="B182" s="703" t="s">
        <v>2812</v>
      </c>
      <c r="C182" s="703" t="s">
        <v>2812</v>
      </c>
      <c r="D182" s="704" t="s">
        <v>3176</v>
      </c>
      <c r="E182" s="704" t="s">
        <v>36</v>
      </c>
      <c r="F182" s="704" t="s">
        <v>132</v>
      </c>
      <c r="G182" s="705" t="str">
        <f>VLOOKUP(WWWW[[#This Row],[Village  Name]],SiteDB6[[Site Name]:[Location Type]],8,FALSE)</f>
        <v>Village</v>
      </c>
      <c r="H182" s="704" t="s">
        <v>3178</v>
      </c>
      <c r="I182" s="706">
        <v>33</v>
      </c>
      <c r="J182" s="706">
        <v>174</v>
      </c>
      <c r="K182" s="707">
        <v>43081</v>
      </c>
      <c r="L182" s="708">
        <v>44104</v>
      </c>
      <c r="M182" s="706"/>
      <c r="N182" s="706"/>
      <c r="O182" s="524">
        <v>1</v>
      </c>
      <c r="P182" s="706"/>
      <c r="Q182" s="706"/>
      <c r="R182" s="706"/>
      <c r="S182" s="706"/>
      <c r="T182" s="706"/>
      <c r="U182" s="709"/>
      <c r="V182" s="706">
        <v>26</v>
      </c>
      <c r="W182" s="706"/>
      <c r="X182" s="706"/>
      <c r="Y182" s="706"/>
      <c r="Z182" s="706"/>
      <c r="AA182" s="706"/>
      <c r="AB182" s="706"/>
      <c r="AC182" s="709"/>
      <c r="AD182" s="706">
        <v>5</v>
      </c>
      <c r="AE182" s="706">
        <v>20</v>
      </c>
      <c r="AF182" s="706"/>
      <c r="AG182" s="706"/>
      <c r="AH182" s="706"/>
      <c r="AI182" s="706"/>
      <c r="AJ182" s="524"/>
      <c r="AK182" s="706"/>
      <c r="AL182" s="524"/>
      <c r="AM182" s="524"/>
      <c r="AN182" s="709"/>
      <c r="AO182" s="477"/>
      <c r="AP182" s="477"/>
      <c r="AQ182" s="524"/>
      <c r="AR182" s="524"/>
      <c r="AS182" s="524"/>
      <c r="AT182"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82" s="711">
        <f>WWWW[[#This Row],[%Equitable and continuous access to sufficient quantity of safe drinking water]]*WWWW[[#This Row],[Total PoP ]]</f>
        <v>174</v>
      </c>
      <c r="AV182"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82" s="711">
        <f>WWWW[[#This Row],[% Access to unimproved water points]]*WWWW[[#This Row],[Total PoP ]]</f>
        <v>0</v>
      </c>
      <c r="AX182"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82"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174</v>
      </c>
      <c r="AZ182" s="711">
        <f>WWWW[[#This Row],[HRP1]]/250</f>
        <v>0.69599999999999995</v>
      </c>
      <c r="BA182" s="713">
        <f>1-WWWW[[#This Row],[% Equitable and continuous access to sufficient quantity of domestic water]]</f>
        <v>0</v>
      </c>
      <c r="BB182" s="711">
        <f>WWWW[[#This Row],[%equitable and continuous access to sufficient quantity of safe drinking and domestic water''s GAP]]*WWWW[[#This Row],[Total PoP ]]</f>
        <v>0</v>
      </c>
      <c r="BC182" s="714">
        <f>IF(WWWW[[#This Row],[Total required water points]]-WWWW[[#This Row],['#Water points coverage]]&lt;0,0,WWWW[[#This Row],[Total required water points]]-WWWW[[#This Row],['#Water points coverage]])</f>
        <v>0.30400000000000005</v>
      </c>
      <c r="BD182" s="714">
        <f>ROUND(IF(WWWW[[#This Row],[Total PoP ]]&lt;250,1,WWWW[[#This Row],[Total PoP ]]/250),0)</f>
        <v>1</v>
      </c>
      <c r="BE18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0.89655172413793105</v>
      </c>
      <c r="BF182" s="711">
        <f>WWWW[[#This Row],[% people access to functioning Latrine]]*WWWW[[#This Row],[Total PoP ]]</f>
        <v>156</v>
      </c>
      <c r="BG182" s="714">
        <f>WWWW[[#This Row],['#_of_Functioning_latrines_in_school]]*50</f>
        <v>0</v>
      </c>
      <c r="BH182" s="714">
        <f>ROUND((WWWW[[#This Row],[Total PoP ]]/6),0)</f>
        <v>29</v>
      </c>
      <c r="BI182" s="714">
        <f>IF(WWWW[[#This Row],[Total required Latrines]]-(WWWW[[#This Row],['#_of_sanitary_fly-proof_HH_latrines]])&lt;0,0,WWWW[[#This Row],[Total required Latrines]]-(WWWW[[#This Row],['#_of_sanitary_fly-proof_HH_latrines]]))</f>
        <v>3</v>
      </c>
      <c r="BJ182" s="710">
        <f>1-WWWW[[#This Row],[% people access to functioning Latrine]]</f>
        <v>0.10344827586206895</v>
      </c>
      <c r="BK182"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v>
      </c>
      <c r="BL182" s="483">
        <f>IF(WWWW[[#This Row],['#_of_functional_handwashing_facilities_at_HH_level]]*6&gt;WWWW[[#This Row],[Total PoP ]],WWWW[[#This Row],[Total PoP ]],WWWW[[#This Row],['#_of_functional_handwashing_facilities_at_HH_level]]*6)</f>
        <v>0</v>
      </c>
      <c r="BM182" s="714">
        <f>IF(WWWW[[#This Row],['# people reached by regular dedicated hygiene promotion]]&gt;WWWW[[#This Row],['# People received regular supply of hygiene items]],WWWW[[#This Row],['# people reached by regular dedicated hygiene promotion]],WWWW[[#This Row],['# People received regular supply of hygiene items]])</f>
        <v>25</v>
      </c>
      <c r="BN182" s="713">
        <f>IF(WWWW[[#This Row],[HRP3]]/WWWW[[#This Row],[Total PoP ]]&gt;100%,100%,WWWW[[#This Row],[HRP3]]/WWWW[[#This Row],[Total PoP ]])</f>
        <v>0.14367816091954022</v>
      </c>
      <c r="BO182" s="710">
        <f>1-WWWW[[#This Row],[Hygiene Coverage%]]</f>
        <v>0.85632183908045978</v>
      </c>
      <c r="BP182" s="712">
        <f>WWWW[[#This Row],['# people reached by regular dedicated hygiene promotion]]/WWWW[[#This Row],[Total PoP ]]</f>
        <v>0.14367816091954022</v>
      </c>
      <c r="BQ18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2" s="478">
        <f>WWWW[[#This Row],['#_of_affected_women_and_girls_receiving_a_sufficient_quantity_of_sanitary_pads]]</f>
        <v>0</v>
      </c>
      <c r="BS182" s="524">
        <f>IF(WWWW[[#This Row],['# People with access to soap]]&gt;WWWW[[#This Row],['# People with access to Sanity Pads]],WWWW[[#This Row],['# People with access to soap]],WWWW[[#This Row],['# People with access to Sanity Pads]])</f>
        <v>0</v>
      </c>
      <c r="BT182" s="483" t="str">
        <f>IF(OR(WWWW[[#This Row],['#of students in school]]="",WWWW[[#This Row],['#of students in school]]=0),"No","Yes")</f>
        <v>No</v>
      </c>
      <c r="BU182" s="705" t="str">
        <f>VLOOKUP(WWWW[[#This Row],[Village  Name]],SiteDB6[[Site Name]:[Location Type 1]],9,FALSE)</f>
        <v>Village</v>
      </c>
      <c r="BV182" s="705" t="str">
        <f>VLOOKUP(WWWW[[#This Row],[Village  Name]],SiteDB6[[Site Name]:[Type of Accommodation]],10,FALSE)</f>
        <v>Village</v>
      </c>
      <c r="BW182" s="705">
        <f>VLOOKUP(WWWW[[#This Row],[Village  Name]],SiteDB6[[Site Name]:[Ethnic or GCA/NGCA]],11,FALSE)</f>
        <v>0</v>
      </c>
      <c r="BX182" s="705">
        <f>VLOOKUP(WWWW[[#This Row],[Village  Name]],SiteDB6[[Site Name]:[Lat]],12,FALSE)</f>
        <v>0</v>
      </c>
      <c r="BY182" s="705">
        <f>VLOOKUP(WWWW[[#This Row],[Village  Name]],SiteDB6[[Site Name]:[Long]],13,FALSE)</f>
        <v>0</v>
      </c>
      <c r="BZ182" s="705">
        <f>VLOOKUP(WWWW[[#This Row],[Village  Name]],SiteDB6[[Site Name]:[Pcode]],3,FALSE)</f>
        <v>0</v>
      </c>
      <c r="CA182" s="705" t="str">
        <f t="shared" si="10"/>
        <v>Covered</v>
      </c>
      <c r="CB182" s="715"/>
    </row>
    <row r="183" spans="1:80">
      <c r="A183" s="774" t="s">
        <v>3150</v>
      </c>
      <c r="B183" s="703" t="s">
        <v>2812</v>
      </c>
      <c r="C183" s="703" t="s">
        <v>2812</v>
      </c>
      <c r="D183" s="704" t="s">
        <v>3176</v>
      </c>
      <c r="E183" s="704" t="s">
        <v>36</v>
      </c>
      <c r="F183" s="704" t="s">
        <v>132</v>
      </c>
      <c r="G183" s="705" t="str">
        <f>VLOOKUP(WWWW[[#This Row],[Village  Name]],SiteDB6[[Site Name]:[Location Type]],8,FALSE)</f>
        <v>Village</v>
      </c>
      <c r="H183" s="704" t="s">
        <v>3179</v>
      </c>
      <c r="I183" s="706">
        <v>15</v>
      </c>
      <c r="J183" s="706">
        <v>49</v>
      </c>
      <c r="K183" s="707">
        <v>43081</v>
      </c>
      <c r="L183" s="708">
        <v>44104</v>
      </c>
      <c r="M183" s="706"/>
      <c r="N183" s="706"/>
      <c r="O183" s="524"/>
      <c r="P183" s="706"/>
      <c r="Q183" s="706"/>
      <c r="R183" s="706"/>
      <c r="S183" s="706"/>
      <c r="T183" s="706"/>
      <c r="U183" s="709"/>
      <c r="V183" s="706">
        <v>15</v>
      </c>
      <c r="W183" s="706"/>
      <c r="X183" s="706"/>
      <c r="Y183" s="706"/>
      <c r="Z183" s="706"/>
      <c r="AA183" s="706"/>
      <c r="AB183" s="706"/>
      <c r="AC183" s="709"/>
      <c r="AD183" s="706">
        <v>4</v>
      </c>
      <c r="AE183" s="706">
        <v>6</v>
      </c>
      <c r="AF183" s="706"/>
      <c r="AG183" s="706"/>
      <c r="AH183" s="706"/>
      <c r="AI183" s="706"/>
      <c r="AJ183" s="524"/>
      <c r="AK183" s="706"/>
      <c r="AL183" s="524"/>
      <c r="AM183" s="524"/>
      <c r="AN183" s="709"/>
      <c r="AO183" s="477"/>
      <c r="AP183" s="477"/>
      <c r="AQ183" s="524"/>
      <c r="AR183" s="524"/>
      <c r="AS183" s="524"/>
      <c r="AT183"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83" s="711">
        <f>WWWW[[#This Row],[%Equitable and continuous access to sufficient quantity of safe drinking water]]*WWWW[[#This Row],[Total PoP ]]</f>
        <v>0</v>
      </c>
      <c r="AV183"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83" s="711">
        <f>WWWW[[#This Row],[% Access to unimproved water points]]*WWWW[[#This Row],[Total PoP ]]</f>
        <v>0</v>
      </c>
      <c r="AX183"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83"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83" s="711">
        <f>WWWW[[#This Row],[HRP1]]/250</f>
        <v>0</v>
      </c>
      <c r="BA183" s="713">
        <f>1-WWWW[[#This Row],[% Equitable and continuous access to sufficient quantity of domestic water]]</f>
        <v>1</v>
      </c>
      <c r="BB183" s="711">
        <f>WWWW[[#This Row],[%equitable and continuous access to sufficient quantity of safe drinking and domestic water''s GAP]]*WWWW[[#This Row],[Total PoP ]]</f>
        <v>49</v>
      </c>
      <c r="BC183" s="714">
        <f>IF(WWWW[[#This Row],[Total required water points]]-WWWW[[#This Row],['#Water points coverage]]&lt;0,0,WWWW[[#This Row],[Total required water points]]-WWWW[[#This Row],['#Water points coverage]])</f>
        <v>1</v>
      </c>
      <c r="BD183" s="714">
        <f>ROUND(IF(WWWW[[#This Row],[Total PoP ]]&lt;250,1,WWWW[[#This Row],[Total PoP ]]/250),0)</f>
        <v>1</v>
      </c>
      <c r="BE18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83" s="711">
        <f>WWWW[[#This Row],[% people access to functioning Latrine]]*WWWW[[#This Row],[Total PoP ]]</f>
        <v>49</v>
      </c>
      <c r="BG183" s="714">
        <f>WWWW[[#This Row],['#_of_Functioning_latrines_in_school]]*50</f>
        <v>0</v>
      </c>
      <c r="BH183" s="714">
        <f>ROUND((WWWW[[#This Row],[Total PoP ]]/6),0)</f>
        <v>8</v>
      </c>
      <c r="BI183" s="714">
        <f>IF(WWWW[[#This Row],[Total required Latrines]]-(WWWW[[#This Row],['#_of_sanitary_fly-proof_HH_latrines]])&lt;0,0,WWWW[[#This Row],[Total required Latrines]]-(WWWW[[#This Row],['#_of_sanitary_fly-proof_HH_latrines]]))</f>
        <v>0</v>
      </c>
      <c r="BJ183" s="710">
        <f>1-WWWW[[#This Row],[% people access to functioning Latrine]]</f>
        <v>0</v>
      </c>
      <c r="BK183"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10</v>
      </c>
      <c r="BL183" s="483">
        <f>IF(WWWW[[#This Row],['#_of_functional_handwashing_facilities_at_HH_level]]*6&gt;WWWW[[#This Row],[Total PoP ]],WWWW[[#This Row],[Total PoP ]],WWWW[[#This Row],['#_of_functional_handwashing_facilities_at_HH_level]]*6)</f>
        <v>0</v>
      </c>
      <c r="BM183" s="714">
        <f>IF(WWWW[[#This Row],['# people reached by regular dedicated hygiene promotion]]&gt;WWWW[[#This Row],['# People received regular supply of hygiene items]],WWWW[[#This Row],['# people reached by regular dedicated hygiene promotion]],WWWW[[#This Row],['# People received regular supply of hygiene items]])</f>
        <v>10</v>
      </c>
      <c r="BN183" s="713">
        <f>IF(WWWW[[#This Row],[HRP3]]/WWWW[[#This Row],[Total PoP ]]&gt;100%,100%,WWWW[[#This Row],[HRP3]]/WWWW[[#This Row],[Total PoP ]])</f>
        <v>0.20408163265306123</v>
      </c>
      <c r="BO183" s="710">
        <f>1-WWWW[[#This Row],[Hygiene Coverage%]]</f>
        <v>0.79591836734693877</v>
      </c>
      <c r="BP183" s="712">
        <f>WWWW[[#This Row],['# people reached by regular dedicated hygiene promotion]]/WWWW[[#This Row],[Total PoP ]]</f>
        <v>0.20408163265306123</v>
      </c>
      <c r="BQ18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3" s="478">
        <f>WWWW[[#This Row],['#_of_affected_women_and_girls_receiving_a_sufficient_quantity_of_sanitary_pads]]</f>
        <v>0</v>
      </c>
      <c r="BS183" s="524">
        <f>IF(WWWW[[#This Row],['# People with access to soap]]&gt;WWWW[[#This Row],['# People with access to Sanity Pads]],WWWW[[#This Row],['# People with access to soap]],WWWW[[#This Row],['# People with access to Sanity Pads]])</f>
        <v>0</v>
      </c>
      <c r="BT183" s="483" t="str">
        <f>IF(OR(WWWW[[#This Row],['#of students in school]]="",WWWW[[#This Row],['#of students in school]]=0),"No","Yes")</f>
        <v>No</v>
      </c>
      <c r="BU183" s="705" t="str">
        <f>VLOOKUP(WWWW[[#This Row],[Village  Name]],SiteDB6[[Site Name]:[Location Type 1]],9,FALSE)</f>
        <v>Village</v>
      </c>
      <c r="BV183" s="705" t="str">
        <f>VLOOKUP(WWWW[[#This Row],[Village  Name]],SiteDB6[[Site Name]:[Type of Accommodation]],10,FALSE)</f>
        <v>Village</v>
      </c>
      <c r="BW183" s="705">
        <f>VLOOKUP(WWWW[[#This Row],[Village  Name]],SiteDB6[[Site Name]:[Ethnic or GCA/NGCA]],11,FALSE)</f>
        <v>0</v>
      </c>
      <c r="BX183" s="705">
        <f>VLOOKUP(WWWW[[#This Row],[Village  Name]],SiteDB6[[Site Name]:[Lat]],12,FALSE)</f>
        <v>0</v>
      </c>
      <c r="BY183" s="705">
        <f>VLOOKUP(WWWW[[#This Row],[Village  Name]],SiteDB6[[Site Name]:[Long]],13,FALSE)</f>
        <v>0</v>
      </c>
      <c r="BZ183" s="705">
        <f>VLOOKUP(WWWW[[#This Row],[Village  Name]],SiteDB6[[Site Name]:[Pcode]],3,FALSE)</f>
        <v>0</v>
      </c>
      <c r="CA183" s="705" t="str">
        <f t="shared" si="10"/>
        <v>Covered</v>
      </c>
      <c r="CB183" s="715"/>
    </row>
    <row r="184" spans="1:80">
      <c r="A184" s="774" t="s">
        <v>3150</v>
      </c>
      <c r="B184" s="703" t="s">
        <v>2812</v>
      </c>
      <c r="C184" s="703" t="s">
        <v>2812</v>
      </c>
      <c r="D184" s="704" t="s">
        <v>3176</v>
      </c>
      <c r="E184" s="704" t="s">
        <v>36</v>
      </c>
      <c r="F184" s="704" t="s">
        <v>132</v>
      </c>
      <c r="G184" s="705" t="str">
        <f>VLOOKUP(WWWW[[#This Row],[Village  Name]],SiteDB6[[Site Name]:[Location Type]],8,FALSE)</f>
        <v>Village</v>
      </c>
      <c r="H184" s="704" t="s">
        <v>3180</v>
      </c>
      <c r="I184" s="706">
        <v>78</v>
      </c>
      <c r="J184" s="706">
        <v>302</v>
      </c>
      <c r="K184" s="707">
        <v>43081</v>
      </c>
      <c r="L184" s="708">
        <v>44104</v>
      </c>
      <c r="M184" s="706"/>
      <c r="N184" s="706"/>
      <c r="O184" s="524">
        <v>2</v>
      </c>
      <c r="P184" s="706"/>
      <c r="Q184" s="706"/>
      <c r="R184" s="706"/>
      <c r="S184" s="706"/>
      <c r="T184" s="706"/>
      <c r="U184" s="709"/>
      <c r="V184" s="706">
        <v>50</v>
      </c>
      <c r="W184" s="706"/>
      <c r="X184" s="706">
        <v>1</v>
      </c>
      <c r="Y184" s="706"/>
      <c r="Z184" s="706"/>
      <c r="AA184" s="706"/>
      <c r="AB184" s="706"/>
      <c r="AC184" s="709"/>
      <c r="AD184" s="706">
        <v>11</v>
      </c>
      <c r="AE184" s="706">
        <v>18</v>
      </c>
      <c r="AF184" s="706"/>
      <c r="AG184" s="706"/>
      <c r="AH184" s="706"/>
      <c r="AI184" s="706"/>
      <c r="AJ184" s="524"/>
      <c r="AK184" s="706"/>
      <c r="AL184" s="524"/>
      <c r="AM184" s="524"/>
      <c r="AN184" s="709"/>
      <c r="AO184" s="477"/>
      <c r="AP184" s="477"/>
      <c r="AQ184" s="524"/>
      <c r="AR184" s="524"/>
      <c r="AS184" s="524"/>
      <c r="AT184"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84" s="711">
        <f>WWWW[[#This Row],[%Equitable and continuous access to sufficient quantity of safe drinking water]]*WWWW[[#This Row],[Total PoP ]]</f>
        <v>302</v>
      </c>
      <c r="AV184"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84" s="711">
        <f>WWWW[[#This Row],[% Access to unimproved water points]]*WWWW[[#This Row],[Total PoP ]]</f>
        <v>0</v>
      </c>
      <c r="AX184"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84"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302</v>
      </c>
      <c r="AZ184" s="711">
        <f>WWWW[[#This Row],[HRP1]]/250</f>
        <v>1.208</v>
      </c>
      <c r="BA184" s="713">
        <f>1-WWWW[[#This Row],[% Equitable and continuous access to sufficient quantity of domestic water]]</f>
        <v>0</v>
      </c>
      <c r="BB184" s="711">
        <f>WWWW[[#This Row],[%equitable and continuous access to sufficient quantity of safe drinking and domestic water''s GAP]]*WWWW[[#This Row],[Total PoP ]]</f>
        <v>0</v>
      </c>
      <c r="BC184" s="714">
        <f>IF(WWWW[[#This Row],[Total required water points]]-WWWW[[#This Row],['#Water points coverage]]&lt;0,0,WWWW[[#This Row],[Total required water points]]-WWWW[[#This Row],['#Water points coverage]])</f>
        <v>0</v>
      </c>
      <c r="BD184" s="714">
        <f>ROUND(IF(WWWW[[#This Row],[Total PoP ]]&lt;250,1,WWWW[[#This Row],[Total PoP ]]/250),0)</f>
        <v>1</v>
      </c>
      <c r="BE18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0.99337748344370858</v>
      </c>
      <c r="BF184" s="711">
        <f>WWWW[[#This Row],[% people access to functioning Latrine]]*WWWW[[#This Row],[Total PoP ]]</f>
        <v>300</v>
      </c>
      <c r="BG184" s="714">
        <f>WWWW[[#This Row],['#_of_Functioning_latrines_in_school]]*50</f>
        <v>50</v>
      </c>
      <c r="BH184" s="714">
        <f>ROUND((WWWW[[#This Row],[Total PoP ]]/6),0)</f>
        <v>50</v>
      </c>
      <c r="BI184" s="714">
        <f>IF(WWWW[[#This Row],[Total required Latrines]]-(WWWW[[#This Row],['#_of_sanitary_fly-proof_HH_latrines]])&lt;0,0,WWWW[[#This Row],[Total required Latrines]]-(WWWW[[#This Row],['#_of_sanitary_fly-proof_HH_latrines]]))</f>
        <v>0</v>
      </c>
      <c r="BJ184" s="710">
        <f>1-WWWW[[#This Row],[% people access to functioning Latrine]]</f>
        <v>6.6225165562914245E-3</v>
      </c>
      <c r="BK184"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29</v>
      </c>
      <c r="BL184" s="483">
        <f>IF(WWWW[[#This Row],['#_of_functional_handwashing_facilities_at_HH_level]]*6&gt;WWWW[[#This Row],[Total PoP ]],WWWW[[#This Row],[Total PoP ]],WWWW[[#This Row],['#_of_functional_handwashing_facilities_at_HH_level]]*6)</f>
        <v>0</v>
      </c>
      <c r="BM184" s="714">
        <f>IF(WWWW[[#This Row],['# people reached by regular dedicated hygiene promotion]]&gt;WWWW[[#This Row],['# People received regular supply of hygiene items]],WWWW[[#This Row],['# people reached by regular dedicated hygiene promotion]],WWWW[[#This Row],['# People received regular supply of hygiene items]])</f>
        <v>29</v>
      </c>
      <c r="BN184" s="713">
        <f>IF(WWWW[[#This Row],[HRP3]]/WWWW[[#This Row],[Total PoP ]]&gt;100%,100%,WWWW[[#This Row],[HRP3]]/WWWW[[#This Row],[Total PoP ]])</f>
        <v>9.602649006622517E-2</v>
      </c>
      <c r="BO184" s="710">
        <f>1-WWWW[[#This Row],[Hygiene Coverage%]]</f>
        <v>0.90397350993377479</v>
      </c>
      <c r="BP184" s="712">
        <f>WWWW[[#This Row],['# people reached by regular dedicated hygiene promotion]]/WWWW[[#This Row],[Total PoP ]]</f>
        <v>9.602649006622517E-2</v>
      </c>
      <c r="BQ18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4" s="478">
        <f>WWWW[[#This Row],['#_of_affected_women_and_girls_receiving_a_sufficient_quantity_of_sanitary_pads]]</f>
        <v>0</v>
      </c>
      <c r="BS184" s="524">
        <f>IF(WWWW[[#This Row],['# People with access to soap]]&gt;WWWW[[#This Row],['# People with access to Sanity Pads]],WWWW[[#This Row],['# People with access to soap]],WWWW[[#This Row],['# People with access to Sanity Pads]])</f>
        <v>0</v>
      </c>
      <c r="BT184" s="483" t="str">
        <f>IF(OR(WWWW[[#This Row],['#of students in school]]="",WWWW[[#This Row],['#of students in school]]=0),"No","Yes")</f>
        <v>No</v>
      </c>
      <c r="BU184" s="705" t="str">
        <f>VLOOKUP(WWWW[[#This Row],[Village  Name]],SiteDB6[[Site Name]:[Location Type 1]],9,FALSE)</f>
        <v>Village</v>
      </c>
      <c r="BV184" s="705" t="str">
        <f>VLOOKUP(WWWW[[#This Row],[Village  Name]],SiteDB6[[Site Name]:[Type of Accommodation]],10,FALSE)</f>
        <v>Village</v>
      </c>
      <c r="BW184" s="705">
        <f>VLOOKUP(WWWW[[#This Row],[Village  Name]],SiteDB6[[Site Name]:[Ethnic or GCA/NGCA]],11,FALSE)</f>
        <v>0</v>
      </c>
      <c r="BX184" s="705">
        <f>VLOOKUP(WWWW[[#This Row],[Village  Name]],SiteDB6[[Site Name]:[Lat]],12,FALSE)</f>
        <v>0</v>
      </c>
      <c r="BY184" s="705">
        <f>VLOOKUP(WWWW[[#This Row],[Village  Name]],SiteDB6[[Site Name]:[Long]],13,FALSE)</f>
        <v>0</v>
      </c>
      <c r="BZ184" s="705">
        <f>VLOOKUP(WWWW[[#This Row],[Village  Name]],SiteDB6[[Site Name]:[Pcode]],3,FALSE)</f>
        <v>0</v>
      </c>
      <c r="CA184" s="705" t="str">
        <f t="shared" si="10"/>
        <v>Covered</v>
      </c>
      <c r="CB184" s="715"/>
    </row>
    <row r="185" spans="1:80">
      <c r="A185" s="774" t="s">
        <v>3150</v>
      </c>
      <c r="B185" s="703" t="s">
        <v>2812</v>
      </c>
      <c r="C185" s="703" t="s">
        <v>2812</v>
      </c>
      <c r="D185" s="704" t="s">
        <v>3176</v>
      </c>
      <c r="E185" s="704" t="s">
        <v>36</v>
      </c>
      <c r="F185" s="704" t="s">
        <v>132</v>
      </c>
      <c r="G185" s="705" t="str">
        <f>VLOOKUP(WWWW[[#This Row],[Village  Name]],SiteDB6[[Site Name]:[Location Type]],8,FALSE)</f>
        <v>Village</v>
      </c>
      <c r="H185" s="704" t="s">
        <v>3181</v>
      </c>
      <c r="I185" s="706">
        <v>62</v>
      </c>
      <c r="J185" s="706">
        <v>308</v>
      </c>
      <c r="K185" s="707">
        <v>43081</v>
      </c>
      <c r="L185" s="708">
        <v>44104</v>
      </c>
      <c r="M185" s="706"/>
      <c r="N185" s="706"/>
      <c r="O185" s="524">
        <v>1</v>
      </c>
      <c r="P185" s="706"/>
      <c r="Q185" s="706"/>
      <c r="R185" s="706"/>
      <c r="S185" s="706"/>
      <c r="T185" s="706"/>
      <c r="U185" s="709"/>
      <c r="V185" s="706">
        <v>59</v>
      </c>
      <c r="W185" s="706"/>
      <c r="X185" s="706">
        <v>2</v>
      </c>
      <c r="Y185" s="706"/>
      <c r="Z185" s="706"/>
      <c r="AA185" s="706"/>
      <c r="AB185" s="706"/>
      <c r="AC185" s="709"/>
      <c r="AD185" s="706">
        <v>10</v>
      </c>
      <c r="AE185" s="706">
        <v>15</v>
      </c>
      <c r="AF185" s="706"/>
      <c r="AG185" s="706"/>
      <c r="AH185" s="706"/>
      <c r="AI185" s="706"/>
      <c r="AJ185" s="524"/>
      <c r="AK185" s="706"/>
      <c r="AL185" s="524"/>
      <c r="AM185" s="524"/>
      <c r="AN185" s="709"/>
      <c r="AO185" s="477"/>
      <c r="AP185" s="477"/>
      <c r="AQ185" s="524"/>
      <c r="AR185" s="524"/>
      <c r="AS185" s="524"/>
      <c r="AT185"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85" s="711">
        <f>WWWW[[#This Row],[%Equitable and continuous access to sufficient quantity of safe drinking water]]*WWWW[[#This Row],[Total PoP ]]</f>
        <v>308</v>
      </c>
      <c r="AV185"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85" s="711">
        <f>WWWW[[#This Row],[% Access to unimproved water points]]*WWWW[[#This Row],[Total PoP ]]</f>
        <v>0</v>
      </c>
      <c r="AX185"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85"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308</v>
      </c>
      <c r="AZ185" s="711">
        <f>WWWW[[#This Row],[HRP1]]/250</f>
        <v>1.232</v>
      </c>
      <c r="BA185" s="713">
        <f>1-WWWW[[#This Row],[% Equitable and continuous access to sufficient quantity of domestic water]]</f>
        <v>0</v>
      </c>
      <c r="BB185" s="711">
        <f>WWWW[[#This Row],[%equitable and continuous access to sufficient quantity of safe drinking and domestic water''s GAP]]*WWWW[[#This Row],[Total PoP ]]</f>
        <v>0</v>
      </c>
      <c r="BC185" s="714">
        <f>IF(WWWW[[#This Row],[Total required water points]]-WWWW[[#This Row],['#Water points coverage]]&lt;0,0,WWWW[[#This Row],[Total required water points]]-WWWW[[#This Row],['#Water points coverage]])</f>
        <v>0</v>
      </c>
      <c r="BD185" s="714">
        <f>ROUND(IF(WWWW[[#This Row],[Total PoP ]]&lt;250,1,WWWW[[#This Row],[Total PoP ]]/250),0)</f>
        <v>1</v>
      </c>
      <c r="BE18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185" s="711">
        <f>WWWW[[#This Row],[% people access to functioning Latrine]]*WWWW[[#This Row],[Total PoP ]]</f>
        <v>308</v>
      </c>
      <c r="BG185" s="714">
        <f>WWWW[[#This Row],['#_of_Functioning_latrines_in_school]]*50</f>
        <v>100</v>
      </c>
      <c r="BH185" s="714">
        <f>ROUND((WWWW[[#This Row],[Total PoP ]]/6),0)</f>
        <v>51</v>
      </c>
      <c r="BI185" s="714">
        <f>IF(WWWW[[#This Row],[Total required Latrines]]-(WWWW[[#This Row],['#_of_sanitary_fly-proof_HH_latrines]])&lt;0,0,WWWW[[#This Row],[Total required Latrines]]-(WWWW[[#This Row],['#_of_sanitary_fly-proof_HH_latrines]]))</f>
        <v>0</v>
      </c>
      <c r="BJ185" s="710">
        <f>1-WWWW[[#This Row],[% people access to functioning Latrine]]</f>
        <v>0</v>
      </c>
      <c r="BK185"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v>
      </c>
      <c r="BL185" s="483">
        <f>IF(WWWW[[#This Row],['#_of_functional_handwashing_facilities_at_HH_level]]*6&gt;WWWW[[#This Row],[Total PoP ]],WWWW[[#This Row],[Total PoP ]],WWWW[[#This Row],['#_of_functional_handwashing_facilities_at_HH_level]]*6)</f>
        <v>0</v>
      </c>
      <c r="BM185" s="714">
        <f>IF(WWWW[[#This Row],['# people reached by regular dedicated hygiene promotion]]&gt;WWWW[[#This Row],['# People received regular supply of hygiene items]],WWWW[[#This Row],['# people reached by regular dedicated hygiene promotion]],WWWW[[#This Row],['# People received regular supply of hygiene items]])</f>
        <v>25</v>
      </c>
      <c r="BN185" s="713">
        <f>IF(WWWW[[#This Row],[HRP3]]/WWWW[[#This Row],[Total PoP ]]&gt;100%,100%,WWWW[[#This Row],[HRP3]]/WWWW[[#This Row],[Total PoP ]])</f>
        <v>8.1168831168831168E-2</v>
      </c>
      <c r="BO185" s="710">
        <f>1-WWWW[[#This Row],[Hygiene Coverage%]]</f>
        <v>0.91883116883116878</v>
      </c>
      <c r="BP185" s="712">
        <f>WWWW[[#This Row],['# people reached by regular dedicated hygiene promotion]]/WWWW[[#This Row],[Total PoP ]]</f>
        <v>8.1168831168831168E-2</v>
      </c>
      <c r="BQ18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5" s="478">
        <f>WWWW[[#This Row],['#_of_affected_women_and_girls_receiving_a_sufficient_quantity_of_sanitary_pads]]</f>
        <v>0</v>
      </c>
      <c r="BS185" s="524">
        <f>IF(WWWW[[#This Row],['# People with access to soap]]&gt;WWWW[[#This Row],['# People with access to Sanity Pads]],WWWW[[#This Row],['# People with access to soap]],WWWW[[#This Row],['# People with access to Sanity Pads]])</f>
        <v>0</v>
      </c>
      <c r="BT185" s="483" t="str">
        <f>IF(OR(WWWW[[#This Row],['#of students in school]]="",WWWW[[#This Row],['#of students in school]]=0),"No","Yes")</f>
        <v>No</v>
      </c>
      <c r="BU185" s="705" t="str">
        <f>VLOOKUP(WWWW[[#This Row],[Village  Name]],SiteDB6[[Site Name]:[Location Type 1]],9,FALSE)</f>
        <v>Village</v>
      </c>
      <c r="BV185" s="705" t="str">
        <f>VLOOKUP(WWWW[[#This Row],[Village  Name]],SiteDB6[[Site Name]:[Type of Accommodation]],10,FALSE)</f>
        <v>Village</v>
      </c>
      <c r="BW185" s="705">
        <f>VLOOKUP(WWWW[[#This Row],[Village  Name]],SiteDB6[[Site Name]:[Ethnic or GCA/NGCA]],11,FALSE)</f>
        <v>0</v>
      </c>
      <c r="BX185" s="705">
        <f>VLOOKUP(WWWW[[#This Row],[Village  Name]],SiteDB6[[Site Name]:[Lat]],12,FALSE)</f>
        <v>0</v>
      </c>
      <c r="BY185" s="705">
        <f>VLOOKUP(WWWW[[#This Row],[Village  Name]],SiteDB6[[Site Name]:[Long]],13,FALSE)</f>
        <v>0</v>
      </c>
      <c r="BZ185" s="705">
        <f>VLOOKUP(WWWW[[#This Row],[Village  Name]],SiteDB6[[Site Name]:[Pcode]],3,FALSE)</f>
        <v>0</v>
      </c>
      <c r="CA185" s="705" t="str">
        <f t="shared" si="10"/>
        <v>Covered</v>
      </c>
      <c r="CB185" s="715"/>
    </row>
    <row r="186" spans="1:80">
      <c r="A186" s="774" t="s">
        <v>3150</v>
      </c>
      <c r="B186" s="703" t="s">
        <v>2812</v>
      </c>
      <c r="C186" s="703" t="s">
        <v>2812</v>
      </c>
      <c r="D186" s="704" t="s">
        <v>3176</v>
      </c>
      <c r="E186" s="704" t="s">
        <v>36</v>
      </c>
      <c r="F186" s="704" t="s">
        <v>132</v>
      </c>
      <c r="G186" s="705" t="str">
        <f>VLOOKUP(WWWW[[#This Row],[Village  Name]],SiteDB6[[Site Name]:[Location Type]],8,FALSE)</f>
        <v>Village</v>
      </c>
      <c r="H186" s="704" t="s">
        <v>3182</v>
      </c>
      <c r="I186" s="706">
        <v>17</v>
      </c>
      <c r="J186" s="706">
        <v>126</v>
      </c>
      <c r="K186" s="707">
        <v>43081</v>
      </c>
      <c r="L186" s="708">
        <v>44104</v>
      </c>
      <c r="M186" s="706"/>
      <c r="N186" s="706"/>
      <c r="O186" s="524">
        <v>1</v>
      </c>
      <c r="P186" s="706"/>
      <c r="Q186" s="706"/>
      <c r="R186" s="706"/>
      <c r="S186" s="706"/>
      <c r="T186" s="706"/>
      <c r="U186" s="709"/>
      <c r="V186" s="706">
        <v>13</v>
      </c>
      <c r="W186" s="706"/>
      <c r="X186" s="706"/>
      <c r="Y186" s="706"/>
      <c r="Z186" s="706"/>
      <c r="AA186" s="706"/>
      <c r="AB186" s="706"/>
      <c r="AC186" s="709"/>
      <c r="AD186" s="706">
        <v>6</v>
      </c>
      <c r="AE186" s="706">
        <v>10</v>
      </c>
      <c r="AF186" s="706"/>
      <c r="AG186" s="706"/>
      <c r="AH186" s="706"/>
      <c r="AI186" s="706"/>
      <c r="AJ186" s="524"/>
      <c r="AK186" s="706"/>
      <c r="AL186" s="524"/>
      <c r="AM186" s="524"/>
      <c r="AN186" s="709"/>
      <c r="AO186" s="477"/>
      <c r="AP186" s="477"/>
      <c r="AQ186" s="524"/>
      <c r="AR186" s="524"/>
      <c r="AS186" s="524"/>
      <c r="AT186"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86" s="711">
        <f>WWWW[[#This Row],[%Equitable and continuous access to sufficient quantity of safe drinking water]]*WWWW[[#This Row],[Total PoP ]]</f>
        <v>126</v>
      </c>
      <c r="AV186"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86" s="711">
        <f>WWWW[[#This Row],[% Access to unimproved water points]]*WWWW[[#This Row],[Total PoP ]]</f>
        <v>0</v>
      </c>
      <c r="AX186"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86"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126</v>
      </c>
      <c r="AZ186" s="711">
        <f>WWWW[[#This Row],[HRP1]]/250</f>
        <v>0.504</v>
      </c>
      <c r="BA186" s="713">
        <f>1-WWWW[[#This Row],[% Equitable and continuous access to sufficient quantity of domestic water]]</f>
        <v>0</v>
      </c>
      <c r="BB186" s="711">
        <f>WWWW[[#This Row],[%equitable and continuous access to sufficient quantity of safe drinking and domestic water''s GAP]]*WWWW[[#This Row],[Total PoP ]]</f>
        <v>0</v>
      </c>
      <c r="BC186" s="714">
        <f>IF(WWWW[[#This Row],[Total required water points]]-WWWW[[#This Row],['#Water points coverage]]&lt;0,0,WWWW[[#This Row],[Total required water points]]-WWWW[[#This Row],['#Water points coverage]])</f>
        <v>0.496</v>
      </c>
      <c r="BD186" s="714">
        <f>ROUND(IF(WWWW[[#This Row],[Total PoP ]]&lt;250,1,WWWW[[#This Row],[Total PoP ]]/250),0)</f>
        <v>1</v>
      </c>
      <c r="BE18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0.61904761904761907</v>
      </c>
      <c r="BF186" s="711">
        <f>WWWW[[#This Row],[% people access to functioning Latrine]]*WWWW[[#This Row],[Total PoP ]]</f>
        <v>78</v>
      </c>
      <c r="BG186" s="714">
        <f>WWWW[[#This Row],['#_of_Functioning_latrines_in_school]]*50</f>
        <v>0</v>
      </c>
      <c r="BH186" s="714">
        <f>ROUND((WWWW[[#This Row],[Total PoP ]]/6),0)</f>
        <v>21</v>
      </c>
      <c r="BI186" s="714">
        <f>IF(WWWW[[#This Row],[Total required Latrines]]-(WWWW[[#This Row],['#_of_sanitary_fly-proof_HH_latrines]])&lt;0,0,WWWW[[#This Row],[Total required Latrines]]-(WWWW[[#This Row],['#_of_sanitary_fly-proof_HH_latrines]]))</f>
        <v>8</v>
      </c>
      <c r="BJ186" s="710">
        <f>1-WWWW[[#This Row],[% people access to functioning Latrine]]</f>
        <v>0.38095238095238093</v>
      </c>
      <c r="BK186"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16</v>
      </c>
      <c r="BL186" s="483">
        <f>IF(WWWW[[#This Row],['#_of_functional_handwashing_facilities_at_HH_level]]*6&gt;WWWW[[#This Row],[Total PoP ]],WWWW[[#This Row],[Total PoP ]],WWWW[[#This Row],['#_of_functional_handwashing_facilities_at_HH_level]]*6)</f>
        <v>0</v>
      </c>
      <c r="BM186" s="714">
        <f>IF(WWWW[[#This Row],['# people reached by regular dedicated hygiene promotion]]&gt;WWWW[[#This Row],['# People received regular supply of hygiene items]],WWWW[[#This Row],['# people reached by regular dedicated hygiene promotion]],WWWW[[#This Row],['# People received regular supply of hygiene items]])</f>
        <v>16</v>
      </c>
      <c r="BN186" s="713">
        <f>IF(WWWW[[#This Row],[HRP3]]/WWWW[[#This Row],[Total PoP ]]&gt;100%,100%,WWWW[[#This Row],[HRP3]]/WWWW[[#This Row],[Total PoP ]])</f>
        <v>0.12698412698412698</v>
      </c>
      <c r="BO186" s="710">
        <f>1-WWWW[[#This Row],[Hygiene Coverage%]]</f>
        <v>0.87301587301587302</v>
      </c>
      <c r="BP186" s="712">
        <f>WWWW[[#This Row],['# people reached by regular dedicated hygiene promotion]]/WWWW[[#This Row],[Total PoP ]]</f>
        <v>0.12698412698412698</v>
      </c>
      <c r="BQ18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6" s="478">
        <f>WWWW[[#This Row],['#_of_affected_women_and_girls_receiving_a_sufficient_quantity_of_sanitary_pads]]</f>
        <v>0</v>
      </c>
      <c r="BS186" s="524">
        <f>IF(WWWW[[#This Row],['# People with access to soap]]&gt;WWWW[[#This Row],['# People with access to Sanity Pads]],WWWW[[#This Row],['# People with access to soap]],WWWW[[#This Row],['# People with access to Sanity Pads]])</f>
        <v>0</v>
      </c>
      <c r="BT186" s="483" t="str">
        <f>IF(OR(WWWW[[#This Row],['#of students in school]]="",WWWW[[#This Row],['#of students in school]]=0),"No","Yes")</f>
        <v>No</v>
      </c>
      <c r="BU186" s="705" t="str">
        <f>VLOOKUP(WWWW[[#This Row],[Village  Name]],SiteDB6[[Site Name]:[Location Type 1]],9,FALSE)</f>
        <v>Village</v>
      </c>
      <c r="BV186" s="705" t="str">
        <f>VLOOKUP(WWWW[[#This Row],[Village  Name]],SiteDB6[[Site Name]:[Type of Accommodation]],10,FALSE)</f>
        <v>Village</v>
      </c>
      <c r="BW186" s="705">
        <f>VLOOKUP(WWWW[[#This Row],[Village  Name]],SiteDB6[[Site Name]:[Ethnic or GCA/NGCA]],11,FALSE)</f>
        <v>0</v>
      </c>
      <c r="BX186" s="705">
        <f>VLOOKUP(WWWW[[#This Row],[Village  Name]],SiteDB6[[Site Name]:[Lat]],12,FALSE)</f>
        <v>0</v>
      </c>
      <c r="BY186" s="705">
        <f>VLOOKUP(WWWW[[#This Row],[Village  Name]],SiteDB6[[Site Name]:[Long]],13,FALSE)</f>
        <v>0</v>
      </c>
      <c r="BZ186" s="705">
        <f>VLOOKUP(WWWW[[#This Row],[Village  Name]],SiteDB6[[Site Name]:[Pcode]],3,FALSE)</f>
        <v>0</v>
      </c>
      <c r="CA186" s="705" t="str">
        <f t="shared" si="10"/>
        <v>Covered</v>
      </c>
      <c r="CB186" s="715"/>
    </row>
    <row r="187" spans="1:80">
      <c r="A187" s="774" t="s">
        <v>3150</v>
      </c>
      <c r="B187" s="703" t="s">
        <v>2812</v>
      </c>
      <c r="C187" s="703" t="s">
        <v>2812</v>
      </c>
      <c r="D187" s="704" t="s">
        <v>3176</v>
      </c>
      <c r="E187" s="704" t="s">
        <v>36</v>
      </c>
      <c r="F187" s="704" t="s">
        <v>132</v>
      </c>
      <c r="G187" s="705" t="str">
        <f>VLOOKUP(WWWW[[#This Row],[Village  Name]],SiteDB6[[Site Name]:[Location Type]],8,FALSE)</f>
        <v>Village</v>
      </c>
      <c r="H187" s="704" t="s">
        <v>1869</v>
      </c>
      <c r="I187" s="706">
        <v>31</v>
      </c>
      <c r="J187" s="706">
        <v>135</v>
      </c>
      <c r="K187" s="707">
        <v>43081</v>
      </c>
      <c r="L187" s="708">
        <v>44104</v>
      </c>
      <c r="M187" s="706"/>
      <c r="N187" s="706"/>
      <c r="O187" s="524">
        <v>1</v>
      </c>
      <c r="P187" s="706"/>
      <c r="Q187" s="706"/>
      <c r="R187" s="706"/>
      <c r="S187" s="706"/>
      <c r="T187" s="706"/>
      <c r="U187" s="709"/>
      <c r="V187" s="706"/>
      <c r="W187" s="706"/>
      <c r="X187" s="706"/>
      <c r="Y187" s="706"/>
      <c r="Z187" s="706"/>
      <c r="AA187" s="706"/>
      <c r="AB187" s="706"/>
      <c r="AC187" s="709"/>
      <c r="AD187" s="706">
        <v>9</v>
      </c>
      <c r="AE187" s="706">
        <v>8</v>
      </c>
      <c r="AF187" s="706"/>
      <c r="AG187" s="706"/>
      <c r="AH187" s="706"/>
      <c r="AI187" s="706"/>
      <c r="AJ187" s="524"/>
      <c r="AK187" s="706"/>
      <c r="AL187" s="524"/>
      <c r="AM187" s="524"/>
      <c r="AN187" s="709"/>
      <c r="AO187" s="477"/>
      <c r="AP187" s="477"/>
      <c r="AQ187" s="524"/>
      <c r="AR187" s="524"/>
      <c r="AS187" s="524"/>
      <c r="AT187"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87" s="711">
        <f>WWWW[[#This Row],[%Equitable and continuous access to sufficient quantity of safe drinking water]]*WWWW[[#This Row],[Total PoP ]]</f>
        <v>135</v>
      </c>
      <c r="AV187"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87" s="711">
        <f>WWWW[[#This Row],[% Access to unimproved water points]]*WWWW[[#This Row],[Total PoP ]]</f>
        <v>0</v>
      </c>
      <c r="AX187"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87"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135</v>
      </c>
      <c r="AZ187" s="711">
        <f>WWWW[[#This Row],[HRP1]]/250</f>
        <v>0.54</v>
      </c>
      <c r="BA187" s="713">
        <f>1-WWWW[[#This Row],[% Equitable and continuous access to sufficient quantity of domestic water]]</f>
        <v>0</v>
      </c>
      <c r="BB187" s="711">
        <f>WWWW[[#This Row],[%equitable and continuous access to sufficient quantity of safe drinking and domestic water''s GAP]]*WWWW[[#This Row],[Total PoP ]]</f>
        <v>0</v>
      </c>
      <c r="BC187" s="714">
        <f>IF(WWWW[[#This Row],[Total required water points]]-WWWW[[#This Row],['#Water points coverage]]&lt;0,0,WWWW[[#This Row],[Total required water points]]-WWWW[[#This Row],['#Water points coverage]])</f>
        <v>0.45999999999999996</v>
      </c>
      <c r="BD187" s="714">
        <f>ROUND(IF(WWWW[[#This Row],[Total PoP ]]&lt;250,1,WWWW[[#This Row],[Total PoP ]]/250),0)</f>
        <v>1</v>
      </c>
      <c r="BE18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87" s="711">
        <f>WWWW[[#This Row],[% people access to functioning Latrine]]*WWWW[[#This Row],[Total PoP ]]</f>
        <v>0</v>
      </c>
      <c r="BG187" s="714">
        <f>WWWW[[#This Row],['#_of_Functioning_latrines_in_school]]*50</f>
        <v>0</v>
      </c>
      <c r="BH187" s="714">
        <f>ROUND((WWWW[[#This Row],[Total PoP ]]/6),0)</f>
        <v>23</v>
      </c>
      <c r="BI187" s="714">
        <f>IF(WWWW[[#This Row],[Total required Latrines]]-(WWWW[[#This Row],['#_of_sanitary_fly-proof_HH_latrines]])&lt;0,0,WWWW[[#This Row],[Total required Latrines]]-(WWWW[[#This Row],['#_of_sanitary_fly-proof_HH_latrines]]))</f>
        <v>23</v>
      </c>
      <c r="BJ187" s="710">
        <f>1-WWWW[[#This Row],[% people access to functioning Latrine]]</f>
        <v>1</v>
      </c>
      <c r="BK187"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17</v>
      </c>
      <c r="BL187" s="483">
        <f>IF(WWWW[[#This Row],['#_of_functional_handwashing_facilities_at_HH_level]]*6&gt;WWWW[[#This Row],[Total PoP ]],WWWW[[#This Row],[Total PoP ]],WWWW[[#This Row],['#_of_functional_handwashing_facilities_at_HH_level]]*6)</f>
        <v>0</v>
      </c>
      <c r="BM187" s="714">
        <f>IF(WWWW[[#This Row],['# people reached by regular dedicated hygiene promotion]]&gt;WWWW[[#This Row],['# People received regular supply of hygiene items]],WWWW[[#This Row],['# people reached by regular dedicated hygiene promotion]],WWWW[[#This Row],['# People received regular supply of hygiene items]])</f>
        <v>17</v>
      </c>
      <c r="BN187" s="713">
        <f>IF(WWWW[[#This Row],[HRP3]]/WWWW[[#This Row],[Total PoP ]]&gt;100%,100%,WWWW[[#This Row],[HRP3]]/WWWW[[#This Row],[Total PoP ]])</f>
        <v>0.12592592592592591</v>
      </c>
      <c r="BO187" s="710">
        <f>1-WWWW[[#This Row],[Hygiene Coverage%]]</f>
        <v>0.87407407407407411</v>
      </c>
      <c r="BP187" s="712">
        <f>WWWW[[#This Row],['# people reached by regular dedicated hygiene promotion]]/WWWW[[#This Row],[Total PoP ]]</f>
        <v>0.12592592592592591</v>
      </c>
      <c r="BQ18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7" s="478">
        <f>WWWW[[#This Row],['#_of_affected_women_and_girls_receiving_a_sufficient_quantity_of_sanitary_pads]]</f>
        <v>0</v>
      </c>
      <c r="BS187" s="524">
        <f>IF(WWWW[[#This Row],['# People with access to soap]]&gt;WWWW[[#This Row],['# People with access to Sanity Pads]],WWWW[[#This Row],['# People with access to soap]],WWWW[[#This Row],['# People with access to Sanity Pads]])</f>
        <v>0</v>
      </c>
      <c r="BT187" s="483" t="str">
        <f>IF(OR(WWWW[[#This Row],['#of students in school]]="",WWWW[[#This Row],['#of students in school]]=0),"No","Yes")</f>
        <v>No</v>
      </c>
      <c r="BU187" s="705" t="str">
        <f>VLOOKUP(WWWW[[#This Row],[Village  Name]],SiteDB6[[Site Name]:[Location Type 1]],9,FALSE)</f>
        <v>Village</v>
      </c>
      <c r="BV187" s="705" t="str">
        <f>VLOOKUP(WWWW[[#This Row],[Village  Name]],SiteDB6[[Site Name]:[Type of Accommodation]],10,FALSE)</f>
        <v>Village</v>
      </c>
      <c r="BW187" s="705">
        <f>VLOOKUP(WWWW[[#This Row],[Village  Name]],SiteDB6[[Site Name]:[Ethnic or GCA/NGCA]],11,FALSE)</f>
        <v>0</v>
      </c>
      <c r="BX187" s="705">
        <f>VLOOKUP(WWWW[[#This Row],[Village  Name]],SiteDB6[[Site Name]:[Lat]],12,FALSE)</f>
        <v>0</v>
      </c>
      <c r="BY187" s="705">
        <f>VLOOKUP(WWWW[[#This Row],[Village  Name]],SiteDB6[[Site Name]:[Long]],13,FALSE)</f>
        <v>0</v>
      </c>
      <c r="BZ187" s="705">
        <f>VLOOKUP(WWWW[[#This Row],[Village  Name]],SiteDB6[[Site Name]:[Pcode]],3,FALSE)</f>
        <v>0</v>
      </c>
      <c r="CA187" s="705" t="str">
        <f t="shared" si="10"/>
        <v>Covered</v>
      </c>
      <c r="CB187" s="715"/>
    </row>
    <row r="188" spans="1:80">
      <c r="A188" s="774" t="s">
        <v>3150</v>
      </c>
      <c r="B188" s="703" t="s">
        <v>2812</v>
      </c>
      <c r="C188" s="703" t="s">
        <v>2812</v>
      </c>
      <c r="D188" s="704" t="s">
        <v>3176</v>
      </c>
      <c r="E188" s="704" t="s">
        <v>36</v>
      </c>
      <c r="F188" s="704" t="s">
        <v>149</v>
      </c>
      <c r="G188" s="705" t="str">
        <f>VLOOKUP(WWWW[[#This Row],[Village  Name]],SiteDB6[[Site Name]:[Location Type]],8,FALSE)</f>
        <v>Village</v>
      </c>
      <c r="H188" s="704" t="s">
        <v>3183</v>
      </c>
      <c r="I188" s="706">
        <v>97</v>
      </c>
      <c r="J188" s="706">
        <v>482</v>
      </c>
      <c r="K188" s="707">
        <v>43081</v>
      </c>
      <c r="L188" s="708">
        <v>44104</v>
      </c>
      <c r="M188" s="706"/>
      <c r="N188" s="706"/>
      <c r="O188" s="524">
        <v>2</v>
      </c>
      <c r="P188" s="706"/>
      <c r="Q188" s="706"/>
      <c r="R188" s="706"/>
      <c r="S188" s="706"/>
      <c r="T188" s="706"/>
      <c r="U188" s="709"/>
      <c r="V188" s="706">
        <v>50</v>
      </c>
      <c r="W188" s="706"/>
      <c r="X188" s="706">
        <v>2</v>
      </c>
      <c r="Y188" s="706"/>
      <c r="Z188" s="706"/>
      <c r="AA188" s="706"/>
      <c r="AB188" s="706"/>
      <c r="AC188" s="709"/>
      <c r="AD188" s="706">
        <v>15</v>
      </c>
      <c r="AE188" s="706">
        <v>12</v>
      </c>
      <c r="AF188" s="706"/>
      <c r="AG188" s="706"/>
      <c r="AH188" s="706"/>
      <c r="AI188" s="706"/>
      <c r="AJ188" s="524"/>
      <c r="AK188" s="706"/>
      <c r="AL188" s="524"/>
      <c r="AM188" s="524"/>
      <c r="AN188" s="709"/>
      <c r="AO188" s="477"/>
      <c r="AP188" s="477"/>
      <c r="AQ188" s="524"/>
      <c r="AR188" s="524"/>
      <c r="AS188" s="524"/>
      <c r="AT188"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88" s="711">
        <f>WWWW[[#This Row],[%Equitable and continuous access to sufficient quantity of safe drinking water]]*WWWW[[#This Row],[Total PoP ]]</f>
        <v>482</v>
      </c>
      <c r="AV188"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88" s="711">
        <f>WWWW[[#This Row],[% Access to unimproved water points]]*WWWW[[#This Row],[Total PoP ]]</f>
        <v>0</v>
      </c>
      <c r="AX188"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88"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482</v>
      </c>
      <c r="AZ188" s="711">
        <f>WWWW[[#This Row],[HRP1]]/250</f>
        <v>1.9279999999999999</v>
      </c>
      <c r="BA188" s="713">
        <f>1-WWWW[[#This Row],[% Equitable and continuous access to sufficient quantity of domestic water]]</f>
        <v>0</v>
      </c>
      <c r="BB188" s="711">
        <f>WWWW[[#This Row],[%equitable and continuous access to sufficient quantity of safe drinking and domestic water''s GAP]]*WWWW[[#This Row],[Total PoP ]]</f>
        <v>0</v>
      </c>
      <c r="BC188" s="714">
        <f>IF(WWWW[[#This Row],[Total required water points]]-WWWW[[#This Row],['#Water points coverage]]&lt;0,0,WWWW[[#This Row],[Total required water points]]-WWWW[[#This Row],['#Water points coverage]])</f>
        <v>7.2000000000000064E-2</v>
      </c>
      <c r="BD188" s="714">
        <f>ROUND(IF(WWWW[[#This Row],[Total PoP ]]&lt;250,1,WWWW[[#This Row],[Total PoP ]]/250),0)</f>
        <v>2</v>
      </c>
      <c r="BE18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0.62240663900414939</v>
      </c>
      <c r="BF188" s="711">
        <f>WWWW[[#This Row],[% people access to functioning Latrine]]*WWWW[[#This Row],[Total PoP ]]</f>
        <v>300</v>
      </c>
      <c r="BG188" s="714">
        <f>WWWW[[#This Row],['#_of_Functioning_latrines_in_school]]*50</f>
        <v>100</v>
      </c>
      <c r="BH188" s="714">
        <f>ROUND((WWWW[[#This Row],[Total PoP ]]/6),0)</f>
        <v>80</v>
      </c>
      <c r="BI188" s="714">
        <f>IF(WWWW[[#This Row],[Total required Latrines]]-(WWWW[[#This Row],['#_of_sanitary_fly-proof_HH_latrines]])&lt;0,0,WWWW[[#This Row],[Total required Latrines]]-(WWWW[[#This Row],['#_of_sanitary_fly-proof_HH_latrines]]))</f>
        <v>30</v>
      </c>
      <c r="BJ188" s="710">
        <f>1-WWWW[[#This Row],[% people access to functioning Latrine]]</f>
        <v>0.37759336099585061</v>
      </c>
      <c r="BK188"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27</v>
      </c>
      <c r="BL188" s="483">
        <f>IF(WWWW[[#This Row],['#_of_functional_handwashing_facilities_at_HH_level]]*6&gt;WWWW[[#This Row],[Total PoP ]],WWWW[[#This Row],[Total PoP ]],WWWW[[#This Row],['#_of_functional_handwashing_facilities_at_HH_level]]*6)</f>
        <v>0</v>
      </c>
      <c r="BM188" s="714">
        <f>IF(WWWW[[#This Row],['# people reached by regular dedicated hygiene promotion]]&gt;WWWW[[#This Row],['# People received regular supply of hygiene items]],WWWW[[#This Row],['# people reached by regular dedicated hygiene promotion]],WWWW[[#This Row],['# People received regular supply of hygiene items]])</f>
        <v>27</v>
      </c>
      <c r="BN188" s="713">
        <f>IF(WWWW[[#This Row],[HRP3]]/WWWW[[#This Row],[Total PoP ]]&gt;100%,100%,WWWW[[#This Row],[HRP3]]/WWWW[[#This Row],[Total PoP ]])</f>
        <v>5.6016597510373446E-2</v>
      </c>
      <c r="BO188" s="710">
        <f>1-WWWW[[#This Row],[Hygiene Coverage%]]</f>
        <v>0.94398340248962653</v>
      </c>
      <c r="BP188" s="712">
        <f>WWWW[[#This Row],['# people reached by regular dedicated hygiene promotion]]/WWWW[[#This Row],[Total PoP ]]</f>
        <v>5.6016597510373446E-2</v>
      </c>
      <c r="BQ18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8" s="478">
        <f>WWWW[[#This Row],['#_of_affected_women_and_girls_receiving_a_sufficient_quantity_of_sanitary_pads]]</f>
        <v>0</v>
      </c>
      <c r="BS188" s="524">
        <f>IF(WWWW[[#This Row],['# People with access to soap]]&gt;WWWW[[#This Row],['# People with access to Sanity Pads]],WWWW[[#This Row],['# People with access to soap]],WWWW[[#This Row],['# People with access to Sanity Pads]])</f>
        <v>0</v>
      </c>
      <c r="BT188" s="483" t="str">
        <f>IF(OR(WWWW[[#This Row],['#of students in school]]="",WWWW[[#This Row],['#of students in school]]=0),"No","Yes")</f>
        <v>No</v>
      </c>
      <c r="BU188" s="705" t="str">
        <f>VLOOKUP(WWWW[[#This Row],[Village  Name]],SiteDB6[[Site Name]:[Location Type 1]],9,FALSE)</f>
        <v>Village</v>
      </c>
      <c r="BV188" s="705" t="str">
        <f>VLOOKUP(WWWW[[#This Row],[Village  Name]],SiteDB6[[Site Name]:[Type of Accommodation]],10,FALSE)</f>
        <v>Village</v>
      </c>
      <c r="BW188" s="705">
        <f>VLOOKUP(WWWW[[#This Row],[Village  Name]],SiteDB6[[Site Name]:[Ethnic or GCA/NGCA]],11,FALSE)</f>
        <v>0</v>
      </c>
      <c r="BX188" s="705">
        <f>VLOOKUP(WWWW[[#This Row],[Village  Name]],SiteDB6[[Site Name]:[Lat]],12,FALSE)</f>
        <v>0</v>
      </c>
      <c r="BY188" s="705">
        <f>VLOOKUP(WWWW[[#This Row],[Village  Name]],SiteDB6[[Site Name]:[Long]],13,FALSE)</f>
        <v>0</v>
      </c>
      <c r="BZ188" s="705">
        <f>VLOOKUP(WWWW[[#This Row],[Village  Name]],SiteDB6[[Site Name]:[Pcode]],3,FALSE)</f>
        <v>0</v>
      </c>
      <c r="CA188" s="705" t="str">
        <f t="shared" si="10"/>
        <v>Covered</v>
      </c>
      <c r="CB188" s="715"/>
    </row>
    <row r="189" spans="1:80">
      <c r="A189" s="774" t="s">
        <v>3150</v>
      </c>
      <c r="B189" s="703" t="s">
        <v>2812</v>
      </c>
      <c r="C189" s="703" t="s">
        <v>2812</v>
      </c>
      <c r="D189" s="704" t="s">
        <v>3176</v>
      </c>
      <c r="E189" s="704" t="s">
        <v>36</v>
      </c>
      <c r="F189" s="704" t="s">
        <v>132</v>
      </c>
      <c r="G189" s="705" t="str">
        <f>VLOOKUP(WWWW[[#This Row],[Village  Name]],SiteDB6[[Site Name]:[Location Type]],8,FALSE)</f>
        <v>Village</v>
      </c>
      <c r="H189" s="704" t="s">
        <v>3184</v>
      </c>
      <c r="I189" s="706">
        <v>59</v>
      </c>
      <c r="J189" s="706">
        <v>305</v>
      </c>
      <c r="K189" s="707">
        <v>43081</v>
      </c>
      <c r="L189" s="708">
        <v>44104</v>
      </c>
      <c r="M189" s="706"/>
      <c r="N189" s="706"/>
      <c r="O189" s="524">
        <v>1</v>
      </c>
      <c r="P189" s="706"/>
      <c r="Q189" s="706"/>
      <c r="R189" s="706"/>
      <c r="S189" s="706"/>
      <c r="T189" s="706"/>
      <c r="U189" s="709"/>
      <c r="V189" s="706"/>
      <c r="W189" s="706"/>
      <c r="X189" s="706"/>
      <c r="Y189" s="706"/>
      <c r="Z189" s="706"/>
      <c r="AA189" s="706"/>
      <c r="AB189" s="706"/>
      <c r="AC189" s="709"/>
      <c r="AD189" s="706">
        <v>3</v>
      </c>
      <c r="AE189" s="706">
        <v>10</v>
      </c>
      <c r="AF189" s="706"/>
      <c r="AG189" s="706"/>
      <c r="AH189" s="706"/>
      <c r="AI189" s="706"/>
      <c r="AJ189" s="524"/>
      <c r="AK189" s="706"/>
      <c r="AL189" s="524"/>
      <c r="AM189" s="524"/>
      <c r="AN189" s="709"/>
      <c r="AO189" s="477"/>
      <c r="AP189" s="477"/>
      <c r="AQ189" s="524"/>
      <c r="AR189" s="524"/>
      <c r="AS189" s="524"/>
      <c r="AT189"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89" s="711">
        <f>WWWW[[#This Row],[%Equitable and continuous access to sufficient quantity of safe drinking water]]*WWWW[[#This Row],[Total PoP ]]</f>
        <v>305</v>
      </c>
      <c r="AV189"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89" s="711">
        <f>WWWW[[#This Row],[% Access to unimproved water points]]*WWWW[[#This Row],[Total PoP ]]</f>
        <v>0</v>
      </c>
      <c r="AX189"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89"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305</v>
      </c>
      <c r="AZ189" s="711">
        <f>WWWW[[#This Row],[HRP1]]/250</f>
        <v>1.22</v>
      </c>
      <c r="BA189" s="713">
        <f>1-WWWW[[#This Row],[% Equitable and continuous access to sufficient quantity of domestic water]]</f>
        <v>0</v>
      </c>
      <c r="BB189" s="711">
        <f>WWWW[[#This Row],[%equitable and continuous access to sufficient quantity of safe drinking and domestic water''s GAP]]*WWWW[[#This Row],[Total PoP ]]</f>
        <v>0</v>
      </c>
      <c r="BC189" s="714">
        <f>IF(WWWW[[#This Row],[Total required water points]]-WWWW[[#This Row],['#Water points coverage]]&lt;0,0,WWWW[[#This Row],[Total required water points]]-WWWW[[#This Row],['#Water points coverage]])</f>
        <v>0</v>
      </c>
      <c r="BD189" s="714">
        <f>ROUND(IF(WWWW[[#This Row],[Total PoP ]]&lt;250,1,WWWW[[#This Row],[Total PoP ]]/250),0)</f>
        <v>1</v>
      </c>
      <c r="BE18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89" s="711">
        <f>WWWW[[#This Row],[% people access to functioning Latrine]]*WWWW[[#This Row],[Total PoP ]]</f>
        <v>0</v>
      </c>
      <c r="BG189" s="714">
        <f>WWWW[[#This Row],['#_of_Functioning_latrines_in_school]]*50</f>
        <v>0</v>
      </c>
      <c r="BH189" s="714">
        <f>ROUND((WWWW[[#This Row],[Total PoP ]]/6),0)</f>
        <v>51</v>
      </c>
      <c r="BI189" s="714">
        <f>IF(WWWW[[#This Row],[Total required Latrines]]-(WWWW[[#This Row],['#_of_sanitary_fly-proof_HH_latrines]])&lt;0,0,WWWW[[#This Row],[Total required Latrines]]-(WWWW[[#This Row],['#_of_sanitary_fly-proof_HH_latrines]]))</f>
        <v>51</v>
      </c>
      <c r="BJ189" s="710">
        <f>1-WWWW[[#This Row],[% people access to functioning Latrine]]</f>
        <v>1</v>
      </c>
      <c r="BK189"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13</v>
      </c>
      <c r="BL189" s="483">
        <f>IF(WWWW[[#This Row],['#_of_functional_handwashing_facilities_at_HH_level]]*6&gt;WWWW[[#This Row],[Total PoP ]],WWWW[[#This Row],[Total PoP ]],WWWW[[#This Row],['#_of_functional_handwashing_facilities_at_HH_level]]*6)</f>
        <v>0</v>
      </c>
      <c r="BM189" s="714">
        <f>IF(WWWW[[#This Row],['# people reached by regular dedicated hygiene promotion]]&gt;WWWW[[#This Row],['# People received regular supply of hygiene items]],WWWW[[#This Row],['# people reached by regular dedicated hygiene promotion]],WWWW[[#This Row],['# People received regular supply of hygiene items]])</f>
        <v>13</v>
      </c>
      <c r="BN189" s="713">
        <f>IF(WWWW[[#This Row],[HRP3]]/WWWW[[#This Row],[Total PoP ]]&gt;100%,100%,WWWW[[#This Row],[HRP3]]/WWWW[[#This Row],[Total PoP ]])</f>
        <v>4.2622950819672129E-2</v>
      </c>
      <c r="BO189" s="710">
        <f>1-WWWW[[#This Row],[Hygiene Coverage%]]</f>
        <v>0.95737704918032784</v>
      </c>
      <c r="BP189" s="712">
        <f>WWWW[[#This Row],['# people reached by regular dedicated hygiene promotion]]/WWWW[[#This Row],[Total PoP ]]</f>
        <v>4.2622950819672129E-2</v>
      </c>
      <c r="BQ18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89" s="478">
        <f>WWWW[[#This Row],['#_of_affected_women_and_girls_receiving_a_sufficient_quantity_of_sanitary_pads]]</f>
        <v>0</v>
      </c>
      <c r="BS189" s="524">
        <f>IF(WWWW[[#This Row],['# People with access to soap]]&gt;WWWW[[#This Row],['# People with access to Sanity Pads]],WWWW[[#This Row],['# People with access to soap]],WWWW[[#This Row],['# People with access to Sanity Pads]])</f>
        <v>0</v>
      </c>
      <c r="BT189" s="483" t="str">
        <f>IF(OR(WWWW[[#This Row],['#of students in school]]="",WWWW[[#This Row],['#of students in school]]=0),"No","Yes")</f>
        <v>No</v>
      </c>
      <c r="BU189" s="705" t="str">
        <f>VLOOKUP(WWWW[[#This Row],[Village  Name]],SiteDB6[[Site Name]:[Location Type 1]],9,FALSE)</f>
        <v>Village</v>
      </c>
      <c r="BV189" s="705" t="str">
        <f>VLOOKUP(WWWW[[#This Row],[Village  Name]],SiteDB6[[Site Name]:[Type of Accommodation]],10,FALSE)</f>
        <v>Village</v>
      </c>
      <c r="BW189" s="705">
        <f>VLOOKUP(WWWW[[#This Row],[Village  Name]],SiteDB6[[Site Name]:[Ethnic or GCA/NGCA]],11,FALSE)</f>
        <v>0</v>
      </c>
      <c r="BX189" s="705">
        <f>VLOOKUP(WWWW[[#This Row],[Village  Name]],SiteDB6[[Site Name]:[Lat]],12,FALSE)</f>
        <v>0</v>
      </c>
      <c r="BY189" s="705">
        <f>VLOOKUP(WWWW[[#This Row],[Village  Name]],SiteDB6[[Site Name]:[Long]],13,FALSE)</f>
        <v>0</v>
      </c>
      <c r="BZ189" s="705">
        <f>VLOOKUP(WWWW[[#This Row],[Village  Name]],SiteDB6[[Site Name]:[Pcode]],3,FALSE)</f>
        <v>0</v>
      </c>
      <c r="CA189" s="705" t="str">
        <f t="shared" si="10"/>
        <v>Covered</v>
      </c>
      <c r="CB189" s="715"/>
    </row>
    <row r="190" spans="1:80">
      <c r="A190" s="774" t="s">
        <v>3150</v>
      </c>
      <c r="B190" s="703" t="s">
        <v>2812</v>
      </c>
      <c r="C190" s="703" t="s">
        <v>2812</v>
      </c>
      <c r="D190" s="704" t="s">
        <v>3176</v>
      </c>
      <c r="E190" s="704" t="s">
        <v>36</v>
      </c>
      <c r="F190" s="704" t="s">
        <v>132</v>
      </c>
      <c r="G190" s="705" t="str">
        <f>VLOOKUP(WWWW[[#This Row],[Village  Name]],SiteDB6[[Site Name]:[Location Type]],8,FALSE)</f>
        <v>Village</v>
      </c>
      <c r="H190" s="704" t="s">
        <v>3185</v>
      </c>
      <c r="I190" s="706">
        <v>72</v>
      </c>
      <c r="J190" s="706">
        <v>346</v>
      </c>
      <c r="K190" s="707">
        <v>43081</v>
      </c>
      <c r="L190" s="708">
        <v>44104</v>
      </c>
      <c r="M190" s="706"/>
      <c r="N190" s="706"/>
      <c r="O190" s="524"/>
      <c r="P190" s="706"/>
      <c r="Q190" s="706"/>
      <c r="R190" s="706"/>
      <c r="S190" s="706"/>
      <c r="T190" s="706"/>
      <c r="U190" s="709"/>
      <c r="V190" s="706">
        <v>25</v>
      </c>
      <c r="W190" s="706"/>
      <c r="X190" s="706"/>
      <c r="Y190" s="706"/>
      <c r="Z190" s="706"/>
      <c r="AA190" s="706"/>
      <c r="AB190" s="706"/>
      <c r="AC190" s="709"/>
      <c r="AD190" s="706">
        <v>5</v>
      </c>
      <c r="AE190" s="706">
        <v>20</v>
      </c>
      <c r="AF190" s="706"/>
      <c r="AG190" s="706"/>
      <c r="AH190" s="706"/>
      <c r="AI190" s="706"/>
      <c r="AJ190" s="524"/>
      <c r="AK190" s="706"/>
      <c r="AL190" s="524"/>
      <c r="AM190" s="524"/>
      <c r="AN190" s="709"/>
      <c r="AO190" s="477"/>
      <c r="AP190" s="477"/>
      <c r="AQ190" s="524"/>
      <c r="AR190" s="524"/>
      <c r="AS190" s="524"/>
      <c r="AT190"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90" s="711">
        <f>WWWW[[#This Row],[%Equitable and continuous access to sufficient quantity of safe drinking water]]*WWWW[[#This Row],[Total PoP ]]</f>
        <v>0</v>
      </c>
      <c r="AV190"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0" s="711">
        <f>WWWW[[#This Row],[% Access to unimproved water points]]*WWWW[[#This Row],[Total PoP ]]</f>
        <v>0</v>
      </c>
      <c r="AX190"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90"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90" s="711">
        <f>WWWW[[#This Row],[HRP1]]/250</f>
        <v>0</v>
      </c>
      <c r="BA190" s="713">
        <f>1-WWWW[[#This Row],[% Equitable and continuous access to sufficient quantity of domestic water]]</f>
        <v>1</v>
      </c>
      <c r="BB190" s="711">
        <f>WWWW[[#This Row],[%equitable and continuous access to sufficient quantity of safe drinking and domestic water''s GAP]]*WWWW[[#This Row],[Total PoP ]]</f>
        <v>346</v>
      </c>
      <c r="BC190" s="714">
        <f>IF(WWWW[[#This Row],[Total required water points]]-WWWW[[#This Row],['#Water points coverage]]&lt;0,0,WWWW[[#This Row],[Total required water points]]-WWWW[[#This Row],['#Water points coverage]])</f>
        <v>1</v>
      </c>
      <c r="BD190" s="714">
        <f>ROUND(IF(WWWW[[#This Row],[Total PoP ]]&lt;250,1,WWWW[[#This Row],[Total PoP ]]/250),0)</f>
        <v>1</v>
      </c>
      <c r="BE19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0.43352601156069365</v>
      </c>
      <c r="BF190" s="711">
        <f>WWWW[[#This Row],[% people access to functioning Latrine]]*WWWW[[#This Row],[Total PoP ]]</f>
        <v>150</v>
      </c>
      <c r="BG190" s="714">
        <f>WWWW[[#This Row],['#_of_Functioning_latrines_in_school]]*50</f>
        <v>0</v>
      </c>
      <c r="BH190" s="714">
        <f>ROUND((WWWW[[#This Row],[Total PoP ]]/6),0)</f>
        <v>58</v>
      </c>
      <c r="BI190" s="714">
        <f>IF(WWWW[[#This Row],[Total required Latrines]]-(WWWW[[#This Row],['#_of_sanitary_fly-proof_HH_latrines]])&lt;0,0,WWWW[[#This Row],[Total required Latrines]]-(WWWW[[#This Row],['#_of_sanitary_fly-proof_HH_latrines]]))</f>
        <v>33</v>
      </c>
      <c r="BJ190" s="710">
        <f>1-WWWW[[#This Row],[% people access to functioning Latrine]]</f>
        <v>0.56647398843930641</v>
      </c>
      <c r="BK190"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v>
      </c>
      <c r="BL190" s="483">
        <f>IF(WWWW[[#This Row],['#_of_functional_handwashing_facilities_at_HH_level]]*6&gt;WWWW[[#This Row],[Total PoP ]],WWWW[[#This Row],[Total PoP ]],WWWW[[#This Row],['#_of_functional_handwashing_facilities_at_HH_level]]*6)</f>
        <v>0</v>
      </c>
      <c r="BM190" s="714">
        <f>IF(WWWW[[#This Row],['# people reached by regular dedicated hygiene promotion]]&gt;WWWW[[#This Row],['# People received regular supply of hygiene items]],WWWW[[#This Row],['# people reached by regular dedicated hygiene promotion]],WWWW[[#This Row],['# People received regular supply of hygiene items]])</f>
        <v>25</v>
      </c>
      <c r="BN190" s="713">
        <f>IF(WWWW[[#This Row],[HRP3]]/WWWW[[#This Row],[Total PoP ]]&gt;100%,100%,WWWW[[#This Row],[HRP3]]/WWWW[[#This Row],[Total PoP ]])</f>
        <v>7.2254335260115612E-2</v>
      </c>
      <c r="BO190" s="710">
        <f>1-WWWW[[#This Row],[Hygiene Coverage%]]</f>
        <v>0.9277456647398844</v>
      </c>
      <c r="BP190" s="712">
        <f>WWWW[[#This Row],['# people reached by regular dedicated hygiene promotion]]/WWWW[[#This Row],[Total PoP ]]</f>
        <v>7.2254335260115612E-2</v>
      </c>
      <c r="BQ19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0" s="478">
        <f>WWWW[[#This Row],['#_of_affected_women_and_girls_receiving_a_sufficient_quantity_of_sanitary_pads]]</f>
        <v>0</v>
      </c>
      <c r="BS190" s="524">
        <f>IF(WWWW[[#This Row],['# People with access to soap]]&gt;WWWW[[#This Row],['# People with access to Sanity Pads]],WWWW[[#This Row],['# People with access to soap]],WWWW[[#This Row],['# People with access to Sanity Pads]])</f>
        <v>0</v>
      </c>
      <c r="BT190" s="483" t="str">
        <f>IF(OR(WWWW[[#This Row],['#of students in school]]="",WWWW[[#This Row],['#of students in school]]=0),"No","Yes")</f>
        <v>No</v>
      </c>
      <c r="BU190" s="705" t="str">
        <f>VLOOKUP(WWWW[[#This Row],[Village  Name]],SiteDB6[[Site Name]:[Location Type 1]],9,FALSE)</f>
        <v>Village</v>
      </c>
      <c r="BV190" s="705" t="str">
        <f>VLOOKUP(WWWW[[#This Row],[Village  Name]],SiteDB6[[Site Name]:[Type of Accommodation]],10,FALSE)</f>
        <v>Village</v>
      </c>
      <c r="BW190" s="705">
        <f>VLOOKUP(WWWW[[#This Row],[Village  Name]],SiteDB6[[Site Name]:[Ethnic or GCA/NGCA]],11,FALSE)</f>
        <v>0</v>
      </c>
      <c r="BX190" s="705">
        <f>VLOOKUP(WWWW[[#This Row],[Village  Name]],SiteDB6[[Site Name]:[Lat]],12,FALSE)</f>
        <v>0</v>
      </c>
      <c r="BY190" s="705">
        <f>VLOOKUP(WWWW[[#This Row],[Village  Name]],SiteDB6[[Site Name]:[Long]],13,FALSE)</f>
        <v>0</v>
      </c>
      <c r="BZ190" s="705">
        <f>VLOOKUP(WWWW[[#This Row],[Village  Name]],SiteDB6[[Site Name]:[Pcode]],3,FALSE)</f>
        <v>0</v>
      </c>
      <c r="CA190" s="705" t="str">
        <f t="shared" si="10"/>
        <v>Covered</v>
      </c>
      <c r="CB190" s="715"/>
    </row>
    <row r="191" spans="1:80">
      <c r="A191" s="774" t="s">
        <v>3150</v>
      </c>
      <c r="B191" s="703" t="s">
        <v>2812</v>
      </c>
      <c r="C191" s="703" t="s">
        <v>2812</v>
      </c>
      <c r="D191" s="704" t="s">
        <v>3176</v>
      </c>
      <c r="E191" s="704" t="s">
        <v>36</v>
      </c>
      <c r="F191" s="704" t="s">
        <v>132</v>
      </c>
      <c r="G191" s="705" t="str">
        <f>VLOOKUP(WWWW[[#This Row],[Village  Name]],SiteDB6[[Site Name]:[Location Type]],8,FALSE)</f>
        <v>Village</v>
      </c>
      <c r="H191" s="704" t="s">
        <v>3186</v>
      </c>
      <c r="I191" s="706">
        <v>44</v>
      </c>
      <c r="J191" s="706">
        <v>241</v>
      </c>
      <c r="K191" s="707">
        <v>43081</v>
      </c>
      <c r="L191" s="708">
        <v>44104</v>
      </c>
      <c r="M191" s="706"/>
      <c r="N191" s="706"/>
      <c r="O191" s="524">
        <v>1</v>
      </c>
      <c r="P191" s="706"/>
      <c r="Q191" s="706"/>
      <c r="R191" s="706"/>
      <c r="S191" s="706"/>
      <c r="T191" s="706"/>
      <c r="U191" s="709"/>
      <c r="V191" s="706"/>
      <c r="W191" s="706"/>
      <c r="X191" s="706"/>
      <c r="Y191" s="706"/>
      <c r="Z191" s="706"/>
      <c r="AA191" s="706"/>
      <c r="AB191" s="706"/>
      <c r="AC191" s="709"/>
      <c r="AD191" s="706">
        <v>3</v>
      </c>
      <c r="AE191" s="706">
        <v>10</v>
      </c>
      <c r="AF191" s="706"/>
      <c r="AG191" s="706"/>
      <c r="AH191" s="706"/>
      <c r="AI191" s="706"/>
      <c r="AJ191" s="524"/>
      <c r="AK191" s="706"/>
      <c r="AL191" s="524"/>
      <c r="AM191" s="524"/>
      <c r="AN191" s="709"/>
      <c r="AO191" s="477"/>
      <c r="AP191" s="477"/>
      <c r="AQ191" s="524"/>
      <c r="AR191" s="524"/>
      <c r="AS191" s="524"/>
      <c r="AT191"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91" s="711">
        <f>WWWW[[#This Row],[%Equitable and continuous access to sufficient quantity of safe drinking water]]*WWWW[[#This Row],[Total PoP ]]</f>
        <v>241</v>
      </c>
      <c r="AV191"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1" s="711">
        <f>WWWW[[#This Row],[% Access to unimproved water points]]*WWWW[[#This Row],[Total PoP ]]</f>
        <v>0</v>
      </c>
      <c r="AX191"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91"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241</v>
      </c>
      <c r="AZ191" s="711">
        <f>WWWW[[#This Row],[HRP1]]/250</f>
        <v>0.96399999999999997</v>
      </c>
      <c r="BA191" s="713">
        <f>1-WWWW[[#This Row],[% Equitable and continuous access to sufficient quantity of domestic water]]</f>
        <v>0</v>
      </c>
      <c r="BB191" s="711">
        <f>WWWW[[#This Row],[%equitable and continuous access to sufficient quantity of safe drinking and domestic water''s GAP]]*WWWW[[#This Row],[Total PoP ]]</f>
        <v>0</v>
      </c>
      <c r="BC191" s="714">
        <f>IF(WWWW[[#This Row],[Total required water points]]-WWWW[[#This Row],['#Water points coverage]]&lt;0,0,WWWW[[#This Row],[Total required water points]]-WWWW[[#This Row],['#Water points coverage]])</f>
        <v>3.6000000000000032E-2</v>
      </c>
      <c r="BD191" s="714">
        <f>ROUND(IF(WWWW[[#This Row],[Total PoP ]]&lt;250,1,WWWW[[#This Row],[Total PoP ]]/250),0)</f>
        <v>1</v>
      </c>
      <c r="BE19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91" s="711">
        <f>WWWW[[#This Row],[% people access to functioning Latrine]]*WWWW[[#This Row],[Total PoP ]]</f>
        <v>0</v>
      </c>
      <c r="BG191" s="714">
        <f>WWWW[[#This Row],['#_of_Functioning_latrines_in_school]]*50</f>
        <v>0</v>
      </c>
      <c r="BH191" s="714">
        <f>ROUND((WWWW[[#This Row],[Total PoP ]]/6),0)</f>
        <v>40</v>
      </c>
      <c r="BI191" s="714">
        <f>IF(WWWW[[#This Row],[Total required Latrines]]-(WWWW[[#This Row],['#_of_sanitary_fly-proof_HH_latrines]])&lt;0,0,WWWW[[#This Row],[Total required Latrines]]-(WWWW[[#This Row],['#_of_sanitary_fly-proof_HH_latrines]]))</f>
        <v>40</v>
      </c>
      <c r="BJ191" s="710">
        <f>1-WWWW[[#This Row],[% people access to functioning Latrine]]</f>
        <v>1</v>
      </c>
      <c r="BK191"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13</v>
      </c>
      <c r="BL191" s="483">
        <f>IF(WWWW[[#This Row],['#_of_functional_handwashing_facilities_at_HH_level]]*6&gt;WWWW[[#This Row],[Total PoP ]],WWWW[[#This Row],[Total PoP ]],WWWW[[#This Row],['#_of_functional_handwashing_facilities_at_HH_level]]*6)</f>
        <v>0</v>
      </c>
      <c r="BM191" s="714">
        <f>IF(WWWW[[#This Row],['# people reached by regular dedicated hygiene promotion]]&gt;WWWW[[#This Row],['# People received regular supply of hygiene items]],WWWW[[#This Row],['# people reached by regular dedicated hygiene promotion]],WWWW[[#This Row],['# People received regular supply of hygiene items]])</f>
        <v>13</v>
      </c>
      <c r="BN191" s="713">
        <f>IF(WWWW[[#This Row],[HRP3]]/WWWW[[#This Row],[Total PoP ]]&gt;100%,100%,WWWW[[#This Row],[HRP3]]/WWWW[[#This Row],[Total PoP ]])</f>
        <v>5.3941908713692949E-2</v>
      </c>
      <c r="BO191" s="710">
        <f>1-WWWW[[#This Row],[Hygiene Coverage%]]</f>
        <v>0.94605809128630702</v>
      </c>
      <c r="BP191" s="712">
        <f>WWWW[[#This Row],['# people reached by regular dedicated hygiene promotion]]/WWWW[[#This Row],[Total PoP ]]</f>
        <v>5.3941908713692949E-2</v>
      </c>
      <c r="BQ19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1" s="478">
        <f>WWWW[[#This Row],['#_of_affected_women_and_girls_receiving_a_sufficient_quantity_of_sanitary_pads]]</f>
        <v>0</v>
      </c>
      <c r="BS191" s="524">
        <f>IF(WWWW[[#This Row],['# People with access to soap]]&gt;WWWW[[#This Row],['# People with access to Sanity Pads]],WWWW[[#This Row],['# People with access to soap]],WWWW[[#This Row],['# People with access to Sanity Pads]])</f>
        <v>0</v>
      </c>
      <c r="BT191" s="483" t="str">
        <f>IF(OR(WWWW[[#This Row],['#of students in school]]="",WWWW[[#This Row],['#of students in school]]=0),"No","Yes")</f>
        <v>No</v>
      </c>
      <c r="BU191" s="705" t="str">
        <f>VLOOKUP(WWWW[[#This Row],[Village  Name]],SiteDB6[[Site Name]:[Location Type 1]],9,FALSE)</f>
        <v>Village</v>
      </c>
      <c r="BV191" s="705" t="str">
        <f>VLOOKUP(WWWW[[#This Row],[Village  Name]],SiteDB6[[Site Name]:[Type of Accommodation]],10,FALSE)</f>
        <v>Village</v>
      </c>
      <c r="BW191" s="705">
        <f>VLOOKUP(WWWW[[#This Row],[Village  Name]],SiteDB6[[Site Name]:[Ethnic or GCA/NGCA]],11,FALSE)</f>
        <v>0</v>
      </c>
      <c r="BX191" s="705">
        <f>VLOOKUP(WWWW[[#This Row],[Village  Name]],SiteDB6[[Site Name]:[Lat]],12,FALSE)</f>
        <v>0</v>
      </c>
      <c r="BY191" s="705">
        <f>VLOOKUP(WWWW[[#This Row],[Village  Name]],SiteDB6[[Site Name]:[Long]],13,FALSE)</f>
        <v>0</v>
      </c>
      <c r="BZ191" s="705">
        <f>VLOOKUP(WWWW[[#This Row],[Village  Name]],SiteDB6[[Site Name]:[Pcode]],3,FALSE)</f>
        <v>0</v>
      </c>
      <c r="CA191" s="705" t="str">
        <f t="shared" si="10"/>
        <v>Covered</v>
      </c>
      <c r="CB191" s="715"/>
    </row>
    <row r="192" spans="1:80">
      <c r="A192" s="774" t="s">
        <v>3150</v>
      </c>
      <c r="B192" s="703" t="s">
        <v>2812</v>
      </c>
      <c r="C192" s="703" t="s">
        <v>2812</v>
      </c>
      <c r="D192" s="704" t="s">
        <v>3176</v>
      </c>
      <c r="E192" s="704" t="s">
        <v>36</v>
      </c>
      <c r="F192" s="704" t="s">
        <v>132</v>
      </c>
      <c r="G192" s="705" t="str">
        <f>VLOOKUP(WWWW[[#This Row],[Village  Name]],SiteDB6[[Site Name]:[Location Type]],8,FALSE)</f>
        <v>Village</v>
      </c>
      <c r="H192" s="704" t="s">
        <v>3187</v>
      </c>
      <c r="I192" s="706">
        <v>30</v>
      </c>
      <c r="J192" s="706">
        <v>148</v>
      </c>
      <c r="K192" s="707">
        <v>43081</v>
      </c>
      <c r="L192" s="708">
        <v>44104</v>
      </c>
      <c r="M192" s="706"/>
      <c r="N192" s="706"/>
      <c r="O192" s="524"/>
      <c r="P192" s="706"/>
      <c r="Q192" s="706"/>
      <c r="R192" s="706"/>
      <c r="S192" s="706"/>
      <c r="T192" s="706"/>
      <c r="U192" s="709"/>
      <c r="V192" s="706">
        <v>24</v>
      </c>
      <c r="W192" s="706"/>
      <c r="X192" s="706"/>
      <c r="Y192" s="706"/>
      <c r="Z192" s="706"/>
      <c r="AA192" s="706"/>
      <c r="AB192" s="706"/>
      <c r="AC192" s="709"/>
      <c r="AD192" s="706"/>
      <c r="AE192" s="706">
        <v>20</v>
      </c>
      <c r="AF192" s="706"/>
      <c r="AG192" s="706"/>
      <c r="AH192" s="706"/>
      <c r="AI192" s="706"/>
      <c r="AJ192" s="524"/>
      <c r="AK192" s="706"/>
      <c r="AL192" s="524"/>
      <c r="AM192" s="524"/>
      <c r="AN192" s="709"/>
      <c r="AO192" s="477"/>
      <c r="AP192" s="477"/>
      <c r="AQ192" s="524"/>
      <c r="AR192" s="524"/>
      <c r="AS192" s="524"/>
      <c r="AT192"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92" s="711">
        <f>WWWW[[#This Row],[%Equitable and continuous access to sufficient quantity of safe drinking water]]*WWWW[[#This Row],[Total PoP ]]</f>
        <v>0</v>
      </c>
      <c r="AV192"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2" s="711">
        <f>WWWW[[#This Row],[% Access to unimproved water points]]*WWWW[[#This Row],[Total PoP ]]</f>
        <v>0</v>
      </c>
      <c r="AX192"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92"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92" s="711">
        <f>WWWW[[#This Row],[HRP1]]/250</f>
        <v>0</v>
      </c>
      <c r="BA192" s="713">
        <f>1-WWWW[[#This Row],[% Equitable and continuous access to sufficient quantity of domestic water]]</f>
        <v>1</v>
      </c>
      <c r="BB192" s="711">
        <f>WWWW[[#This Row],[%equitable and continuous access to sufficient quantity of safe drinking and domestic water''s GAP]]*WWWW[[#This Row],[Total PoP ]]</f>
        <v>148</v>
      </c>
      <c r="BC192" s="714">
        <f>IF(WWWW[[#This Row],[Total required water points]]-WWWW[[#This Row],['#Water points coverage]]&lt;0,0,WWWW[[#This Row],[Total required water points]]-WWWW[[#This Row],['#Water points coverage]])</f>
        <v>1</v>
      </c>
      <c r="BD192" s="714">
        <f>ROUND(IF(WWWW[[#This Row],[Total PoP ]]&lt;250,1,WWWW[[#This Row],[Total PoP ]]/250),0)</f>
        <v>1</v>
      </c>
      <c r="BE192"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0.97297297297297303</v>
      </c>
      <c r="BF192" s="711">
        <f>WWWW[[#This Row],[% people access to functioning Latrine]]*WWWW[[#This Row],[Total PoP ]]</f>
        <v>144</v>
      </c>
      <c r="BG192" s="714">
        <f>WWWW[[#This Row],['#_of_Functioning_latrines_in_school]]*50</f>
        <v>0</v>
      </c>
      <c r="BH192" s="714">
        <f>ROUND((WWWW[[#This Row],[Total PoP ]]/6),0)</f>
        <v>25</v>
      </c>
      <c r="BI192" s="714">
        <f>IF(WWWW[[#This Row],[Total required Latrines]]-(WWWW[[#This Row],['#_of_sanitary_fly-proof_HH_latrines]])&lt;0,0,WWWW[[#This Row],[Total required Latrines]]-(WWWW[[#This Row],['#_of_sanitary_fly-proof_HH_latrines]]))</f>
        <v>1</v>
      </c>
      <c r="BJ192" s="710">
        <f>1-WWWW[[#This Row],[% people access to functioning Latrine]]</f>
        <v>2.7027027027026973E-2</v>
      </c>
      <c r="BK192"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20</v>
      </c>
      <c r="BL192" s="483">
        <f>IF(WWWW[[#This Row],['#_of_functional_handwashing_facilities_at_HH_level]]*6&gt;WWWW[[#This Row],[Total PoP ]],WWWW[[#This Row],[Total PoP ]],WWWW[[#This Row],['#_of_functional_handwashing_facilities_at_HH_level]]*6)</f>
        <v>0</v>
      </c>
      <c r="BM192" s="714">
        <f>IF(WWWW[[#This Row],['# people reached by regular dedicated hygiene promotion]]&gt;WWWW[[#This Row],['# People received regular supply of hygiene items]],WWWW[[#This Row],['# people reached by regular dedicated hygiene promotion]],WWWW[[#This Row],['# People received regular supply of hygiene items]])</f>
        <v>20</v>
      </c>
      <c r="BN192" s="713">
        <f>IF(WWWW[[#This Row],[HRP3]]/WWWW[[#This Row],[Total PoP ]]&gt;100%,100%,WWWW[[#This Row],[HRP3]]/WWWW[[#This Row],[Total PoP ]])</f>
        <v>0.13513513513513514</v>
      </c>
      <c r="BO192" s="710">
        <f>1-WWWW[[#This Row],[Hygiene Coverage%]]</f>
        <v>0.86486486486486491</v>
      </c>
      <c r="BP192" s="712">
        <f>WWWW[[#This Row],['# people reached by regular dedicated hygiene promotion]]/WWWW[[#This Row],[Total PoP ]]</f>
        <v>0.13513513513513514</v>
      </c>
      <c r="BQ192"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2" s="478">
        <f>WWWW[[#This Row],['#_of_affected_women_and_girls_receiving_a_sufficient_quantity_of_sanitary_pads]]</f>
        <v>0</v>
      </c>
      <c r="BS192" s="524">
        <f>IF(WWWW[[#This Row],['# People with access to soap]]&gt;WWWW[[#This Row],['# People with access to Sanity Pads]],WWWW[[#This Row],['# People with access to soap]],WWWW[[#This Row],['# People with access to Sanity Pads]])</f>
        <v>0</v>
      </c>
      <c r="BT192" s="483" t="str">
        <f>IF(OR(WWWW[[#This Row],['#of students in school]]="",WWWW[[#This Row],['#of students in school]]=0),"No","Yes")</f>
        <v>No</v>
      </c>
      <c r="BU192" s="705" t="str">
        <f>VLOOKUP(WWWW[[#This Row],[Village  Name]],SiteDB6[[Site Name]:[Location Type 1]],9,FALSE)</f>
        <v>Village</v>
      </c>
      <c r="BV192" s="705" t="str">
        <f>VLOOKUP(WWWW[[#This Row],[Village  Name]],SiteDB6[[Site Name]:[Type of Accommodation]],10,FALSE)</f>
        <v>Village</v>
      </c>
      <c r="BW192" s="705">
        <f>VLOOKUP(WWWW[[#This Row],[Village  Name]],SiteDB6[[Site Name]:[Ethnic or GCA/NGCA]],11,FALSE)</f>
        <v>0</v>
      </c>
      <c r="BX192" s="705">
        <f>VLOOKUP(WWWW[[#This Row],[Village  Name]],SiteDB6[[Site Name]:[Lat]],12,FALSE)</f>
        <v>0</v>
      </c>
      <c r="BY192" s="705">
        <f>VLOOKUP(WWWW[[#This Row],[Village  Name]],SiteDB6[[Site Name]:[Long]],13,FALSE)</f>
        <v>0</v>
      </c>
      <c r="BZ192" s="705">
        <f>VLOOKUP(WWWW[[#This Row],[Village  Name]],SiteDB6[[Site Name]:[Pcode]],3,FALSE)</f>
        <v>0</v>
      </c>
      <c r="CA192" s="705" t="str">
        <f t="shared" si="10"/>
        <v>Covered</v>
      </c>
      <c r="CB192" s="715"/>
    </row>
    <row r="193" spans="1:96">
      <c r="A193" s="774" t="s">
        <v>3150</v>
      </c>
      <c r="B193" s="703" t="s">
        <v>2812</v>
      </c>
      <c r="C193" s="703" t="s">
        <v>2812</v>
      </c>
      <c r="D193" s="704" t="s">
        <v>3176</v>
      </c>
      <c r="E193" s="704" t="s">
        <v>36</v>
      </c>
      <c r="F193" s="704" t="s">
        <v>132</v>
      </c>
      <c r="G193" s="705" t="str">
        <f>VLOOKUP(WWWW[[#This Row],[Village  Name]],SiteDB6[[Site Name]:[Location Type]],8,FALSE)</f>
        <v>Village</v>
      </c>
      <c r="H193" s="704" t="s">
        <v>3188</v>
      </c>
      <c r="I193" s="706">
        <v>47</v>
      </c>
      <c r="J193" s="706">
        <v>233</v>
      </c>
      <c r="K193" s="707">
        <v>43081</v>
      </c>
      <c r="L193" s="708">
        <v>44104</v>
      </c>
      <c r="M193" s="706"/>
      <c r="N193" s="706"/>
      <c r="O193" s="524"/>
      <c r="P193" s="706"/>
      <c r="Q193" s="706"/>
      <c r="R193" s="706"/>
      <c r="S193" s="706"/>
      <c r="T193" s="706"/>
      <c r="U193" s="709"/>
      <c r="V193" s="706"/>
      <c r="W193" s="706"/>
      <c r="X193" s="706"/>
      <c r="Y193" s="706"/>
      <c r="Z193" s="706"/>
      <c r="AA193" s="706"/>
      <c r="AB193" s="706"/>
      <c r="AC193" s="709"/>
      <c r="AD193" s="706">
        <v>1</v>
      </c>
      <c r="AE193" s="706">
        <v>21</v>
      </c>
      <c r="AF193" s="706"/>
      <c r="AG193" s="706"/>
      <c r="AH193" s="706"/>
      <c r="AI193" s="706"/>
      <c r="AJ193" s="524"/>
      <c r="AK193" s="706"/>
      <c r="AL193" s="524"/>
      <c r="AM193" s="524"/>
      <c r="AN193" s="709"/>
      <c r="AO193" s="477"/>
      <c r="AP193" s="477"/>
      <c r="AQ193" s="524"/>
      <c r="AR193" s="524"/>
      <c r="AS193" s="524"/>
      <c r="AT193"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93" s="711">
        <f>WWWW[[#This Row],[%Equitable and continuous access to sufficient quantity of safe drinking water]]*WWWW[[#This Row],[Total PoP ]]</f>
        <v>0</v>
      </c>
      <c r="AV193"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3" s="711">
        <f>WWWW[[#This Row],[% Access to unimproved water points]]*WWWW[[#This Row],[Total PoP ]]</f>
        <v>0</v>
      </c>
      <c r="AX193"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93"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93" s="711">
        <f>WWWW[[#This Row],[HRP1]]/250</f>
        <v>0</v>
      </c>
      <c r="BA193" s="713">
        <f>1-WWWW[[#This Row],[% Equitable and continuous access to sufficient quantity of domestic water]]</f>
        <v>1</v>
      </c>
      <c r="BB193" s="711">
        <f>WWWW[[#This Row],[%equitable and continuous access to sufficient quantity of safe drinking and domestic water''s GAP]]*WWWW[[#This Row],[Total PoP ]]</f>
        <v>233</v>
      </c>
      <c r="BC193" s="714">
        <f>IF(WWWW[[#This Row],[Total required water points]]-WWWW[[#This Row],['#Water points coverage]]&lt;0,0,WWWW[[#This Row],[Total required water points]]-WWWW[[#This Row],['#Water points coverage]])</f>
        <v>1</v>
      </c>
      <c r="BD193" s="714">
        <f>ROUND(IF(WWWW[[#This Row],[Total PoP ]]&lt;250,1,WWWW[[#This Row],[Total PoP ]]/250),0)</f>
        <v>1</v>
      </c>
      <c r="BE193"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93" s="711">
        <f>WWWW[[#This Row],[% people access to functioning Latrine]]*WWWW[[#This Row],[Total PoP ]]</f>
        <v>0</v>
      </c>
      <c r="BG193" s="714">
        <f>WWWW[[#This Row],['#_of_Functioning_latrines_in_school]]*50</f>
        <v>0</v>
      </c>
      <c r="BH193" s="714">
        <f>ROUND((WWWW[[#This Row],[Total PoP ]]/6),0)</f>
        <v>39</v>
      </c>
      <c r="BI193" s="714">
        <f>IF(WWWW[[#This Row],[Total required Latrines]]-(WWWW[[#This Row],['#_of_sanitary_fly-proof_HH_latrines]])&lt;0,0,WWWW[[#This Row],[Total required Latrines]]-(WWWW[[#This Row],['#_of_sanitary_fly-proof_HH_latrines]]))</f>
        <v>39</v>
      </c>
      <c r="BJ193" s="710">
        <f>1-WWWW[[#This Row],[% people access to functioning Latrine]]</f>
        <v>1</v>
      </c>
      <c r="BK193"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22</v>
      </c>
      <c r="BL193" s="483">
        <f>IF(WWWW[[#This Row],['#_of_functional_handwashing_facilities_at_HH_level]]*6&gt;WWWW[[#This Row],[Total PoP ]],WWWW[[#This Row],[Total PoP ]],WWWW[[#This Row],['#_of_functional_handwashing_facilities_at_HH_level]]*6)</f>
        <v>0</v>
      </c>
      <c r="BM193" s="714">
        <f>IF(WWWW[[#This Row],['# people reached by regular dedicated hygiene promotion]]&gt;WWWW[[#This Row],['# People received regular supply of hygiene items]],WWWW[[#This Row],['# people reached by regular dedicated hygiene promotion]],WWWW[[#This Row],['# People received regular supply of hygiene items]])</f>
        <v>22</v>
      </c>
      <c r="BN193" s="713">
        <f>IF(WWWW[[#This Row],[HRP3]]/WWWW[[#This Row],[Total PoP ]]&gt;100%,100%,WWWW[[#This Row],[HRP3]]/WWWW[[#This Row],[Total PoP ]])</f>
        <v>9.4420600858369105E-2</v>
      </c>
      <c r="BO193" s="710">
        <f>1-WWWW[[#This Row],[Hygiene Coverage%]]</f>
        <v>0.90557939914163088</v>
      </c>
      <c r="BP193" s="712">
        <f>WWWW[[#This Row],['# people reached by regular dedicated hygiene promotion]]/WWWW[[#This Row],[Total PoP ]]</f>
        <v>9.4420600858369105E-2</v>
      </c>
      <c r="BQ193"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3" s="478">
        <f>WWWW[[#This Row],['#_of_affected_women_and_girls_receiving_a_sufficient_quantity_of_sanitary_pads]]</f>
        <v>0</v>
      </c>
      <c r="BS193" s="524">
        <f>IF(WWWW[[#This Row],['# People with access to soap]]&gt;WWWW[[#This Row],['# People with access to Sanity Pads]],WWWW[[#This Row],['# People with access to soap]],WWWW[[#This Row],['# People with access to Sanity Pads]])</f>
        <v>0</v>
      </c>
      <c r="BT193" s="483" t="str">
        <f>IF(OR(WWWW[[#This Row],['#of students in school]]="",WWWW[[#This Row],['#of students in school]]=0),"No","Yes")</f>
        <v>No</v>
      </c>
      <c r="BU193" s="705" t="str">
        <f>VLOOKUP(WWWW[[#This Row],[Village  Name]],SiteDB6[[Site Name]:[Location Type 1]],9,FALSE)</f>
        <v>Village</v>
      </c>
      <c r="BV193" s="705" t="str">
        <f>VLOOKUP(WWWW[[#This Row],[Village  Name]],SiteDB6[[Site Name]:[Type of Accommodation]],10,FALSE)</f>
        <v>Village</v>
      </c>
      <c r="BW193" s="705">
        <f>VLOOKUP(WWWW[[#This Row],[Village  Name]],SiteDB6[[Site Name]:[Ethnic or GCA/NGCA]],11,FALSE)</f>
        <v>0</v>
      </c>
      <c r="BX193" s="705">
        <f>VLOOKUP(WWWW[[#This Row],[Village  Name]],SiteDB6[[Site Name]:[Lat]],12,FALSE)</f>
        <v>0</v>
      </c>
      <c r="BY193" s="705">
        <f>VLOOKUP(WWWW[[#This Row],[Village  Name]],SiteDB6[[Site Name]:[Long]],13,FALSE)</f>
        <v>0</v>
      </c>
      <c r="BZ193" s="705">
        <f>VLOOKUP(WWWW[[#This Row],[Village  Name]],SiteDB6[[Site Name]:[Pcode]],3,FALSE)</f>
        <v>0</v>
      </c>
      <c r="CA193" s="705" t="str">
        <f t="shared" si="10"/>
        <v>Covered</v>
      </c>
      <c r="CB193" s="715"/>
    </row>
    <row r="194" spans="1:96">
      <c r="A194" s="774" t="s">
        <v>3150</v>
      </c>
      <c r="B194" s="703" t="s">
        <v>2812</v>
      </c>
      <c r="C194" s="703" t="s">
        <v>2812</v>
      </c>
      <c r="D194" s="704" t="s">
        <v>3176</v>
      </c>
      <c r="E194" s="704" t="s">
        <v>36</v>
      </c>
      <c r="F194" s="704" t="s">
        <v>132</v>
      </c>
      <c r="G194" s="705" t="str">
        <f>VLOOKUP(WWWW[[#This Row],[Village  Name]],SiteDB6[[Site Name]:[Location Type]],8,FALSE)</f>
        <v>Village</v>
      </c>
      <c r="H194" s="704" t="s">
        <v>3189</v>
      </c>
      <c r="I194" s="706">
        <v>123</v>
      </c>
      <c r="J194" s="706">
        <v>732</v>
      </c>
      <c r="K194" s="707">
        <v>43081</v>
      </c>
      <c r="L194" s="708">
        <v>44104</v>
      </c>
      <c r="M194" s="706"/>
      <c r="N194" s="706"/>
      <c r="O194" s="524"/>
      <c r="P194" s="706"/>
      <c r="Q194" s="706"/>
      <c r="R194" s="706"/>
      <c r="S194" s="706"/>
      <c r="T194" s="706"/>
      <c r="U194" s="709"/>
      <c r="V194" s="706"/>
      <c r="W194" s="706"/>
      <c r="X194" s="706"/>
      <c r="Y194" s="706"/>
      <c r="Z194" s="706"/>
      <c r="AA194" s="706"/>
      <c r="AB194" s="706"/>
      <c r="AC194" s="709"/>
      <c r="AD194" s="706">
        <v>20</v>
      </c>
      <c r="AE194" s="706">
        <v>40</v>
      </c>
      <c r="AF194" s="706"/>
      <c r="AG194" s="706"/>
      <c r="AH194" s="706"/>
      <c r="AI194" s="706"/>
      <c r="AJ194" s="524"/>
      <c r="AK194" s="706"/>
      <c r="AL194" s="524"/>
      <c r="AM194" s="524"/>
      <c r="AN194" s="709"/>
      <c r="AO194" s="477"/>
      <c r="AP194" s="477"/>
      <c r="AQ194" s="524"/>
      <c r="AR194" s="524"/>
      <c r="AS194" s="524"/>
      <c r="AT194"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94" s="711">
        <f>WWWW[[#This Row],[%Equitable and continuous access to sufficient quantity of safe drinking water]]*WWWW[[#This Row],[Total PoP ]]</f>
        <v>0</v>
      </c>
      <c r="AV194"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4" s="711">
        <f>WWWW[[#This Row],[% Access to unimproved water points]]*WWWW[[#This Row],[Total PoP ]]</f>
        <v>0</v>
      </c>
      <c r="AX194"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94"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94" s="711">
        <f>WWWW[[#This Row],[HRP1]]/250</f>
        <v>0</v>
      </c>
      <c r="BA194" s="713">
        <f>1-WWWW[[#This Row],[% Equitable and continuous access to sufficient quantity of domestic water]]</f>
        <v>1</v>
      </c>
      <c r="BB194" s="711">
        <f>WWWW[[#This Row],[%equitable and continuous access to sufficient quantity of safe drinking and domestic water''s GAP]]*WWWW[[#This Row],[Total PoP ]]</f>
        <v>732</v>
      </c>
      <c r="BC194" s="714">
        <f>IF(WWWW[[#This Row],[Total required water points]]-WWWW[[#This Row],['#Water points coverage]]&lt;0,0,WWWW[[#This Row],[Total required water points]]-WWWW[[#This Row],['#Water points coverage]])</f>
        <v>3</v>
      </c>
      <c r="BD194" s="714">
        <f>ROUND(IF(WWWW[[#This Row],[Total PoP ]]&lt;250,1,WWWW[[#This Row],[Total PoP ]]/250),0)</f>
        <v>3</v>
      </c>
      <c r="BE194"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94" s="711">
        <f>WWWW[[#This Row],[% people access to functioning Latrine]]*WWWW[[#This Row],[Total PoP ]]</f>
        <v>0</v>
      </c>
      <c r="BG194" s="714">
        <f>WWWW[[#This Row],['#_of_Functioning_latrines_in_school]]*50</f>
        <v>0</v>
      </c>
      <c r="BH194" s="714">
        <f>ROUND((WWWW[[#This Row],[Total PoP ]]/6),0)</f>
        <v>122</v>
      </c>
      <c r="BI194" s="714">
        <f>IF(WWWW[[#This Row],[Total required Latrines]]-(WWWW[[#This Row],['#_of_sanitary_fly-proof_HH_latrines]])&lt;0,0,WWWW[[#This Row],[Total required Latrines]]-(WWWW[[#This Row],['#_of_sanitary_fly-proof_HH_latrines]]))</f>
        <v>122</v>
      </c>
      <c r="BJ194" s="710">
        <f>1-WWWW[[#This Row],[% people access to functioning Latrine]]</f>
        <v>1</v>
      </c>
      <c r="BK194"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60</v>
      </c>
      <c r="BL194" s="483">
        <f>IF(WWWW[[#This Row],['#_of_functional_handwashing_facilities_at_HH_level]]*6&gt;WWWW[[#This Row],[Total PoP ]],WWWW[[#This Row],[Total PoP ]],WWWW[[#This Row],['#_of_functional_handwashing_facilities_at_HH_level]]*6)</f>
        <v>0</v>
      </c>
      <c r="BM194" s="714">
        <f>IF(WWWW[[#This Row],['# people reached by regular dedicated hygiene promotion]]&gt;WWWW[[#This Row],['# People received regular supply of hygiene items]],WWWW[[#This Row],['# people reached by regular dedicated hygiene promotion]],WWWW[[#This Row],['# People received regular supply of hygiene items]])</f>
        <v>60</v>
      </c>
      <c r="BN194" s="713">
        <f>IF(WWWW[[#This Row],[HRP3]]/WWWW[[#This Row],[Total PoP ]]&gt;100%,100%,WWWW[[#This Row],[HRP3]]/WWWW[[#This Row],[Total PoP ]])</f>
        <v>8.1967213114754092E-2</v>
      </c>
      <c r="BO194" s="710">
        <f>1-WWWW[[#This Row],[Hygiene Coverage%]]</f>
        <v>0.91803278688524592</v>
      </c>
      <c r="BP194" s="712">
        <f>WWWW[[#This Row],['# people reached by regular dedicated hygiene promotion]]/WWWW[[#This Row],[Total PoP ]]</f>
        <v>8.1967213114754092E-2</v>
      </c>
      <c r="BQ194"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4" s="478">
        <f>WWWW[[#This Row],['#_of_affected_women_and_girls_receiving_a_sufficient_quantity_of_sanitary_pads]]</f>
        <v>0</v>
      </c>
      <c r="BS194" s="524">
        <f>IF(WWWW[[#This Row],['# People with access to soap]]&gt;WWWW[[#This Row],['# People with access to Sanity Pads]],WWWW[[#This Row],['# People with access to soap]],WWWW[[#This Row],['# People with access to Sanity Pads]])</f>
        <v>0</v>
      </c>
      <c r="BT194" s="483" t="str">
        <f>IF(OR(WWWW[[#This Row],['#of students in school]]="",WWWW[[#This Row],['#of students in school]]=0),"No","Yes")</f>
        <v>No</v>
      </c>
      <c r="BU194" s="705" t="str">
        <f>VLOOKUP(WWWW[[#This Row],[Village  Name]],SiteDB6[[Site Name]:[Location Type 1]],9,FALSE)</f>
        <v>Village</v>
      </c>
      <c r="BV194" s="705" t="str">
        <f>VLOOKUP(WWWW[[#This Row],[Village  Name]],SiteDB6[[Site Name]:[Type of Accommodation]],10,FALSE)</f>
        <v>Village</v>
      </c>
      <c r="BW194" s="705">
        <f>VLOOKUP(WWWW[[#This Row],[Village  Name]],SiteDB6[[Site Name]:[Ethnic or GCA/NGCA]],11,FALSE)</f>
        <v>0</v>
      </c>
      <c r="BX194" s="705">
        <f>VLOOKUP(WWWW[[#This Row],[Village  Name]],SiteDB6[[Site Name]:[Lat]],12,FALSE)</f>
        <v>0</v>
      </c>
      <c r="BY194" s="705">
        <f>VLOOKUP(WWWW[[#This Row],[Village  Name]],SiteDB6[[Site Name]:[Long]],13,FALSE)</f>
        <v>0</v>
      </c>
      <c r="BZ194" s="705">
        <f>VLOOKUP(WWWW[[#This Row],[Village  Name]],SiteDB6[[Site Name]:[Pcode]],3,FALSE)</f>
        <v>0</v>
      </c>
      <c r="CA194" s="705" t="str">
        <f t="shared" si="10"/>
        <v>Covered</v>
      </c>
      <c r="CB194" s="715"/>
    </row>
    <row r="195" spans="1:96">
      <c r="A195" s="774" t="s">
        <v>3150</v>
      </c>
      <c r="B195" s="703" t="s">
        <v>2812</v>
      </c>
      <c r="C195" s="703" t="s">
        <v>2812</v>
      </c>
      <c r="D195" s="704" t="s">
        <v>3176</v>
      </c>
      <c r="E195" s="704" t="s">
        <v>36</v>
      </c>
      <c r="F195" s="704" t="s">
        <v>132</v>
      </c>
      <c r="G195" s="705" t="str">
        <f>VLOOKUP(WWWW[[#This Row],[Village  Name]],SiteDB6[[Site Name]:[Location Type]],8,FALSE)</f>
        <v>Village</v>
      </c>
      <c r="H195" s="704" t="s">
        <v>3190</v>
      </c>
      <c r="I195" s="706">
        <v>55</v>
      </c>
      <c r="J195" s="706">
        <v>332</v>
      </c>
      <c r="K195" s="707">
        <v>43081</v>
      </c>
      <c r="L195" s="708">
        <v>44104</v>
      </c>
      <c r="M195" s="706"/>
      <c r="N195" s="706"/>
      <c r="O195" s="524"/>
      <c r="P195" s="706"/>
      <c r="Q195" s="706"/>
      <c r="R195" s="706"/>
      <c r="S195" s="706"/>
      <c r="T195" s="706"/>
      <c r="U195" s="709"/>
      <c r="V195" s="706"/>
      <c r="W195" s="706"/>
      <c r="X195" s="706">
        <v>2</v>
      </c>
      <c r="Y195" s="706"/>
      <c r="Z195" s="706"/>
      <c r="AA195" s="706"/>
      <c r="AB195" s="706"/>
      <c r="AC195" s="709"/>
      <c r="AD195" s="706"/>
      <c r="AE195" s="706"/>
      <c r="AF195" s="706"/>
      <c r="AG195" s="706"/>
      <c r="AH195" s="706"/>
      <c r="AI195" s="706"/>
      <c r="AJ195" s="524"/>
      <c r="AK195" s="706"/>
      <c r="AL195" s="524"/>
      <c r="AM195" s="524"/>
      <c r="AN195" s="709"/>
      <c r="AO195" s="477"/>
      <c r="AP195" s="477"/>
      <c r="AQ195" s="524"/>
      <c r="AR195" s="524"/>
      <c r="AS195" s="524"/>
      <c r="AT195"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95" s="711">
        <f>WWWW[[#This Row],[%Equitable and continuous access to sufficient quantity of safe drinking water]]*WWWW[[#This Row],[Total PoP ]]</f>
        <v>0</v>
      </c>
      <c r="AV195"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5" s="711">
        <f>WWWW[[#This Row],[% Access to unimproved water points]]*WWWW[[#This Row],[Total PoP ]]</f>
        <v>0</v>
      </c>
      <c r="AX195"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95"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95" s="711">
        <f>WWWW[[#This Row],[HRP1]]/250</f>
        <v>0</v>
      </c>
      <c r="BA195" s="713">
        <f>1-WWWW[[#This Row],[% Equitable and continuous access to sufficient quantity of domestic water]]</f>
        <v>1</v>
      </c>
      <c r="BB195" s="711">
        <f>WWWW[[#This Row],[%equitable and continuous access to sufficient quantity of safe drinking and domestic water''s GAP]]*WWWW[[#This Row],[Total PoP ]]</f>
        <v>332</v>
      </c>
      <c r="BC195" s="714">
        <f>IF(WWWW[[#This Row],[Total required water points]]-WWWW[[#This Row],['#Water points coverage]]&lt;0,0,WWWW[[#This Row],[Total required water points]]-WWWW[[#This Row],['#Water points coverage]])</f>
        <v>1</v>
      </c>
      <c r="BD195" s="714">
        <f>ROUND(IF(WWWW[[#This Row],[Total PoP ]]&lt;250,1,WWWW[[#This Row],[Total PoP ]]/250),0)</f>
        <v>1</v>
      </c>
      <c r="BE195"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95" s="711">
        <f>WWWW[[#This Row],[% people access to functioning Latrine]]*WWWW[[#This Row],[Total PoP ]]</f>
        <v>0</v>
      </c>
      <c r="BG195" s="714">
        <f>WWWW[[#This Row],['#_of_Functioning_latrines_in_school]]*50</f>
        <v>100</v>
      </c>
      <c r="BH195" s="714">
        <f>ROUND((WWWW[[#This Row],[Total PoP ]]/6),0)</f>
        <v>55</v>
      </c>
      <c r="BI195" s="714">
        <f>IF(WWWW[[#This Row],[Total required Latrines]]-(WWWW[[#This Row],['#_of_sanitary_fly-proof_HH_latrines]])&lt;0,0,WWWW[[#This Row],[Total required Latrines]]-(WWWW[[#This Row],['#_of_sanitary_fly-proof_HH_latrines]]))</f>
        <v>55</v>
      </c>
      <c r="BJ195" s="710">
        <f>1-WWWW[[#This Row],[% people access to functioning Latrine]]</f>
        <v>1</v>
      </c>
      <c r="BK195"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95" s="483">
        <f>IF(WWWW[[#This Row],['#_of_functional_handwashing_facilities_at_HH_level]]*6&gt;WWWW[[#This Row],[Total PoP ]],WWWW[[#This Row],[Total PoP ]],WWWW[[#This Row],['#_of_functional_handwashing_facilities_at_HH_level]]*6)</f>
        <v>0</v>
      </c>
      <c r="BM195" s="714">
        <f>IF(WWWW[[#This Row],['# people reached by regular dedicated hygiene promotion]]&gt;WWWW[[#This Row],['# People received regular supply of hygiene items]],WWWW[[#This Row],['# people reached by regular dedicated hygiene promotion]],WWWW[[#This Row],['# People received regular supply of hygiene items]])</f>
        <v>0</v>
      </c>
      <c r="BN195" s="713">
        <f>IF(WWWW[[#This Row],[HRP3]]/WWWW[[#This Row],[Total PoP ]]&gt;100%,100%,WWWW[[#This Row],[HRP3]]/WWWW[[#This Row],[Total PoP ]])</f>
        <v>0</v>
      </c>
      <c r="BO195" s="710">
        <f>1-WWWW[[#This Row],[Hygiene Coverage%]]</f>
        <v>1</v>
      </c>
      <c r="BP195" s="712">
        <f>WWWW[[#This Row],['# people reached by regular dedicated hygiene promotion]]/WWWW[[#This Row],[Total PoP ]]</f>
        <v>0</v>
      </c>
      <c r="BQ195"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5" s="478">
        <f>WWWW[[#This Row],['#_of_affected_women_and_girls_receiving_a_sufficient_quantity_of_sanitary_pads]]</f>
        <v>0</v>
      </c>
      <c r="BS195" s="524">
        <f>IF(WWWW[[#This Row],['# People with access to soap]]&gt;WWWW[[#This Row],['# People with access to Sanity Pads]],WWWW[[#This Row],['# People with access to soap]],WWWW[[#This Row],['# People with access to Sanity Pads]])</f>
        <v>0</v>
      </c>
      <c r="BT195" s="483" t="str">
        <f>IF(OR(WWWW[[#This Row],['#of students in school]]="",WWWW[[#This Row],['#of students in school]]=0),"No","Yes")</f>
        <v>No</v>
      </c>
      <c r="BU195" s="705" t="str">
        <f>VLOOKUP(WWWW[[#This Row],[Village  Name]],SiteDB6[[Site Name]:[Location Type 1]],9,FALSE)</f>
        <v>Village</v>
      </c>
      <c r="BV195" s="705" t="str">
        <f>VLOOKUP(WWWW[[#This Row],[Village  Name]],SiteDB6[[Site Name]:[Type of Accommodation]],10,FALSE)</f>
        <v>Village</v>
      </c>
      <c r="BW195" s="705">
        <f>VLOOKUP(WWWW[[#This Row],[Village  Name]],SiteDB6[[Site Name]:[Ethnic or GCA/NGCA]],11,FALSE)</f>
        <v>0</v>
      </c>
      <c r="BX195" s="705">
        <f>VLOOKUP(WWWW[[#This Row],[Village  Name]],SiteDB6[[Site Name]:[Lat]],12,FALSE)</f>
        <v>0</v>
      </c>
      <c r="BY195" s="705">
        <f>VLOOKUP(WWWW[[#This Row],[Village  Name]],SiteDB6[[Site Name]:[Long]],13,FALSE)</f>
        <v>0</v>
      </c>
      <c r="BZ195" s="705">
        <f>VLOOKUP(WWWW[[#This Row],[Village  Name]],SiteDB6[[Site Name]:[Pcode]],3,FALSE)</f>
        <v>0</v>
      </c>
      <c r="CA195" s="705" t="str">
        <f t="shared" si="10"/>
        <v>Covered</v>
      </c>
      <c r="CB195" s="715"/>
    </row>
    <row r="196" spans="1:96">
      <c r="A196" s="774" t="s">
        <v>3150</v>
      </c>
      <c r="B196" s="703" t="s">
        <v>2812</v>
      </c>
      <c r="C196" s="703" t="s">
        <v>2812</v>
      </c>
      <c r="D196" s="704" t="s">
        <v>3176</v>
      </c>
      <c r="E196" s="704" t="s">
        <v>36</v>
      </c>
      <c r="F196" s="704" t="s">
        <v>132</v>
      </c>
      <c r="G196" s="705" t="str">
        <f>VLOOKUP(WWWW[[#This Row],[Village  Name]],SiteDB6[[Site Name]:[Location Type]],8,FALSE)</f>
        <v>Village</v>
      </c>
      <c r="H196" s="704" t="s">
        <v>3191</v>
      </c>
      <c r="I196" s="706">
        <v>114</v>
      </c>
      <c r="J196" s="706">
        <v>350</v>
      </c>
      <c r="K196" s="707">
        <v>43476</v>
      </c>
      <c r="L196" s="708">
        <v>44104</v>
      </c>
      <c r="M196" s="706"/>
      <c r="N196" s="706"/>
      <c r="O196" s="524"/>
      <c r="P196" s="706"/>
      <c r="Q196" s="706"/>
      <c r="R196" s="706"/>
      <c r="S196" s="706"/>
      <c r="T196" s="706"/>
      <c r="U196" s="709"/>
      <c r="V196" s="706"/>
      <c r="W196" s="706"/>
      <c r="X196" s="706"/>
      <c r="Y196" s="706"/>
      <c r="Z196" s="706"/>
      <c r="AA196" s="706"/>
      <c r="AB196" s="706"/>
      <c r="AC196" s="709"/>
      <c r="AD196" s="706"/>
      <c r="AE196" s="706"/>
      <c r="AF196" s="706"/>
      <c r="AG196" s="706"/>
      <c r="AH196" s="706"/>
      <c r="AI196" s="706"/>
      <c r="AJ196" s="524"/>
      <c r="AK196" s="706"/>
      <c r="AL196" s="524"/>
      <c r="AM196" s="524"/>
      <c r="AN196" s="709"/>
      <c r="AO196" s="477"/>
      <c r="AP196" s="477"/>
      <c r="AQ196" s="524"/>
      <c r="AR196" s="524"/>
      <c r="AS196" s="524"/>
      <c r="AT196"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96" s="711">
        <f>WWWW[[#This Row],[%Equitable and continuous access to sufficient quantity of safe drinking water]]*WWWW[[#This Row],[Total PoP ]]</f>
        <v>0</v>
      </c>
      <c r="AV196"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6" s="711">
        <f>WWWW[[#This Row],[% Access to unimproved water points]]*WWWW[[#This Row],[Total PoP ]]</f>
        <v>0</v>
      </c>
      <c r="AX196"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96"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96" s="711">
        <f>WWWW[[#This Row],[HRP1]]/250</f>
        <v>0</v>
      </c>
      <c r="BA196" s="713">
        <f>1-WWWW[[#This Row],[% Equitable and continuous access to sufficient quantity of domestic water]]</f>
        <v>1</v>
      </c>
      <c r="BB196" s="711">
        <f>WWWW[[#This Row],[%equitable and continuous access to sufficient quantity of safe drinking and domestic water''s GAP]]*WWWW[[#This Row],[Total PoP ]]</f>
        <v>350</v>
      </c>
      <c r="BC196" s="714">
        <f>IF(WWWW[[#This Row],[Total required water points]]-WWWW[[#This Row],['#Water points coverage]]&lt;0,0,WWWW[[#This Row],[Total required water points]]-WWWW[[#This Row],['#Water points coverage]])</f>
        <v>1</v>
      </c>
      <c r="BD196" s="714">
        <f>ROUND(IF(WWWW[[#This Row],[Total PoP ]]&lt;250,1,WWWW[[#This Row],[Total PoP ]]/250),0)</f>
        <v>1</v>
      </c>
      <c r="BE196"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96" s="711">
        <f>WWWW[[#This Row],[% people access to functioning Latrine]]*WWWW[[#This Row],[Total PoP ]]</f>
        <v>0</v>
      </c>
      <c r="BG196" s="714">
        <f>WWWW[[#This Row],['#_of_Functioning_latrines_in_school]]*50</f>
        <v>0</v>
      </c>
      <c r="BH196" s="714">
        <f>ROUND((WWWW[[#This Row],[Total PoP ]]/6),0)</f>
        <v>58</v>
      </c>
      <c r="BI196" s="714">
        <f>IF(WWWW[[#This Row],[Total required Latrines]]-(WWWW[[#This Row],['#_of_sanitary_fly-proof_HH_latrines]])&lt;0,0,WWWW[[#This Row],[Total required Latrines]]-(WWWW[[#This Row],['#_of_sanitary_fly-proof_HH_latrines]]))</f>
        <v>58</v>
      </c>
      <c r="BJ196" s="710">
        <f>1-WWWW[[#This Row],[% people access to functioning Latrine]]</f>
        <v>1</v>
      </c>
      <c r="BK196"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96" s="483">
        <f>IF(WWWW[[#This Row],['#_of_functional_handwashing_facilities_at_HH_level]]*6&gt;WWWW[[#This Row],[Total PoP ]],WWWW[[#This Row],[Total PoP ]],WWWW[[#This Row],['#_of_functional_handwashing_facilities_at_HH_level]]*6)</f>
        <v>0</v>
      </c>
      <c r="BM196" s="714">
        <f>IF(WWWW[[#This Row],['# people reached by regular dedicated hygiene promotion]]&gt;WWWW[[#This Row],['# People received regular supply of hygiene items]],WWWW[[#This Row],['# people reached by regular dedicated hygiene promotion]],WWWW[[#This Row],['# People received regular supply of hygiene items]])</f>
        <v>0</v>
      </c>
      <c r="BN196" s="713">
        <f>IF(WWWW[[#This Row],[HRP3]]/WWWW[[#This Row],[Total PoP ]]&gt;100%,100%,WWWW[[#This Row],[HRP3]]/WWWW[[#This Row],[Total PoP ]])</f>
        <v>0</v>
      </c>
      <c r="BO196" s="710">
        <f>1-WWWW[[#This Row],[Hygiene Coverage%]]</f>
        <v>1</v>
      </c>
      <c r="BP196" s="712">
        <f>WWWW[[#This Row],['# people reached by regular dedicated hygiene promotion]]/WWWW[[#This Row],[Total PoP ]]</f>
        <v>0</v>
      </c>
      <c r="BQ196"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6" s="478">
        <f>WWWW[[#This Row],['#_of_affected_women_and_girls_receiving_a_sufficient_quantity_of_sanitary_pads]]</f>
        <v>0</v>
      </c>
      <c r="BS196" s="524">
        <f>IF(WWWW[[#This Row],['# People with access to soap]]&gt;WWWW[[#This Row],['# People with access to Sanity Pads]],WWWW[[#This Row],['# People with access to soap]],WWWW[[#This Row],['# People with access to Sanity Pads]])</f>
        <v>0</v>
      </c>
      <c r="BT196" s="483" t="str">
        <f>IF(OR(WWWW[[#This Row],['#of students in school]]="",WWWW[[#This Row],['#of students in school]]=0),"No","Yes")</f>
        <v>No</v>
      </c>
      <c r="BU196" s="705" t="str">
        <f>VLOOKUP(WWWW[[#This Row],[Village  Name]],SiteDB6[[Site Name]:[Location Type 1]],9,FALSE)</f>
        <v>Village</v>
      </c>
      <c r="BV196" s="705" t="str">
        <f>VLOOKUP(WWWW[[#This Row],[Village  Name]],SiteDB6[[Site Name]:[Type of Accommodation]],10,FALSE)</f>
        <v>Village</v>
      </c>
      <c r="BW196" s="705">
        <f>VLOOKUP(WWWW[[#This Row],[Village  Name]],SiteDB6[[Site Name]:[Ethnic or GCA/NGCA]],11,FALSE)</f>
        <v>0</v>
      </c>
      <c r="BX196" s="705">
        <f>VLOOKUP(WWWW[[#This Row],[Village  Name]],SiteDB6[[Site Name]:[Lat]],12,FALSE)</f>
        <v>0</v>
      </c>
      <c r="BY196" s="705">
        <f>VLOOKUP(WWWW[[#This Row],[Village  Name]],SiteDB6[[Site Name]:[Long]],13,FALSE)</f>
        <v>0</v>
      </c>
      <c r="BZ196" s="705">
        <f>VLOOKUP(WWWW[[#This Row],[Village  Name]],SiteDB6[[Site Name]:[Pcode]],3,FALSE)</f>
        <v>0</v>
      </c>
      <c r="CA196" s="705" t="str">
        <f t="shared" si="10"/>
        <v>Covered</v>
      </c>
      <c r="CB196" s="715"/>
    </row>
    <row r="197" spans="1:96">
      <c r="A197" s="774" t="s">
        <v>3150</v>
      </c>
      <c r="B197" s="703" t="s">
        <v>2812</v>
      </c>
      <c r="C197" s="703" t="s">
        <v>2812</v>
      </c>
      <c r="D197" s="704" t="s">
        <v>3176</v>
      </c>
      <c r="E197" s="704" t="s">
        <v>36</v>
      </c>
      <c r="F197" s="704" t="s">
        <v>132</v>
      </c>
      <c r="G197" s="705" t="str">
        <f>VLOOKUP(WWWW[[#This Row],[Village  Name]],SiteDB6[[Site Name]:[Location Type]],8,FALSE)</f>
        <v>Village</v>
      </c>
      <c r="H197" s="704" t="s">
        <v>3192</v>
      </c>
      <c r="I197" s="706">
        <v>47</v>
      </c>
      <c r="J197" s="706">
        <v>137</v>
      </c>
      <c r="K197" s="707">
        <v>43476</v>
      </c>
      <c r="L197" s="708">
        <v>44104</v>
      </c>
      <c r="M197" s="706"/>
      <c r="N197" s="706"/>
      <c r="O197" s="524"/>
      <c r="P197" s="706"/>
      <c r="Q197" s="706"/>
      <c r="R197" s="706"/>
      <c r="S197" s="706"/>
      <c r="T197" s="706"/>
      <c r="U197" s="709"/>
      <c r="V197" s="706"/>
      <c r="W197" s="706"/>
      <c r="X197" s="706"/>
      <c r="Y197" s="706"/>
      <c r="Z197" s="706"/>
      <c r="AA197" s="706"/>
      <c r="AB197" s="706"/>
      <c r="AC197" s="709"/>
      <c r="AD197" s="706"/>
      <c r="AE197" s="706"/>
      <c r="AF197" s="706"/>
      <c r="AG197" s="706"/>
      <c r="AH197" s="706"/>
      <c r="AI197" s="706"/>
      <c r="AJ197" s="524"/>
      <c r="AK197" s="706"/>
      <c r="AL197" s="524"/>
      <c r="AM197" s="524"/>
      <c r="AN197" s="709"/>
      <c r="AO197" s="477"/>
      <c r="AP197" s="477"/>
      <c r="AQ197" s="524"/>
      <c r="AR197" s="524"/>
      <c r="AS197" s="524"/>
      <c r="AT197"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197" s="711">
        <f>WWWW[[#This Row],[%Equitable and continuous access to sufficient quantity of safe drinking water]]*WWWW[[#This Row],[Total PoP ]]</f>
        <v>0</v>
      </c>
      <c r="AV197"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7" s="711">
        <f>WWWW[[#This Row],[% Access to unimproved water points]]*WWWW[[#This Row],[Total PoP ]]</f>
        <v>0</v>
      </c>
      <c r="AX197"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197"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197" s="711">
        <f>WWWW[[#This Row],[HRP1]]/250</f>
        <v>0</v>
      </c>
      <c r="BA197" s="713">
        <f>1-WWWW[[#This Row],[% Equitable and continuous access to sufficient quantity of domestic water]]</f>
        <v>1</v>
      </c>
      <c r="BB197" s="711">
        <f>WWWW[[#This Row],[%equitable and continuous access to sufficient quantity of safe drinking and domestic water''s GAP]]*WWWW[[#This Row],[Total PoP ]]</f>
        <v>137</v>
      </c>
      <c r="BC197" s="714">
        <f>IF(WWWW[[#This Row],[Total required water points]]-WWWW[[#This Row],['#Water points coverage]]&lt;0,0,WWWW[[#This Row],[Total required water points]]-WWWW[[#This Row],['#Water points coverage]])</f>
        <v>1</v>
      </c>
      <c r="BD197" s="714">
        <f>ROUND(IF(WWWW[[#This Row],[Total PoP ]]&lt;250,1,WWWW[[#This Row],[Total PoP ]]/250),0)</f>
        <v>1</v>
      </c>
      <c r="BE197"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97" s="711">
        <f>WWWW[[#This Row],[% people access to functioning Latrine]]*WWWW[[#This Row],[Total PoP ]]</f>
        <v>0</v>
      </c>
      <c r="BG197" s="714">
        <f>WWWW[[#This Row],['#_of_Functioning_latrines_in_school]]*50</f>
        <v>0</v>
      </c>
      <c r="BH197" s="714">
        <f>ROUND((WWWW[[#This Row],[Total PoP ]]/6),0)</f>
        <v>23</v>
      </c>
      <c r="BI197" s="714">
        <f>IF(WWWW[[#This Row],[Total required Latrines]]-(WWWW[[#This Row],['#_of_sanitary_fly-proof_HH_latrines]])&lt;0,0,WWWW[[#This Row],[Total required Latrines]]-(WWWW[[#This Row],['#_of_sanitary_fly-proof_HH_latrines]]))</f>
        <v>23</v>
      </c>
      <c r="BJ197" s="710">
        <f>1-WWWW[[#This Row],[% people access to functioning Latrine]]</f>
        <v>1</v>
      </c>
      <c r="BK197"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97" s="483">
        <f>IF(WWWW[[#This Row],['#_of_functional_handwashing_facilities_at_HH_level]]*6&gt;WWWW[[#This Row],[Total PoP ]],WWWW[[#This Row],[Total PoP ]],WWWW[[#This Row],['#_of_functional_handwashing_facilities_at_HH_level]]*6)</f>
        <v>0</v>
      </c>
      <c r="BM197" s="714">
        <f>IF(WWWW[[#This Row],['# people reached by regular dedicated hygiene promotion]]&gt;WWWW[[#This Row],['# People received regular supply of hygiene items]],WWWW[[#This Row],['# people reached by regular dedicated hygiene promotion]],WWWW[[#This Row],['# People received regular supply of hygiene items]])</f>
        <v>0</v>
      </c>
      <c r="BN197" s="713">
        <f>IF(WWWW[[#This Row],[HRP3]]/WWWW[[#This Row],[Total PoP ]]&gt;100%,100%,WWWW[[#This Row],[HRP3]]/WWWW[[#This Row],[Total PoP ]])</f>
        <v>0</v>
      </c>
      <c r="BO197" s="710">
        <f>1-WWWW[[#This Row],[Hygiene Coverage%]]</f>
        <v>1</v>
      </c>
      <c r="BP197" s="712">
        <f>WWWW[[#This Row],['# people reached by regular dedicated hygiene promotion]]/WWWW[[#This Row],[Total PoP ]]</f>
        <v>0</v>
      </c>
      <c r="BQ197"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7" s="478">
        <f>WWWW[[#This Row],['#_of_affected_women_and_girls_receiving_a_sufficient_quantity_of_sanitary_pads]]</f>
        <v>0</v>
      </c>
      <c r="BS197" s="524">
        <f>IF(WWWW[[#This Row],['# People with access to soap]]&gt;WWWW[[#This Row],['# People with access to Sanity Pads]],WWWW[[#This Row],['# People with access to soap]],WWWW[[#This Row],['# People with access to Sanity Pads]])</f>
        <v>0</v>
      </c>
      <c r="BT197" s="483" t="str">
        <f>IF(OR(WWWW[[#This Row],['#of students in school]]="",WWWW[[#This Row],['#of students in school]]=0),"No","Yes")</f>
        <v>No</v>
      </c>
      <c r="BU197" s="705" t="str">
        <f>VLOOKUP(WWWW[[#This Row],[Village  Name]],SiteDB6[[Site Name]:[Location Type 1]],9,FALSE)</f>
        <v>Village</v>
      </c>
      <c r="BV197" s="705" t="str">
        <f>VLOOKUP(WWWW[[#This Row],[Village  Name]],SiteDB6[[Site Name]:[Type of Accommodation]],10,FALSE)</f>
        <v>Village</v>
      </c>
      <c r="BW197" s="705">
        <f>VLOOKUP(WWWW[[#This Row],[Village  Name]],SiteDB6[[Site Name]:[Ethnic or GCA/NGCA]],11,FALSE)</f>
        <v>0</v>
      </c>
      <c r="BX197" s="705">
        <f>VLOOKUP(WWWW[[#This Row],[Village  Name]],SiteDB6[[Site Name]:[Lat]],12,FALSE)</f>
        <v>0</v>
      </c>
      <c r="BY197" s="705">
        <f>VLOOKUP(WWWW[[#This Row],[Village  Name]],SiteDB6[[Site Name]:[Long]],13,FALSE)</f>
        <v>0</v>
      </c>
      <c r="BZ197" s="705">
        <f>VLOOKUP(WWWW[[#This Row],[Village  Name]],SiteDB6[[Site Name]:[Pcode]],3,FALSE)</f>
        <v>0</v>
      </c>
      <c r="CA197" s="705" t="str">
        <f t="shared" si="10"/>
        <v>Covered</v>
      </c>
      <c r="CB197" s="715"/>
    </row>
    <row r="198" spans="1:96">
      <c r="A198" s="774" t="s">
        <v>3150</v>
      </c>
      <c r="B198" s="703" t="s">
        <v>2812</v>
      </c>
      <c r="C198" s="703" t="s">
        <v>2812</v>
      </c>
      <c r="D198" s="704" t="s">
        <v>3176</v>
      </c>
      <c r="E198" s="704" t="s">
        <v>36</v>
      </c>
      <c r="F198" s="704" t="s">
        <v>132</v>
      </c>
      <c r="G198" s="705" t="str">
        <f>VLOOKUP(WWWW[[#This Row],[Village  Name]],SiteDB6[[Site Name]:[Location Type]],8,FALSE)</f>
        <v>Village</v>
      </c>
      <c r="H198" s="704" t="s">
        <v>3193</v>
      </c>
      <c r="I198" s="706">
        <v>138</v>
      </c>
      <c r="J198" s="706">
        <v>578</v>
      </c>
      <c r="K198" s="707">
        <v>43476</v>
      </c>
      <c r="L198" s="708">
        <v>44104</v>
      </c>
      <c r="M198" s="706"/>
      <c r="N198" s="706"/>
      <c r="O198" s="524">
        <v>1</v>
      </c>
      <c r="P198" s="706"/>
      <c r="Q198" s="706"/>
      <c r="R198" s="706"/>
      <c r="S198" s="706"/>
      <c r="T198" s="706"/>
      <c r="U198" s="709"/>
      <c r="V198" s="706"/>
      <c r="W198" s="706"/>
      <c r="X198" s="706"/>
      <c r="Y198" s="706"/>
      <c r="Z198" s="706"/>
      <c r="AA198" s="706"/>
      <c r="AB198" s="706"/>
      <c r="AC198" s="709"/>
      <c r="AD198" s="706"/>
      <c r="AE198" s="706"/>
      <c r="AF198" s="706"/>
      <c r="AG198" s="706"/>
      <c r="AH198" s="706"/>
      <c r="AI198" s="706"/>
      <c r="AJ198" s="524"/>
      <c r="AK198" s="706"/>
      <c r="AL198" s="524"/>
      <c r="AM198" s="524"/>
      <c r="AN198" s="709"/>
      <c r="AO198" s="477"/>
      <c r="AP198" s="477"/>
      <c r="AQ198" s="524"/>
      <c r="AR198" s="524"/>
      <c r="AS198" s="524"/>
      <c r="AT198"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98" s="711">
        <f>WWWW[[#This Row],[%Equitable and continuous access to sufficient quantity of safe drinking water]]*WWWW[[#This Row],[Total PoP ]]</f>
        <v>578</v>
      </c>
      <c r="AV198"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8" s="711">
        <f>WWWW[[#This Row],[% Access to unimproved water points]]*WWWW[[#This Row],[Total PoP ]]</f>
        <v>0</v>
      </c>
      <c r="AX198"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98"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578</v>
      </c>
      <c r="AZ198" s="711">
        <f>WWWW[[#This Row],[HRP1]]/250</f>
        <v>2.3119999999999998</v>
      </c>
      <c r="BA198" s="713">
        <f>1-WWWW[[#This Row],[% Equitable and continuous access to sufficient quantity of domestic water]]</f>
        <v>0</v>
      </c>
      <c r="BB198" s="711">
        <f>WWWW[[#This Row],[%equitable and continuous access to sufficient quantity of safe drinking and domestic water''s GAP]]*WWWW[[#This Row],[Total PoP ]]</f>
        <v>0</v>
      </c>
      <c r="BC198" s="714">
        <f>IF(WWWW[[#This Row],[Total required water points]]-WWWW[[#This Row],['#Water points coverage]]&lt;0,0,WWWW[[#This Row],[Total required water points]]-WWWW[[#This Row],['#Water points coverage]])</f>
        <v>0</v>
      </c>
      <c r="BD198" s="714">
        <f>ROUND(IF(WWWW[[#This Row],[Total PoP ]]&lt;250,1,WWWW[[#This Row],[Total PoP ]]/250),0)</f>
        <v>2</v>
      </c>
      <c r="BE198"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98" s="711">
        <f>WWWW[[#This Row],[% people access to functioning Latrine]]*WWWW[[#This Row],[Total PoP ]]</f>
        <v>0</v>
      </c>
      <c r="BG198" s="714">
        <f>WWWW[[#This Row],['#_of_Functioning_latrines_in_school]]*50</f>
        <v>0</v>
      </c>
      <c r="BH198" s="714">
        <f>ROUND((WWWW[[#This Row],[Total PoP ]]/6),0)</f>
        <v>96</v>
      </c>
      <c r="BI198" s="714">
        <f>IF(WWWW[[#This Row],[Total required Latrines]]-(WWWW[[#This Row],['#_of_sanitary_fly-proof_HH_latrines]])&lt;0,0,WWWW[[#This Row],[Total required Latrines]]-(WWWW[[#This Row],['#_of_sanitary_fly-proof_HH_latrines]]))</f>
        <v>96</v>
      </c>
      <c r="BJ198" s="710">
        <f>1-WWWW[[#This Row],[% people access to functioning Latrine]]</f>
        <v>1</v>
      </c>
      <c r="BK198"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98" s="483">
        <f>IF(WWWW[[#This Row],['#_of_functional_handwashing_facilities_at_HH_level]]*6&gt;WWWW[[#This Row],[Total PoP ]],WWWW[[#This Row],[Total PoP ]],WWWW[[#This Row],['#_of_functional_handwashing_facilities_at_HH_level]]*6)</f>
        <v>0</v>
      </c>
      <c r="BM198" s="714">
        <f>IF(WWWW[[#This Row],['# people reached by regular dedicated hygiene promotion]]&gt;WWWW[[#This Row],['# People received regular supply of hygiene items]],WWWW[[#This Row],['# people reached by regular dedicated hygiene promotion]],WWWW[[#This Row],['# People received regular supply of hygiene items]])</f>
        <v>0</v>
      </c>
      <c r="BN198" s="713">
        <f>IF(WWWW[[#This Row],[HRP3]]/WWWW[[#This Row],[Total PoP ]]&gt;100%,100%,WWWW[[#This Row],[HRP3]]/WWWW[[#This Row],[Total PoP ]])</f>
        <v>0</v>
      </c>
      <c r="BO198" s="710">
        <f>1-WWWW[[#This Row],[Hygiene Coverage%]]</f>
        <v>1</v>
      </c>
      <c r="BP198" s="712">
        <f>WWWW[[#This Row],['# people reached by regular dedicated hygiene promotion]]/WWWW[[#This Row],[Total PoP ]]</f>
        <v>0</v>
      </c>
      <c r="BQ198"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8" s="478">
        <f>WWWW[[#This Row],['#_of_affected_women_and_girls_receiving_a_sufficient_quantity_of_sanitary_pads]]</f>
        <v>0</v>
      </c>
      <c r="BS198" s="524">
        <f>IF(WWWW[[#This Row],['# People with access to soap]]&gt;WWWW[[#This Row],['# People with access to Sanity Pads]],WWWW[[#This Row],['# People with access to soap]],WWWW[[#This Row],['# People with access to Sanity Pads]])</f>
        <v>0</v>
      </c>
      <c r="BT198" s="483" t="str">
        <f>IF(OR(WWWW[[#This Row],['#of students in school]]="",WWWW[[#This Row],['#of students in school]]=0),"No","Yes")</f>
        <v>No</v>
      </c>
      <c r="BU198" s="705" t="str">
        <f>VLOOKUP(WWWW[[#This Row],[Village  Name]],SiteDB6[[Site Name]:[Location Type 1]],9,FALSE)</f>
        <v>Village</v>
      </c>
      <c r="BV198" s="705" t="str">
        <f>VLOOKUP(WWWW[[#This Row],[Village  Name]],SiteDB6[[Site Name]:[Type of Accommodation]],10,FALSE)</f>
        <v>Village</v>
      </c>
      <c r="BW198" s="705">
        <f>VLOOKUP(WWWW[[#This Row],[Village  Name]],SiteDB6[[Site Name]:[Ethnic or GCA/NGCA]],11,FALSE)</f>
        <v>0</v>
      </c>
      <c r="BX198" s="705">
        <f>VLOOKUP(WWWW[[#This Row],[Village  Name]],SiteDB6[[Site Name]:[Lat]],12,FALSE)</f>
        <v>0</v>
      </c>
      <c r="BY198" s="705">
        <f>VLOOKUP(WWWW[[#This Row],[Village  Name]],SiteDB6[[Site Name]:[Long]],13,FALSE)</f>
        <v>0</v>
      </c>
      <c r="BZ198" s="705">
        <f>VLOOKUP(WWWW[[#This Row],[Village  Name]],SiteDB6[[Site Name]:[Pcode]],3,FALSE)</f>
        <v>0</v>
      </c>
      <c r="CA198" s="705" t="str">
        <f t="shared" si="10"/>
        <v>Covered</v>
      </c>
      <c r="CB198" s="715"/>
    </row>
    <row r="199" spans="1:96">
      <c r="A199" s="774" t="s">
        <v>3150</v>
      </c>
      <c r="B199" s="703" t="s">
        <v>2812</v>
      </c>
      <c r="C199" s="703" t="s">
        <v>2812</v>
      </c>
      <c r="D199" s="704" t="s">
        <v>3176</v>
      </c>
      <c r="E199" s="704" t="s">
        <v>36</v>
      </c>
      <c r="F199" s="704" t="s">
        <v>132</v>
      </c>
      <c r="G199" s="705" t="str">
        <f>VLOOKUP(WWWW[[#This Row],[Village  Name]],SiteDB6[[Site Name]:[Location Type]],8,FALSE)</f>
        <v>Village</v>
      </c>
      <c r="H199" s="704" t="s">
        <v>3194</v>
      </c>
      <c r="I199" s="706">
        <v>37</v>
      </c>
      <c r="J199" s="706">
        <v>68</v>
      </c>
      <c r="K199" s="707">
        <v>43476</v>
      </c>
      <c r="L199" s="708">
        <v>44104</v>
      </c>
      <c r="M199" s="706"/>
      <c r="N199" s="706"/>
      <c r="O199" s="524">
        <v>1</v>
      </c>
      <c r="P199" s="706"/>
      <c r="Q199" s="706"/>
      <c r="R199" s="706"/>
      <c r="S199" s="706"/>
      <c r="T199" s="706"/>
      <c r="U199" s="709"/>
      <c r="V199" s="706"/>
      <c r="W199" s="706"/>
      <c r="X199" s="706"/>
      <c r="Y199" s="706"/>
      <c r="Z199" s="706"/>
      <c r="AA199" s="706"/>
      <c r="AB199" s="706"/>
      <c r="AC199" s="709"/>
      <c r="AD199" s="706"/>
      <c r="AE199" s="706"/>
      <c r="AF199" s="706"/>
      <c r="AG199" s="706"/>
      <c r="AH199" s="706"/>
      <c r="AI199" s="706"/>
      <c r="AJ199" s="524"/>
      <c r="AK199" s="706"/>
      <c r="AL199" s="524"/>
      <c r="AM199" s="524"/>
      <c r="AN199" s="709"/>
      <c r="AO199" s="477"/>
      <c r="AP199" s="477"/>
      <c r="AQ199" s="524"/>
      <c r="AR199" s="524"/>
      <c r="AS199" s="524"/>
      <c r="AT199"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199" s="711">
        <f>WWWW[[#This Row],[%Equitable and continuous access to sufficient quantity of safe drinking water]]*WWWW[[#This Row],[Total PoP ]]</f>
        <v>68</v>
      </c>
      <c r="AV199"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199" s="711">
        <f>WWWW[[#This Row],[% Access to unimproved water points]]*WWWW[[#This Row],[Total PoP ]]</f>
        <v>0</v>
      </c>
      <c r="AX199"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199"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68</v>
      </c>
      <c r="AZ199" s="711">
        <f>WWWW[[#This Row],[HRP1]]/250</f>
        <v>0.27200000000000002</v>
      </c>
      <c r="BA199" s="713">
        <f>1-WWWW[[#This Row],[% Equitable and continuous access to sufficient quantity of domestic water]]</f>
        <v>0</v>
      </c>
      <c r="BB199" s="711">
        <f>WWWW[[#This Row],[%equitable and continuous access to sufficient quantity of safe drinking and domestic water''s GAP]]*WWWW[[#This Row],[Total PoP ]]</f>
        <v>0</v>
      </c>
      <c r="BC199" s="714">
        <f>IF(WWWW[[#This Row],[Total required water points]]-WWWW[[#This Row],['#Water points coverage]]&lt;0,0,WWWW[[#This Row],[Total required water points]]-WWWW[[#This Row],['#Water points coverage]])</f>
        <v>0.72799999999999998</v>
      </c>
      <c r="BD199" s="714">
        <f>ROUND(IF(WWWW[[#This Row],[Total PoP ]]&lt;250,1,WWWW[[#This Row],[Total PoP ]]/250),0)</f>
        <v>1</v>
      </c>
      <c r="BE199"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199" s="711">
        <f>WWWW[[#This Row],[% people access to functioning Latrine]]*WWWW[[#This Row],[Total PoP ]]</f>
        <v>0</v>
      </c>
      <c r="BG199" s="714">
        <f>WWWW[[#This Row],['#_of_Functioning_latrines_in_school]]*50</f>
        <v>0</v>
      </c>
      <c r="BH199" s="714">
        <f>ROUND((WWWW[[#This Row],[Total PoP ]]/6),0)</f>
        <v>11</v>
      </c>
      <c r="BI199" s="714">
        <f>IF(WWWW[[#This Row],[Total required Latrines]]-(WWWW[[#This Row],['#_of_sanitary_fly-proof_HH_latrines]])&lt;0,0,WWWW[[#This Row],[Total required Latrines]]-(WWWW[[#This Row],['#_of_sanitary_fly-proof_HH_latrines]]))</f>
        <v>11</v>
      </c>
      <c r="BJ199" s="710">
        <f>1-WWWW[[#This Row],[% people access to functioning Latrine]]</f>
        <v>1</v>
      </c>
      <c r="BK199"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199" s="483">
        <f>IF(WWWW[[#This Row],['#_of_functional_handwashing_facilities_at_HH_level]]*6&gt;WWWW[[#This Row],[Total PoP ]],WWWW[[#This Row],[Total PoP ]],WWWW[[#This Row],['#_of_functional_handwashing_facilities_at_HH_level]]*6)</f>
        <v>0</v>
      </c>
      <c r="BM199" s="714">
        <f>IF(WWWW[[#This Row],['# people reached by regular dedicated hygiene promotion]]&gt;WWWW[[#This Row],['# People received regular supply of hygiene items]],WWWW[[#This Row],['# people reached by regular dedicated hygiene promotion]],WWWW[[#This Row],['# People received regular supply of hygiene items]])</f>
        <v>0</v>
      </c>
      <c r="BN199" s="713">
        <f>IF(WWWW[[#This Row],[HRP3]]/WWWW[[#This Row],[Total PoP ]]&gt;100%,100%,WWWW[[#This Row],[HRP3]]/WWWW[[#This Row],[Total PoP ]])</f>
        <v>0</v>
      </c>
      <c r="BO199" s="710">
        <f>1-WWWW[[#This Row],[Hygiene Coverage%]]</f>
        <v>1</v>
      </c>
      <c r="BP199" s="712">
        <f>WWWW[[#This Row],['# people reached by regular dedicated hygiene promotion]]/WWWW[[#This Row],[Total PoP ]]</f>
        <v>0</v>
      </c>
      <c r="BQ199"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199" s="478">
        <f>WWWW[[#This Row],['#_of_affected_women_and_girls_receiving_a_sufficient_quantity_of_sanitary_pads]]</f>
        <v>0</v>
      </c>
      <c r="BS199" s="524">
        <f>IF(WWWW[[#This Row],['# People with access to soap]]&gt;WWWW[[#This Row],['# People with access to Sanity Pads]],WWWW[[#This Row],['# People with access to soap]],WWWW[[#This Row],['# People with access to Sanity Pads]])</f>
        <v>0</v>
      </c>
      <c r="BT199" s="483" t="str">
        <f>IF(OR(WWWW[[#This Row],['#of students in school]]="",WWWW[[#This Row],['#of students in school]]=0),"No","Yes")</f>
        <v>No</v>
      </c>
      <c r="BU199" s="705" t="str">
        <f>VLOOKUP(WWWW[[#This Row],[Village  Name]],SiteDB6[[Site Name]:[Location Type 1]],9,FALSE)</f>
        <v>Village</v>
      </c>
      <c r="BV199" s="705" t="str">
        <f>VLOOKUP(WWWW[[#This Row],[Village  Name]],SiteDB6[[Site Name]:[Type of Accommodation]],10,FALSE)</f>
        <v>Village</v>
      </c>
      <c r="BW199" s="705">
        <f>VLOOKUP(WWWW[[#This Row],[Village  Name]],SiteDB6[[Site Name]:[Ethnic or GCA/NGCA]],11,FALSE)</f>
        <v>0</v>
      </c>
      <c r="BX199" s="705">
        <f>VLOOKUP(WWWW[[#This Row],[Village  Name]],SiteDB6[[Site Name]:[Lat]],12,FALSE)</f>
        <v>0</v>
      </c>
      <c r="BY199" s="705">
        <f>VLOOKUP(WWWW[[#This Row],[Village  Name]],SiteDB6[[Site Name]:[Long]],13,FALSE)</f>
        <v>0</v>
      </c>
      <c r="BZ199" s="705">
        <f>VLOOKUP(WWWW[[#This Row],[Village  Name]],SiteDB6[[Site Name]:[Pcode]],3,FALSE)</f>
        <v>0</v>
      </c>
      <c r="CA199" s="705" t="str">
        <f t="shared" si="10"/>
        <v>Covered</v>
      </c>
      <c r="CB199" s="715"/>
    </row>
    <row r="200" spans="1:96">
      <c r="A200" s="774" t="s">
        <v>3150</v>
      </c>
      <c r="B200" s="703" t="s">
        <v>2812</v>
      </c>
      <c r="C200" s="703" t="s">
        <v>2812</v>
      </c>
      <c r="D200" s="704" t="s">
        <v>3176</v>
      </c>
      <c r="E200" s="704" t="s">
        <v>36</v>
      </c>
      <c r="F200" s="704" t="s">
        <v>132</v>
      </c>
      <c r="G200" s="705" t="str">
        <f>VLOOKUP(WWWW[[#This Row],[Village  Name]],SiteDB6[[Site Name]:[Location Type]],8,FALSE)</f>
        <v>Village</v>
      </c>
      <c r="H200" s="704" t="s">
        <v>3195</v>
      </c>
      <c r="I200" s="706">
        <v>55</v>
      </c>
      <c r="J200" s="706">
        <v>167</v>
      </c>
      <c r="K200" s="707">
        <v>43476</v>
      </c>
      <c r="L200" s="708">
        <v>44104</v>
      </c>
      <c r="M200" s="706"/>
      <c r="N200" s="706"/>
      <c r="O200" s="524"/>
      <c r="P200" s="706"/>
      <c r="Q200" s="706"/>
      <c r="R200" s="706"/>
      <c r="S200" s="706"/>
      <c r="T200" s="706"/>
      <c r="U200" s="709"/>
      <c r="V200" s="706"/>
      <c r="W200" s="706"/>
      <c r="X200" s="706"/>
      <c r="Y200" s="706"/>
      <c r="Z200" s="706"/>
      <c r="AA200" s="706"/>
      <c r="AB200" s="706"/>
      <c r="AC200" s="709"/>
      <c r="AD200" s="706"/>
      <c r="AE200" s="706"/>
      <c r="AF200" s="706"/>
      <c r="AG200" s="706"/>
      <c r="AH200" s="706"/>
      <c r="AI200" s="706"/>
      <c r="AJ200" s="524"/>
      <c r="AK200" s="706"/>
      <c r="AL200" s="524"/>
      <c r="AM200" s="524"/>
      <c r="AN200" s="709"/>
      <c r="AO200" s="477"/>
      <c r="AP200" s="477"/>
      <c r="AQ200" s="524"/>
      <c r="AR200" s="524"/>
      <c r="AS200" s="524"/>
      <c r="AT200"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0" s="711">
        <f>WWWW[[#This Row],[%Equitable and continuous access to sufficient quantity of safe drinking water]]*WWWW[[#This Row],[Total PoP ]]</f>
        <v>0</v>
      </c>
      <c r="AV200"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0" s="711">
        <f>WWWW[[#This Row],[% Access to unimproved water points]]*WWWW[[#This Row],[Total PoP ]]</f>
        <v>0</v>
      </c>
      <c r="AX200"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0"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0" s="711">
        <f>WWWW[[#This Row],[HRP1]]/250</f>
        <v>0</v>
      </c>
      <c r="BA200" s="713">
        <f>1-WWWW[[#This Row],[% Equitable and continuous access to sufficient quantity of domestic water]]</f>
        <v>1</v>
      </c>
      <c r="BB200" s="711">
        <f>WWWW[[#This Row],[%equitable and continuous access to sufficient quantity of safe drinking and domestic water''s GAP]]*WWWW[[#This Row],[Total PoP ]]</f>
        <v>167</v>
      </c>
      <c r="BC200" s="714">
        <f>IF(WWWW[[#This Row],[Total required water points]]-WWWW[[#This Row],['#Water points coverage]]&lt;0,0,WWWW[[#This Row],[Total required water points]]-WWWW[[#This Row],['#Water points coverage]])</f>
        <v>1</v>
      </c>
      <c r="BD200" s="714">
        <f>ROUND(IF(WWWW[[#This Row],[Total PoP ]]&lt;250,1,WWWW[[#This Row],[Total PoP ]]/250),0)</f>
        <v>1</v>
      </c>
      <c r="BE200"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00" s="711">
        <f>WWWW[[#This Row],[% people access to functioning Latrine]]*WWWW[[#This Row],[Total PoP ]]</f>
        <v>0</v>
      </c>
      <c r="BG200" s="714">
        <f>WWWW[[#This Row],['#_of_Functioning_latrines_in_school]]*50</f>
        <v>0</v>
      </c>
      <c r="BH200" s="714">
        <f>ROUND((WWWW[[#This Row],[Total PoP ]]/6),0)</f>
        <v>28</v>
      </c>
      <c r="BI200" s="714">
        <f>IF(WWWW[[#This Row],[Total required Latrines]]-(WWWW[[#This Row],['#_of_sanitary_fly-proof_HH_latrines]])&lt;0,0,WWWW[[#This Row],[Total required Latrines]]-(WWWW[[#This Row],['#_of_sanitary_fly-proof_HH_latrines]]))</f>
        <v>28</v>
      </c>
      <c r="BJ200" s="710">
        <f>1-WWWW[[#This Row],[% people access to functioning Latrine]]</f>
        <v>1</v>
      </c>
      <c r="BK200"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0" s="483">
        <f>IF(WWWW[[#This Row],['#_of_functional_handwashing_facilities_at_HH_level]]*6&gt;WWWW[[#This Row],[Total PoP ]],WWWW[[#This Row],[Total PoP ]],WWWW[[#This Row],['#_of_functional_handwashing_facilities_at_HH_level]]*6)</f>
        <v>0</v>
      </c>
      <c r="BM200" s="714">
        <f>IF(WWWW[[#This Row],['# people reached by regular dedicated hygiene promotion]]&gt;WWWW[[#This Row],['# People received regular supply of hygiene items]],WWWW[[#This Row],['# people reached by regular dedicated hygiene promotion]],WWWW[[#This Row],['# People received regular supply of hygiene items]])</f>
        <v>0</v>
      </c>
      <c r="BN200" s="713">
        <f>IF(WWWW[[#This Row],[HRP3]]/WWWW[[#This Row],[Total PoP ]]&gt;100%,100%,WWWW[[#This Row],[HRP3]]/WWWW[[#This Row],[Total PoP ]])</f>
        <v>0</v>
      </c>
      <c r="BO200" s="710">
        <f>1-WWWW[[#This Row],[Hygiene Coverage%]]</f>
        <v>1</v>
      </c>
      <c r="BP200" s="712">
        <f>WWWW[[#This Row],['# people reached by regular dedicated hygiene promotion]]/WWWW[[#This Row],[Total PoP ]]</f>
        <v>0</v>
      </c>
      <c r="BQ200"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0" s="478">
        <f>WWWW[[#This Row],['#_of_affected_women_and_girls_receiving_a_sufficient_quantity_of_sanitary_pads]]</f>
        <v>0</v>
      </c>
      <c r="BS200" s="524">
        <f>IF(WWWW[[#This Row],['# People with access to soap]]&gt;WWWW[[#This Row],['# People with access to Sanity Pads]],WWWW[[#This Row],['# People with access to soap]],WWWW[[#This Row],['# People with access to Sanity Pads]])</f>
        <v>0</v>
      </c>
      <c r="BT200" s="483" t="str">
        <f>IF(OR(WWWW[[#This Row],['#of students in school]]="",WWWW[[#This Row],['#of students in school]]=0),"No","Yes")</f>
        <v>No</v>
      </c>
      <c r="BU200" s="705" t="str">
        <f>VLOOKUP(WWWW[[#This Row],[Village  Name]],SiteDB6[[Site Name]:[Location Type 1]],9,FALSE)</f>
        <v>Village</v>
      </c>
      <c r="BV200" s="705" t="str">
        <f>VLOOKUP(WWWW[[#This Row],[Village  Name]],SiteDB6[[Site Name]:[Type of Accommodation]],10,FALSE)</f>
        <v>Village</v>
      </c>
      <c r="BW200" s="705">
        <f>VLOOKUP(WWWW[[#This Row],[Village  Name]],SiteDB6[[Site Name]:[Ethnic or GCA/NGCA]],11,FALSE)</f>
        <v>0</v>
      </c>
      <c r="BX200" s="705">
        <f>VLOOKUP(WWWW[[#This Row],[Village  Name]],SiteDB6[[Site Name]:[Lat]],12,FALSE)</f>
        <v>0</v>
      </c>
      <c r="BY200" s="705">
        <f>VLOOKUP(WWWW[[#This Row],[Village  Name]],SiteDB6[[Site Name]:[Long]],13,FALSE)</f>
        <v>0</v>
      </c>
      <c r="BZ200" s="705">
        <f>VLOOKUP(WWWW[[#This Row],[Village  Name]],SiteDB6[[Site Name]:[Pcode]],3,FALSE)</f>
        <v>0</v>
      </c>
      <c r="CA200" s="705" t="str">
        <f t="shared" si="10"/>
        <v>Covered</v>
      </c>
      <c r="CB200" s="715"/>
    </row>
    <row r="201" spans="1:96">
      <c r="A201" s="774" t="s">
        <v>3150</v>
      </c>
      <c r="B201" s="703" t="s">
        <v>2812</v>
      </c>
      <c r="C201" s="703" t="s">
        <v>2812</v>
      </c>
      <c r="D201" s="704" t="s">
        <v>3176</v>
      </c>
      <c r="E201" s="704" t="s">
        <v>36</v>
      </c>
      <c r="F201" s="704" t="s">
        <v>132</v>
      </c>
      <c r="G201" s="705" t="str">
        <f>VLOOKUP(WWWW[[#This Row],[Village  Name]],SiteDB6[[Site Name]:[Location Type]],8,FALSE)</f>
        <v>Village</v>
      </c>
      <c r="H201" s="704" t="s">
        <v>3196</v>
      </c>
      <c r="I201" s="706">
        <v>46</v>
      </c>
      <c r="J201" s="706">
        <v>126</v>
      </c>
      <c r="K201" s="707">
        <v>43476</v>
      </c>
      <c r="L201" s="708">
        <v>44104</v>
      </c>
      <c r="M201" s="706"/>
      <c r="N201" s="706"/>
      <c r="O201" s="524"/>
      <c r="P201" s="706"/>
      <c r="Q201" s="706"/>
      <c r="R201" s="706"/>
      <c r="S201" s="706"/>
      <c r="T201" s="706"/>
      <c r="U201" s="709"/>
      <c r="V201" s="706"/>
      <c r="W201" s="706"/>
      <c r="X201" s="706"/>
      <c r="Y201" s="706"/>
      <c r="Z201" s="706"/>
      <c r="AA201" s="706"/>
      <c r="AB201" s="706"/>
      <c r="AC201" s="709"/>
      <c r="AD201" s="706"/>
      <c r="AE201" s="706"/>
      <c r="AF201" s="706"/>
      <c r="AG201" s="706"/>
      <c r="AH201" s="706"/>
      <c r="AI201" s="706"/>
      <c r="AJ201" s="524"/>
      <c r="AK201" s="706"/>
      <c r="AL201" s="524"/>
      <c r="AM201" s="524"/>
      <c r="AN201" s="709"/>
      <c r="AO201" s="477"/>
      <c r="AP201" s="477"/>
      <c r="AQ201" s="524"/>
      <c r="AR201" s="524"/>
      <c r="AS201" s="524"/>
      <c r="AT201"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1" s="711">
        <f>WWWW[[#This Row],[%Equitable and continuous access to sufficient quantity of safe drinking water]]*WWWW[[#This Row],[Total PoP ]]</f>
        <v>0</v>
      </c>
      <c r="AV201"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1" s="711">
        <f>WWWW[[#This Row],[% Access to unimproved water points]]*WWWW[[#This Row],[Total PoP ]]</f>
        <v>0</v>
      </c>
      <c r="AX201"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1"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1" s="711">
        <f>WWWW[[#This Row],[HRP1]]/250</f>
        <v>0</v>
      </c>
      <c r="BA201" s="713">
        <f>1-WWWW[[#This Row],[% Equitable and continuous access to sufficient quantity of domestic water]]</f>
        <v>1</v>
      </c>
      <c r="BB201" s="711">
        <f>WWWW[[#This Row],[%equitable and continuous access to sufficient quantity of safe drinking and domestic water''s GAP]]*WWWW[[#This Row],[Total PoP ]]</f>
        <v>126</v>
      </c>
      <c r="BC201" s="714">
        <f>IF(WWWW[[#This Row],[Total required water points]]-WWWW[[#This Row],['#Water points coverage]]&lt;0,0,WWWW[[#This Row],[Total required water points]]-WWWW[[#This Row],['#Water points coverage]])</f>
        <v>1</v>
      </c>
      <c r="BD201" s="714">
        <f>ROUND(IF(WWWW[[#This Row],[Total PoP ]]&lt;250,1,WWWW[[#This Row],[Total PoP ]]/250),0)</f>
        <v>1</v>
      </c>
      <c r="BE201" s="479">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01" s="711">
        <f>WWWW[[#This Row],[% people access to functioning Latrine]]*WWWW[[#This Row],[Total PoP ]]</f>
        <v>0</v>
      </c>
      <c r="BG201" s="714">
        <f>WWWW[[#This Row],['#_of_Functioning_latrines_in_school]]*50</f>
        <v>0</v>
      </c>
      <c r="BH201" s="714">
        <f>ROUND((WWWW[[#This Row],[Total PoP ]]/6),0)</f>
        <v>21</v>
      </c>
      <c r="BI201" s="714">
        <f>IF(WWWW[[#This Row],[Total required Latrines]]-(WWWW[[#This Row],['#_of_sanitary_fly-proof_HH_latrines]])&lt;0,0,WWWW[[#This Row],[Total required Latrines]]-(WWWW[[#This Row],['#_of_sanitary_fly-proof_HH_latrines]]))</f>
        <v>21</v>
      </c>
      <c r="BJ201" s="710">
        <f>1-WWWW[[#This Row],[% people access to functioning Latrine]]</f>
        <v>1</v>
      </c>
      <c r="BK201"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1" s="483">
        <f>IF(WWWW[[#This Row],['#_of_functional_handwashing_facilities_at_HH_level]]*6&gt;WWWW[[#This Row],[Total PoP ]],WWWW[[#This Row],[Total PoP ]],WWWW[[#This Row],['#_of_functional_handwashing_facilities_at_HH_level]]*6)</f>
        <v>0</v>
      </c>
      <c r="BM201" s="714">
        <f>IF(WWWW[[#This Row],['# people reached by regular dedicated hygiene promotion]]&gt;WWWW[[#This Row],['# People received regular supply of hygiene items]],WWWW[[#This Row],['# people reached by regular dedicated hygiene promotion]],WWWW[[#This Row],['# People received regular supply of hygiene items]])</f>
        <v>0</v>
      </c>
      <c r="BN201" s="713">
        <f>IF(WWWW[[#This Row],[HRP3]]/WWWW[[#This Row],[Total PoP ]]&gt;100%,100%,WWWW[[#This Row],[HRP3]]/WWWW[[#This Row],[Total PoP ]])</f>
        <v>0</v>
      </c>
      <c r="BO201" s="710">
        <f>1-WWWW[[#This Row],[Hygiene Coverage%]]</f>
        <v>1</v>
      </c>
      <c r="BP201" s="712">
        <f>WWWW[[#This Row],['# people reached by regular dedicated hygiene promotion]]/WWWW[[#This Row],[Total PoP ]]</f>
        <v>0</v>
      </c>
      <c r="BQ201" s="478">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1" s="478">
        <f>WWWW[[#This Row],['#_of_affected_women_and_girls_receiving_a_sufficient_quantity_of_sanitary_pads]]</f>
        <v>0</v>
      </c>
      <c r="BS201" s="524">
        <f>IF(WWWW[[#This Row],['# People with access to soap]]&gt;WWWW[[#This Row],['# People with access to Sanity Pads]],WWWW[[#This Row],['# People with access to soap]],WWWW[[#This Row],['# People with access to Sanity Pads]])</f>
        <v>0</v>
      </c>
      <c r="BT201" s="483" t="str">
        <f>IF(OR(WWWW[[#This Row],['#of students in school]]="",WWWW[[#This Row],['#of students in school]]=0),"No","Yes")</f>
        <v>No</v>
      </c>
      <c r="BU201" s="705" t="str">
        <f>VLOOKUP(WWWW[[#This Row],[Village  Name]],SiteDB6[[Site Name]:[Location Type 1]],9,FALSE)</f>
        <v>Village</v>
      </c>
      <c r="BV201" s="705" t="str">
        <f>VLOOKUP(WWWW[[#This Row],[Village  Name]],SiteDB6[[Site Name]:[Type of Accommodation]],10,FALSE)</f>
        <v>Village</v>
      </c>
      <c r="BW201" s="705">
        <f>VLOOKUP(WWWW[[#This Row],[Village  Name]],SiteDB6[[Site Name]:[Ethnic or GCA/NGCA]],11,FALSE)</f>
        <v>0</v>
      </c>
      <c r="BX201" s="705">
        <f>VLOOKUP(WWWW[[#This Row],[Village  Name]],SiteDB6[[Site Name]:[Lat]],12,FALSE)</f>
        <v>0</v>
      </c>
      <c r="BY201" s="705">
        <f>VLOOKUP(WWWW[[#This Row],[Village  Name]],SiteDB6[[Site Name]:[Long]],13,FALSE)</f>
        <v>0</v>
      </c>
      <c r="BZ201" s="705">
        <f>VLOOKUP(WWWW[[#This Row],[Village  Name]],SiteDB6[[Site Name]:[Pcode]],3,FALSE)</f>
        <v>0</v>
      </c>
      <c r="CA201" s="705" t="str">
        <f t="shared" si="10"/>
        <v>Covered</v>
      </c>
      <c r="CB201" s="715"/>
    </row>
    <row r="202" spans="1:96" s="764" customFormat="1">
      <c r="A202" s="774" t="s">
        <v>3199</v>
      </c>
      <c r="B202" s="703" t="s">
        <v>3232</v>
      </c>
      <c r="C202" s="704" t="s">
        <v>3232</v>
      </c>
      <c r="D202" s="704" t="s">
        <v>339</v>
      </c>
      <c r="E202" s="704" t="s">
        <v>36</v>
      </c>
      <c r="F202" s="704" t="s">
        <v>771</v>
      </c>
      <c r="G202" s="705" t="str">
        <f>VLOOKUP(WWWW[[#This Row],[Village  Name]],SiteDB6[[Site Name]:[Location Type]],8,FALSE)</f>
        <v>Village</v>
      </c>
      <c r="H202" s="704" t="s">
        <v>3233</v>
      </c>
      <c r="I202" s="706">
        <v>54</v>
      </c>
      <c r="J202" s="706">
        <v>300</v>
      </c>
      <c r="K202" s="707">
        <v>43831</v>
      </c>
      <c r="L202" s="708">
        <v>44926</v>
      </c>
      <c r="M202" s="706"/>
      <c r="N202" s="706"/>
      <c r="O202" s="773"/>
      <c r="P202" s="706"/>
      <c r="Q202" s="706"/>
      <c r="R202" s="706"/>
      <c r="S202" s="706"/>
      <c r="T202" s="706"/>
      <c r="U202" s="709"/>
      <c r="V202" s="706"/>
      <c r="W202" s="706"/>
      <c r="X202" s="706"/>
      <c r="Y202" s="706">
        <v>3</v>
      </c>
      <c r="Z202" s="706"/>
      <c r="AA202" s="706"/>
      <c r="AB202" s="706"/>
      <c r="AC202" s="709"/>
      <c r="AD202" s="706"/>
      <c r="AE202" s="706"/>
      <c r="AF202" s="706"/>
      <c r="AG202" s="706"/>
      <c r="AH202" s="706"/>
      <c r="AI202" s="706"/>
      <c r="AJ202" s="773"/>
      <c r="AK202" s="706"/>
      <c r="AL202" s="773"/>
      <c r="AM202" s="773"/>
      <c r="AN202" s="709"/>
      <c r="AO202" s="769"/>
      <c r="AP202" s="769"/>
      <c r="AQ202" s="773"/>
      <c r="AR202" s="773"/>
      <c r="AS202" s="773"/>
      <c r="AT202"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2" s="711">
        <f>WWWW[[#This Row],[%Equitable and continuous access to sufficient quantity of safe drinking water]]*WWWW[[#This Row],[Total PoP ]]</f>
        <v>0</v>
      </c>
      <c r="AV202"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2" s="711">
        <f>WWWW[[#This Row],[% Access to unimproved water points]]*WWWW[[#This Row],[Total PoP ]]</f>
        <v>0</v>
      </c>
      <c r="AX202"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2"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2" s="711">
        <f>WWWW[[#This Row],[HRP1]]/250</f>
        <v>0</v>
      </c>
      <c r="BA202" s="713">
        <f>1-WWWW[[#This Row],[% Equitable and continuous access to sufficient quantity of domestic water]]</f>
        <v>1</v>
      </c>
      <c r="BB202" s="711">
        <f>WWWW[[#This Row],[%equitable and continuous access to sufficient quantity of safe drinking and domestic water''s GAP]]*WWWW[[#This Row],[Total PoP ]]</f>
        <v>300</v>
      </c>
      <c r="BC202" s="714">
        <f>IF(WWWW[[#This Row],[Total required water points]]-WWWW[[#This Row],['#Water points coverage]]&lt;0,0,WWWW[[#This Row],[Total required water points]]-WWWW[[#This Row],['#Water points coverage]])</f>
        <v>1</v>
      </c>
      <c r="BD202" s="714">
        <f>ROUND(IF(WWWW[[#This Row],[Total PoP ]]&lt;250,1,WWWW[[#This Row],[Total PoP ]]/250),0)</f>
        <v>1</v>
      </c>
      <c r="BE20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02" s="711">
        <f>WWWW[[#This Row],[% people access to functioning Latrine]]*WWWW[[#This Row],[Total PoP ]]</f>
        <v>0</v>
      </c>
      <c r="BG202" s="714">
        <f>WWWW[[#This Row],['#_of_Functioning_latrines_in_school]]*50</f>
        <v>0</v>
      </c>
      <c r="BH202" s="714">
        <f>ROUND((WWWW[[#This Row],[Total PoP ]]/6),0)</f>
        <v>50</v>
      </c>
      <c r="BI202" s="714">
        <f>IF(WWWW[[#This Row],[Total required Latrines]]-(WWWW[[#This Row],['#_of_sanitary_fly-proof_HH_latrines]])&lt;0,0,WWWW[[#This Row],[Total required Latrines]]-(WWWW[[#This Row],['#_of_sanitary_fly-proof_HH_latrines]]))</f>
        <v>50</v>
      </c>
      <c r="BJ202" s="710">
        <f>1-WWWW[[#This Row],[% people access to functioning Latrine]]</f>
        <v>1</v>
      </c>
      <c r="BK202"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2" s="772">
        <f>IF(WWWW[[#This Row],['#_of_functional_handwashing_facilities_at_HH_level]]*6&gt;WWWW[[#This Row],[Total PoP ]],WWWW[[#This Row],[Total PoP ]],WWWW[[#This Row],['#_of_functional_handwashing_facilities_at_HH_level]]*6)</f>
        <v>0</v>
      </c>
      <c r="BM202" s="714">
        <f>IF(WWWW[[#This Row],['# people reached by regular dedicated hygiene promotion]]&gt;WWWW[[#This Row],['# People received regular supply of hygiene items]],WWWW[[#This Row],['# people reached by regular dedicated hygiene promotion]],WWWW[[#This Row],['# People received regular supply of hygiene items]])</f>
        <v>0</v>
      </c>
      <c r="BN202" s="713">
        <f>IF(WWWW[[#This Row],[HRP3]]/WWWW[[#This Row],[Total PoP ]]&gt;100%,100%,WWWW[[#This Row],[HRP3]]/WWWW[[#This Row],[Total PoP ]])</f>
        <v>0</v>
      </c>
      <c r="BO202" s="710">
        <f>1-WWWW[[#This Row],[Hygiene Coverage%]]</f>
        <v>1</v>
      </c>
      <c r="BP202" s="712">
        <f>WWWW[[#This Row],['# people reached by regular dedicated hygiene promotion]]/WWWW[[#This Row],[Total PoP ]]</f>
        <v>0</v>
      </c>
      <c r="BQ20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2" s="770">
        <f>WWWW[[#This Row],['#_of_affected_women_and_girls_receiving_a_sufficient_quantity_of_sanitary_pads]]</f>
        <v>0</v>
      </c>
      <c r="BS202" s="773">
        <f>IF(WWWW[[#This Row],['# People with access to soap]]&gt;WWWW[[#This Row],['# People with access to Sanity Pads]],WWWW[[#This Row],['# People with access to soap]],WWWW[[#This Row],['# People with access to Sanity Pads]])</f>
        <v>0</v>
      </c>
      <c r="BT202" s="772" t="str">
        <f>IF(OR(WWWW[[#This Row],['#of students in school]]="",WWWW[[#This Row],['#of students in school]]=0),"No","Yes")</f>
        <v>No</v>
      </c>
      <c r="BU202" s="705" t="str">
        <f>VLOOKUP(WWWW[[#This Row],[Village  Name]],SiteDB6[[Site Name]:[Location Type 1]],9,FALSE)</f>
        <v>Village</v>
      </c>
      <c r="BV202" s="705" t="str">
        <f>VLOOKUP(WWWW[[#This Row],[Village  Name]],SiteDB6[[Site Name]:[Type of Accommodation]],10,FALSE)</f>
        <v>Village</v>
      </c>
      <c r="BW202" s="705">
        <f>VLOOKUP(WWWW[[#This Row],[Village  Name]],SiteDB6[[Site Name]:[Ethnic or GCA/NGCA]],11,FALSE)</f>
        <v>0</v>
      </c>
      <c r="BX202" s="705">
        <f>VLOOKUP(WWWW[[#This Row],[Village  Name]],SiteDB6[[Site Name]:[Lat]],12,FALSE)</f>
        <v>0</v>
      </c>
      <c r="BY202" s="705">
        <f>VLOOKUP(WWWW[[#This Row],[Village  Name]],SiteDB6[[Site Name]:[Long]],13,FALSE)</f>
        <v>0</v>
      </c>
      <c r="BZ202" s="705">
        <f>VLOOKUP(WWWW[[#This Row],[Village  Name]],SiteDB6[[Site Name]:[Pcode]],3,FALSE)</f>
        <v>0</v>
      </c>
      <c r="CA202" s="705" t="str">
        <f>IF(C202="none","Notcovered","Covered")</f>
        <v>Covered</v>
      </c>
      <c r="CB202" s="715"/>
      <c r="CC202" s="765"/>
      <c r="CD202" s="766"/>
      <c r="CE202" s="766"/>
      <c r="CF202" s="763"/>
      <c r="CG202" s="766"/>
      <c r="CH202" s="767"/>
      <c r="CI202" s="767"/>
      <c r="CJ202" s="768"/>
      <c r="CK202" s="768"/>
      <c r="CL202" s="768"/>
      <c r="CM202" s="768"/>
      <c r="CN202" s="768"/>
      <c r="CO202" s="768"/>
      <c r="CP202" s="768"/>
      <c r="CQ202" s="768"/>
      <c r="CR202" s="768"/>
    </row>
    <row r="203" spans="1:96" s="764" customFormat="1">
      <c r="A203" s="774" t="s">
        <v>3199</v>
      </c>
      <c r="B203" s="703" t="s">
        <v>3232</v>
      </c>
      <c r="C203" s="704" t="s">
        <v>3232</v>
      </c>
      <c r="D203" s="704" t="s">
        <v>339</v>
      </c>
      <c r="E203" s="704" t="s">
        <v>36</v>
      </c>
      <c r="F203" s="704" t="s">
        <v>771</v>
      </c>
      <c r="G203" s="705" t="str">
        <f>VLOOKUP(WWWW[[#This Row],[Village  Name]],SiteDB6[[Site Name]:[Location Type]],8,FALSE)</f>
        <v>Village</v>
      </c>
      <c r="H203" s="704" t="s">
        <v>3234</v>
      </c>
      <c r="I203" s="706">
        <v>17</v>
      </c>
      <c r="J203" s="706">
        <v>95</v>
      </c>
      <c r="K203" s="707">
        <v>43831</v>
      </c>
      <c r="L203" s="708">
        <v>44926</v>
      </c>
      <c r="M203" s="706"/>
      <c r="N203" s="706"/>
      <c r="O203" s="773"/>
      <c r="P203" s="706"/>
      <c r="Q203" s="706"/>
      <c r="R203" s="706"/>
      <c r="S203" s="706"/>
      <c r="T203" s="706"/>
      <c r="U203" s="709"/>
      <c r="V203" s="706"/>
      <c r="W203" s="706"/>
      <c r="X203" s="706"/>
      <c r="Y203" s="706">
        <v>3</v>
      </c>
      <c r="Z203" s="706"/>
      <c r="AA203" s="706"/>
      <c r="AB203" s="706"/>
      <c r="AC203" s="709"/>
      <c r="AD203" s="706"/>
      <c r="AE203" s="706"/>
      <c r="AF203" s="706"/>
      <c r="AG203" s="706"/>
      <c r="AH203" s="706"/>
      <c r="AI203" s="706"/>
      <c r="AJ203" s="773"/>
      <c r="AK203" s="706"/>
      <c r="AL203" s="773"/>
      <c r="AM203" s="773"/>
      <c r="AN203" s="709"/>
      <c r="AO203" s="769"/>
      <c r="AP203" s="769"/>
      <c r="AQ203" s="773"/>
      <c r="AR203" s="773"/>
      <c r="AS203" s="773"/>
      <c r="AT203"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3" s="711">
        <f>WWWW[[#This Row],[%Equitable and continuous access to sufficient quantity of safe drinking water]]*WWWW[[#This Row],[Total PoP ]]</f>
        <v>0</v>
      </c>
      <c r="AV203"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3" s="711">
        <f>WWWW[[#This Row],[% Access to unimproved water points]]*WWWW[[#This Row],[Total PoP ]]</f>
        <v>0</v>
      </c>
      <c r="AX203"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3"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3" s="711">
        <f>WWWW[[#This Row],[HRP1]]/250</f>
        <v>0</v>
      </c>
      <c r="BA203" s="713">
        <f>1-WWWW[[#This Row],[% Equitable and continuous access to sufficient quantity of domestic water]]</f>
        <v>1</v>
      </c>
      <c r="BB203" s="711">
        <f>WWWW[[#This Row],[%equitable and continuous access to sufficient quantity of safe drinking and domestic water''s GAP]]*WWWW[[#This Row],[Total PoP ]]</f>
        <v>95</v>
      </c>
      <c r="BC203" s="714">
        <f>IF(WWWW[[#This Row],[Total required water points]]-WWWW[[#This Row],['#Water points coverage]]&lt;0,0,WWWW[[#This Row],[Total required water points]]-WWWW[[#This Row],['#Water points coverage]])</f>
        <v>1</v>
      </c>
      <c r="BD203" s="714">
        <f>ROUND(IF(WWWW[[#This Row],[Total PoP ]]&lt;250,1,WWWW[[#This Row],[Total PoP ]]/250),0)</f>
        <v>1</v>
      </c>
      <c r="BE20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03" s="711">
        <f>WWWW[[#This Row],[% people access to functioning Latrine]]*WWWW[[#This Row],[Total PoP ]]</f>
        <v>0</v>
      </c>
      <c r="BG203" s="714">
        <f>WWWW[[#This Row],['#_of_Functioning_latrines_in_school]]*50</f>
        <v>0</v>
      </c>
      <c r="BH203" s="714">
        <f>ROUND((WWWW[[#This Row],[Total PoP ]]/6),0)</f>
        <v>16</v>
      </c>
      <c r="BI203" s="714">
        <f>IF(WWWW[[#This Row],[Total required Latrines]]-(WWWW[[#This Row],['#_of_sanitary_fly-proof_HH_latrines]])&lt;0,0,WWWW[[#This Row],[Total required Latrines]]-(WWWW[[#This Row],['#_of_sanitary_fly-proof_HH_latrines]]))</f>
        <v>16</v>
      </c>
      <c r="BJ203" s="710">
        <f>1-WWWW[[#This Row],[% people access to functioning Latrine]]</f>
        <v>1</v>
      </c>
      <c r="BK203"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3" s="772">
        <f>IF(WWWW[[#This Row],['#_of_functional_handwashing_facilities_at_HH_level]]*6&gt;WWWW[[#This Row],[Total PoP ]],WWWW[[#This Row],[Total PoP ]],WWWW[[#This Row],['#_of_functional_handwashing_facilities_at_HH_level]]*6)</f>
        <v>0</v>
      </c>
      <c r="BM203" s="714">
        <f>IF(WWWW[[#This Row],['# people reached by regular dedicated hygiene promotion]]&gt;WWWW[[#This Row],['# People received regular supply of hygiene items]],WWWW[[#This Row],['# people reached by regular dedicated hygiene promotion]],WWWW[[#This Row],['# People received regular supply of hygiene items]])</f>
        <v>0</v>
      </c>
      <c r="BN203" s="713">
        <f>IF(WWWW[[#This Row],[HRP3]]/WWWW[[#This Row],[Total PoP ]]&gt;100%,100%,WWWW[[#This Row],[HRP3]]/WWWW[[#This Row],[Total PoP ]])</f>
        <v>0</v>
      </c>
      <c r="BO203" s="710">
        <f>1-WWWW[[#This Row],[Hygiene Coverage%]]</f>
        <v>1</v>
      </c>
      <c r="BP203" s="712">
        <f>WWWW[[#This Row],['# people reached by regular dedicated hygiene promotion]]/WWWW[[#This Row],[Total PoP ]]</f>
        <v>0</v>
      </c>
      <c r="BQ20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3" s="770">
        <f>WWWW[[#This Row],['#_of_affected_women_and_girls_receiving_a_sufficient_quantity_of_sanitary_pads]]</f>
        <v>0</v>
      </c>
      <c r="BS203" s="773">
        <f>IF(WWWW[[#This Row],['# People with access to soap]]&gt;WWWW[[#This Row],['# People with access to Sanity Pads]],WWWW[[#This Row],['# People with access to soap]],WWWW[[#This Row],['# People with access to Sanity Pads]])</f>
        <v>0</v>
      </c>
      <c r="BT203" s="772" t="str">
        <f>IF(OR(WWWW[[#This Row],['#of students in school]]="",WWWW[[#This Row],['#of students in school]]=0),"No","Yes")</f>
        <v>No</v>
      </c>
      <c r="BU203" s="705" t="str">
        <f>VLOOKUP(WWWW[[#This Row],[Village  Name]],SiteDB6[[Site Name]:[Location Type 1]],9,FALSE)</f>
        <v>Village</v>
      </c>
      <c r="BV203" s="705" t="str">
        <f>VLOOKUP(WWWW[[#This Row],[Village  Name]],SiteDB6[[Site Name]:[Type of Accommodation]],10,FALSE)</f>
        <v>Village</v>
      </c>
      <c r="BW203" s="705">
        <f>VLOOKUP(WWWW[[#This Row],[Village  Name]],SiteDB6[[Site Name]:[Ethnic or GCA/NGCA]],11,FALSE)</f>
        <v>0</v>
      </c>
      <c r="BX203" s="705">
        <f>VLOOKUP(WWWW[[#This Row],[Village  Name]],SiteDB6[[Site Name]:[Lat]],12,FALSE)</f>
        <v>0</v>
      </c>
      <c r="BY203" s="705">
        <f>VLOOKUP(WWWW[[#This Row],[Village  Name]],SiteDB6[[Site Name]:[Long]],13,FALSE)</f>
        <v>0</v>
      </c>
      <c r="BZ203" s="705">
        <f>VLOOKUP(WWWW[[#This Row],[Village  Name]],SiteDB6[[Site Name]:[Pcode]],3,FALSE)</f>
        <v>0</v>
      </c>
      <c r="CA203" s="705" t="str">
        <f t="shared" ref="CA203:CA204" si="11">IF(C203="none","Notcovered","Covered")</f>
        <v>Covered</v>
      </c>
      <c r="CB203" s="715"/>
      <c r="CC203" s="765"/>
      <c r="CD203" s="766"/>
      <c r="CE203" s="766"/>
      <c r="CF203" s="763"/>
      <c r="CG203" s="766"/>
      <c r="CH203" s="767"/>
      <c r="CI203" s="767"/>
      <c r="CJ203" s="768"/>
      <c r="CK203" s="768"/>
      <c r="CL203" s="768"/>
      <c r="CM203" s="768"/>
      <c r="CN203" s="768"/>
      <c r="CO203" s="768"/>
      <c r="CP203" s="768"/>
      <c r="CQ203" s="768"/>
      <c r="CR203" s="768"/>
    </row>
    <row r="204" spans="1:96" s="764" customFormat="1">
      <c r="A204" s="774" t="s">
        <v>3199</v>
      </c>
      <c r="B204" s="703" t="s">
        <v>3232</v>
      </c>
      <c r="C204" s="704" t="s">
        <v>3232</v>
      </c>
      <c r="D204" s="704" t="s">
        <v>339</v>
      </c>
      <c r="E204" s="704" t="s">
        <v>36</v>
      </c>
      <c r="F204" s="704" t="s">
        <v>771</v>
      </c>
      <c r="G204" s="705" t="str">
        <f>VLOOKUP(WWWW[[#This Row],[Village  Name]],SiteDB6[[Site Name]:[Location Type]],8,FALSE)</f>
        <v>Village</v>
      </c>
      <c r="H204" s="704" t="s">
        <v>3235</v>
      </c>
      <c r="I204" s="706">
        <v>71</v>
      </c>
      <c r="J204" s="706">
        <v>485</v>
      </c>
      <c r="K204" s="707">
        <v>43831</v>
      </c>
      <c r="L204" s="708">
        <v>44926</v>
      </c>
      <c r="M204" s="706"/>
      <c r="N204" s="706"/>
      <c r="O204" s="773"/>
      <c r="P204" s="706"/>
      <c r="Q204" s="706"/>
      <c r="R204" s="706"/>
      <c r="S204" s="706"/>
      <c r="T204" s="706"/>
      <c r="U204" s="709"/>
      <c r="V204" s="706"/>
      <c r="W204" s="706"/>
      <c r="X204" s="706"/>
      <c r="Y204" s="706">
        <v>16</v>
      </c>
      <c r="Z204" s="706"/>
      <c r="AA204" s="706"/>
      <c r="AB204" s="706"/>
      <c r="AC204" s="709"/>
      <c r="AD204" s="706"/>
      <c r="AE204" s="706"/>
      <c r="AF204" s="706"/>
      <c r="AG204" s="706"/>
      <c r="AH204" s="706"/>
      <c r="AI204" s="706"/>
      <c r="AJ204" s="773"/>
      <c r="AK204" s="706"/>
      <c r="AL204" s="773"/>
      <c r="AM204" s="773"/>
      <c r="AN204" s="709"/>
      <c r="AO204" s="769"/>
      <c r="AP204" s="769"/>
      <c r="AQ204" s="773"/>
      <c r="AR204" s="773"/>
      <c r="AS204" s="773"/>
      <c r="AT204"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4" s="711">
        <f>WWWW[[#This Row],[%Equitable and continuous access to sufficient quantity of safe drinking water]]*WWWW[[#This Row],[Total PoP ]]</f>
        <v>0</v>
      </c>
      <c r="AV204"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4" s="711">
        <f>WWWW[[#This Row],[% Access to unimproved water points]]*WWWW[[#This Row],[Total PoP ]]</f>
        <v>0</v>
      </c>
      <c r="AX204"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4"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4" s="711">
        <f>WWWW[[#This Row],[HRP1]]/250</f>
        <v>0</v>
      </c>
      <c r="BA204" s="713">
        <f>1-WWWW[[#This Row],[% Equitable and continuous access to sufficient quantity of domestic water]]</f>
        <v>1</v>
      </c>
      <c r="BB204" s="711">
        <f>WWWW[[#This Row],[%equitable and continuous access to sufficient quantity of safe drinking and domestic water''s GAP]]*WWWW[[#This Row],[Total PoP ]]</f>
        <v>485</v>
      </c>
      <c r="BC204" s="714">
        <f>IF(WWWW[[#This Row],[Total required water points]]-WWWW[[#This Row],['#Water points coverage]]&lt;0,0,WWWW[[#This Row],[Total required water points]]-WWWW[[#This Row],['#Water points coverage]])</f>
        <v>2</v>
      </c>
      <c r="BD204" s="714">
        <f>ROUND(IF(WWWW[[#This Row],[Total PoP ]]&lt;250,1,WWWW[[#This Row],[Total PoP ]]/250),0)</f>
        <v>2</v>
      </c>
      <c r="BE20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04" s="711">
        <f>WWWW[[#This Row],[% people access to functioning Latrine]]*WWWW[[#This Row],[Total PoP ]]</f>
        <v>0</v>
      </c>
      <c r="BG204" s="714">
        <f>WWWW[[#This Row],['#_of_Functioning_latrines_in_school]]*50</f>
        <v>0</v>
      </c>
      <c r="BH204" s="714">
        <f>ROUND((WWWW[[#This Row],[Total PoP ]]/6),0)</f>
        <v>81</v>
      </c>
      <c r="BI204" s="714">
        <f>IF(WWWW[[#This Row],[Total required Latrines]]-(WWWW[[#This Row],['#_of_sanitary_fly-proof_HH_latrines]])&lt;0,0,WWWW[[#This Row],[Total required Latrines]]-(WWWW[[#This Row],['#_of_sanitary_fly-proof_HH_latrines]]))</f>
        <v>81</v>
      </c>
      <c r="BJ204" s="710">
        <f>1-WWWW[[#This Row],[% people access to functioning Latrine]]</f>
        <v>1</v>
      </c>
      <c r="BK204"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4" s="772">
        <f>IF(WWWW[[#This Row],['#_of_functional_handwashing_facilities_at_HH_level]]*6&gt;WWWW[[#This Row],[Total PoP ]],WWWW[[#This Row],[Total PoP ]],WWWW[[#This Row],['#_of_functional_handwashing_facilities_at_HH_level]]*6)</f>
        <v>0</v>
      </c>
      <c r="BM204" s="714">
        <f>IF(WWWW[[#This Row],['# people reached by regular dedicated hygiene promotion]]&gt;WWWW[[#This Row],['# People received regular supply of hygiene items]],WWWW[[#This Row],['# people reached by regular dedicated hygiene promotion]],WWWW[[#This Row],['# People received regular supply of hygiene items]])</f>
        <v>0</v>
      </c>
      <c r="BN204" s="713">
        <f>IF(WWWW[[#This Row],[HRP3]]/WWWW[[#This Row],[Total PoP ]]&gt;100%,100%,WWWW[[#This Row],[HRP3]]/WWWW[[#This Row],[Total PoP ]])</f>
        <v>0</v>
      </c>
      <c r="BO204" s="710">
        <f>1-WWWW[[#This Row],[Hygiene Coverage%]]</f>
        <v>1</v>
      </c>
      <c r="BP204" s="712">
        <f>WWWW[[#This Row],['# people reached by regular dedicated hygiene promotion]]/WWWW[[#This Row],[Total PoP ]]</f>
        <v>0</v>
      </c>
      <c r="BQ20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4" s="770">
        <f>WWWW[[#This Row],['#_of_affected_women_and_girls_receiving_a_sufficient_quantity_of_sanitary_pads]]</f>
        <v>0</v>
      </c>
      <c r="BS204" s="773">
        <f>IF(WWWW[[#This Row],['# People with access to soap]]&gt;WWWW[[#This Row],['# People with access to Sanity Pads]],WWWW[[#This Row],['# People with access to soap]],WWWW[[#This Row],['# People with access to Sanity Pads]])</f>
        <v>0</v>
      </c>
      <c r="BT204" s="772" t="str">
        <f>IF(OR(WWWW[[#This Row],['#of students in school]]="",WWWW[[#This Row],['#of students in school]]=0),"No","Yes")</f>
        <v>No</v>
      </c>
      <c r="BU204" s="705" t="str">
        <f>VLOOKUP(WWWW[[#This Row],[Village  Name]],SiteDB6[[Site Name]:[Location Type 1]],9,FALSE)</f>
        <v>Village</v>
      </c>
      <c r="BV204" s="705" t="str">
        <f>VLOOKUP(WWWW[[#This Row],[Village  Name]],SiteDB6[[Site Name]:[Type of Accommodation]],10,FALSE)</f>
        <v>Village</v>
      </c>
      <c r="BW204" s="705">
        <f>VLOOKUP(WWWW[[#This Row],[Village  Name]],SiteDB6[[Site Name]:[Ethnic or GCA/NGCA]],11,FALSE)</f>
        <v>0</v>
      </c>
      <c r="BX204" s="705">
        <f>VLOOKUP(WWWW[[#This Row],[Village  Name]],SiteDB6[[Site Name]:[Lat]],12,FALSE)</f>
        <v>0</v>
      </c>
      <c r="BY204" s="705">
        <f>VLOOKUP(WWWW[[#This Row],[Village  Name]],SiteDB6[[Site Name]:[Long]],13,FALSE)</f>
        <v>0</v>
      </c>
      <c r="BZ204" s="705">
        <f>VLOOKUP(WWWW[[#This Row],[Village  Name]],SiteDB6[[Site Name]:[Pcode]],3,FALSE)</f>
        <v>0</v>
      </c>
      <c r="CA204" s="705" t="str">
        <f t="shared" si="11"/>
        <v>Covered</v>
      </c>
      <c r="CB204" s="715"/>
      <c r="CC204" s="765"/>
      <c r="CD204" s="766"/>
      <c r="CE204" s="766"/>
      <c r="CF204" s="763"/>
      <c r="CG204" s="766"/>
      <c r="CH204" s="767"/>
      <c r="CI204" s="767"/>
      <c r="CJ204" s="768"/>
      <c r="CK204" s="768"/>
      <c r="CL204" s="768"/>
      <c r="CM204" s="768"/>
      <c r="CN204" s="768"/>
      <c r="CO204" s="768"/>
      <c r="CP204" s="768"/>
      <c r="CQ204" s="768"/>
      <c r="CR204" s="768"/>
    </row>
    <row r="205" spans="1:96" s="764" customFormat="1">
      <c r="A205" s="774" t="s">
        <v>3199</v>
      </c>
      <c r="B205" s="703" t="s">
        <v>3232</v>
      </c>
      <c r="C205" s="704" t="s">
        <v>3232</v>
      </c>
      <c r="D205" s="704" t="s">
        <v>339</v>
      </c>
      <c r="E205" s="704" t="s">
        <v>36</v>
      </c>
      <c r="F205" s="704" t="s">
        <v>771</v>
      </c>
      <c r="G205" s="705" t="str">
        <f>VLOOKUP(WWWW[[#This Row],[Village  Name]],SiteDB6[[Site Name]:[Location Type]],8,FALSE)</f>
        <v>Village</v>
      </c>
      <c r="H205" s="704" t="s">
        <v>3236</v>
      </c>
      <c r="I205" s="706">
        <v>64</v>
      </c>
      <c r="J205" s="706">
        <v>318</v>
      </c>
      <c r="K205" s="707">
        <v>43831</v>
      </c>
      <c r="L205" s="708">
        <v>44926</v>
      </c>
      <c r="M205" s="706"/>
      <c r="N205" s="706"/>
      <c r="O205" s="773"/>
      <c r="P205" s="706"/>
      <c r="Q205" s="706"/>
      <c r="R205" s="706"/>
      <c r="S205" s="706"/>
      <c r="T205" s="706"/>
      <c r="U205" s="709"/>
      <c r="V205" s="706"/>
      <c r="W205" s="706"/>
      <c r="X205" s="706"/>
      <c r="Y205" s="706">
        <v>2</v>
      </c>
      <c r="Z205" s="706"/>
      <c r="AA205" s="706"/>
      <c r="AB205" s="706"/>
      <c r="AC205" s="709"/>
      <c r="AD205" s="706"/>
      <c r="AE205" s="706"/>
      <c r="AF205" s="706"/>
      <c r="AG205" s="706"/>
      <c r="AH205" s="706"/>
      <c r="AI205" s="706"/>
      <c r="AJ205" s="773"/>
      <c r="AK205" s="706"/>
      <c r="AL205" s="773"/>
      <c r="AM205" s="773"/>
      <c r="AN205" s="709"/>
      <c r="AO205" s="769"/>
      <c r="AP205" s="769"/>
      <c r="AQ205" s="773"/>
      <c r="AR205" s="773"/>
      <c r="AS205" s="773"/>
      <c r="AT205"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5" s="711">
        <f>WWWW[[#This Row],[%Equitable and continuous access to sufficient quantity of safe drinking water]]*WWWW[[#This Row],[Total PoP ]]</f>
        <v>0</v>
      </c>
      <c r="AV205"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5" s="711">
        <f>WWWW[[#This Row],[% Access to unimproved water points]]*WWWW[[#This Row],[Total PoP ]]</f>
        <v>0</v>
      </c>
      <c r="AX205"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5"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5" s="711">
        <f>WWWW[[#This Row],[HRP1]]/250</f>
        <v>0</v>
      </c>
      <c r="BA205" s="713">
        <f>1-WWWW[[#This Row],[% Equitable and continuous access to sufficient quantity of domestic water]]</f>
        <v>1</v>
      </c>
      <c r="BB205" s="711">
        <f>WWWW[[#This Row],[%equitable and continuous access to sufficient quantity of safe drinking and domestic water''s GAP]]*WWWW[[#This Row],[Total PoP ]]</f>
        <v>318</v>
      </c>
      <c r="BC205" s="714">
        <f>IF(WWWW[[#This Row],[Total required water points]]-WWWW[[#This Row],['#Water points coverage]]&lt;0,0,WWWW[[#This Row],[Total required water points]]-WWWW[[#This Row],['#Water points coverage]])</f>
        <v>1</v>
      </c>
      <c r="BD205" s="714">
        <f>ROUND(IF(WWWW[[#This Row],[Total PoP ]]&lt;250,1,WWWW[[#This Row],[Total PoP ]]/250),0)</f>
        <v>1</v>
      </c>
      <c r="BE20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05" s="711">
        <f>WWWW[[#This Row],[% people access to functioning Latrine]]*WWWW[[#This Row],[Total PoP ]]</f>
        <v>0</v>
      </c>
      <c r="BG205" s="714">
        <f>WWWW[[#This Row],['#_of_Functioning_latrines_in_school]]*50</f>
        <v>0</v>
      </c>
      <c r="BH205" s="714">
        <f>ROUND((WWWW[[#This Row],[Total PoP ]]/6),0)</f>
        <v>53</v>
      </c>
      <c r="BI205" s="714">
        <f>IF(WWWW[[#This Row],[Total required Latrines]]-(WWWW[[#This Row],['#_of_sanitary_fly-proof_HH_latrines]])&lt;0,0,WWWW[[#This Row],[Total required Latrines]]-(WWWW[[#This Row],['#_of_sanitary_fly-proof_HH_latrines]]))</f>
        <v>53</v>
      </c>
      <c r="BJ205" s="710">
        <f>1-WWWW[[#This Row],[% people access to functioning Latrine]]</f>
        <v>1</v>
      </c>
      <c r="BK205"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5" s="772">
        <f>IF(WWWW[[#This Row],['#_of_functional_handwashing_facilities_at_HH_level]]*6&gt;WWWW[[#This Row],[Total PoP ]],WWWW[[#This Row],[Total PoP ]],WWWW[[#This Row],['#_of_functional_handwashing_facilities_at_HH_level]]*6)</f>
        <v>0</v>
      </c>
      <c r="BM205" s="714">
        <f>IF(WWWW[[#This Row],['# people reached by regular dedicated hygiene promotion]]&gt;WWWW[[#This Row],['# People received regular supply of hygiene items]],WWWW[[#This Row],['# people reached by regular dedicated hygiene promotion]],WWWW[[#This Row],['# People received regular supply of hygiene items]])</f>
        <v>0</v>
      </c>
      <c r="BN205" s="713">
        <f>IF(WWWW[[#This Row],[HRP3]]/WWWW[[#This Row],[Total PoP ]]&gt;100%,100%,WWWW[[#This Row],[HRP3]]/WWWW[[#This Row],[Total PoP ]])</f>
        <v>0</v>
      </c>
      <c r="BO205" s="710">
        <f>1-WWWW[[#This Row],[Hygiene Coverage%]]</f>
        <v>1</v>
      </c>
      <c r="BP205" s="712">
        <f>WWWW[[#This Row],['# people reached by regular dedicated hygiene promotion]]/WWWW[[#This Row],[Total PoP ]]</f>
        <v>0</v>
      </c>
      <c r="BQ20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5" s="770">
        <f>WWWW[[#This Row],['#_of_affected_women_and_girls_receiving_a_sufficient_quantity_of_sanitary_pads]]</f>
        <v>0</v>
      </c>
      <c r="BS205" s="773">
        <f>IF(WWWW[[#This Row],['# People with access to soap]]&gt;WWWW[[#This Row],['# People with access to Sanity Pads]],WWWW[[#This Row],['# People with access to soap]],WWWW[[#This Row],['# People with access to Sanity Pads]])</f>
        <v>0</v>
      </c>
      <c r="BT205" s="772" t="str">
        <f>IF(OR(WWWW[[#This Row],['#of students in school]]="",WWWW[[#This Row],['#of students in school]]=0),"No","Yes")</f>
        <v>No</v>
      </c>
      <c r="BU205" s="705" t="str">
        <f>VLOOKUP(WWWW[[#This Row],[Village  Name]],SiteDB6[[Site Name]:[Location Type 1]],9,FALSE)</f>
        <v>Village</v>
      </c>
      <c r="BV205" s="705" t="str">
        <f>VLOOKUP(WWWW[[#This Row],[Village  Name]],SiteDB6[[Site Name]:[Type of Accommodation]],10,FALSE)</f>
        <v>Village</v>
      </c>
      <c r="BW205" s="705">
        <f>VLOOKUP(WWWW[[#This Row],[Village  Name]],SiteDB6[[Site Name]:[Ethnic or GCA/NGCA]],11,FALSE)</f>
        <v>0</v>
      </c>
      <c r="BX205" s="705">
        <f>VLOOKUP(WWWW[[#This Row],[Village  Name]],SiteDB6[[Site Name]:[Lat]],12,FALSE)</f>
        <v>0</v>
      </c>
      <c r="BY205" s="705">
        <f>VLOOKUP(WWWW[[#This Row],[Village  Name]],SiteDB6[[Site Name]:[Long]],13,FALSE)</f>
        <v>0</v>
      </c>
      <c r="BZ205" s="705">
        <f>VLOOKUP(WWWW[[#This Row],[Village  Name]],SiteDB6[[Site Name]:[Pcode]],3,FALSE)</f>
        <v>0</v>
      </c>
      <c r="CA205" s="705" t="str">
        <f t="shared" ref="CA205:CA215" si="12">IF(C205="none","Notcovered","Covered")</f>
        <v>Covered</v>
      </c>
      <c r="CB205" s="715"/>
      <c r="CC205" s="765"/>
      <c r="CD205" s="766"/>
      <c r="CE205" s="766"/>
      <c r="CF205" s="763"/>
      <c r="CG205" s="766"/>
      <c r="CH205" s="767"/>
      <c r="CI205" s="767"/>
      <c r="CJ205" s="768"/>
      <c r="CK205" s="768"/>
      <c r="CL205" s="768"/>
      <c r="CM205" s="768"/>
      <c r="CN205" s="768"/>
      <c r="CO205" s="768"/>
      <c r="CP205" s="768"/>
      <c r="CQ205" s="768"/>
      <c r="CR205" s="768"/>
    </row>
    <row r="206" spans="1:96" s="764" customFormat="1">
      <c r="A206" s="774" t="s">
        <v>3199</v>
      </c>
      <c r="B206" s="703" t="s">
        <v>3232</v>
      </c>
      <c r="C206" s="704" t="s">
        <v>3232</v>
      </c>
      <c r="D206" s="704" t="s">
        <v>339</v>
      </c>
      <c r="E206" s="704" t="s">
        <v>36</v>
      </c>
      <c r="F206" s="704" t="s">
        <v>771</v>
      </c>
      <c r="G206" s="705" t="str">
        <f>VLOOKUP(WWWW[[#This Row],[Village  Name]],SiteDB6[[Site Name]:[Location Type]],8,FALSE)</f>
        <v>Village</v>
      </c>
      <c r="H206" s="704" t="s">
        <v>3237</v>
      </c>
      <c r="I206" s="706">
        <v>27</v>
      </c>
      <c r="J206" s="706">
        <v>208</v>
      </c>
      <c r="K206" s="707">
        <v>43831</v>
      </c>
      <c r="L206" s="708">
        <v>44926</v>
      </c>
      <c r="M206" s="706"/>
      <c r="N206" s="706"/>
      <c r="O206" s="773"/>
      <c r="P206" s="706"/>
      <c r="Q206" s="706"/>
      <c r="R206" s="706"/>
      <c r="S206" s="706"/>
      <c r="T206" s="706"/>
      <c r="U206" s="709"/>
      <c r="V206" s="706"/>
      <c r="W206" s="706"/>
      <c r="X206" s="706"/>
      <c r="Y206" s="706">
        <v>4</v>
      </c>
      <c r="Z206" s="706"/>
      <c r="AA206" s="706"/>
      <c r="AB206" s="706"/>
      <c r="AC206" s="709"/>
      <c r="AD206" s="706"/>
      <c r="AE206" s="706"/>
      <c r="AF206" s="706"/>
      <c r="AG206" s="706"/>
      <c r="AH206" s="706"/>
      <c r="AI206" s="706"/>
      <c r="AJ206" s="773"/>
      <c r="AK206" s="706"/>
      <c r="AL206" s="773"/>
      <c r="AM206" s="773"/>
      <c r="AN206" s="709"/>
      <c r="AO206" s="769"/>
      <c r="AP206" s="769"/>
      <c r="AQ206" s="773"/>
      <c r="AR206" s="773"/>
      <c r="AS206" s="773"/>
      <c r="AT206"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6" s="711">
        <f>WWWW[[#This Row],[%Equitable and continuous access to sufficient quantity of safe drinking water]]*WWWW[[#This Row],[Total PoP ]]</f>
        <v>0</v>
      </c>
      <c r="AV206"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6" s="711">
        <f>WWWW[[#This Row],[% Access to unimproved water points]]*WWWW[[#This Row],[Total PoP ]]</f>
        <v>0</v>
      </c>
      <c r="AX206"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6"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6" s="711">
        <f>WWWW[[#This Row],[HRP1]]/250</f>
        <v>0</v>
      </c>
      <c r="BA206" s="713">
        <f>1-WWWW[[#This Row],[% Equitable and continuous access to sufficient quantity of domestic water]]</f>
        <v>1</v>
      </c>
      <c r="BB206" s="711">
        <f>WWWW[[#This Row],[%equitable and continuous access to sufficient quantity of safe drinking and domestic water''s GAP]]*WWWW[[#This Row],[Total PoP ]]</f>
        <v>208</v>
      </c>
      <c r="BC206" s="714">
        <f>IF(WWWW[[#This Row],[Total required water points]]-WWWW[[#This Row],['#Water points coverage]]&lt;0,0,WWWW[[#This Row],[Total required water points]]-WWWW[[#This Row],['#Water points coverage]])</f>
        <v>1</v>
      </c>
      <c r="BD206" s="714">
        <f>ROUND(IF(WWWW[[#This Row],[Total PoP ]]&lt;250,1,WWWW[[#This Row],[Total PoP ]]/250),0)</f>
        <v>1</v>
      </c>
      <c r="BE20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06" s="711">
        <f>WWWW[[#This Row],[% people access to functioning Latrine]]*WWWW[[#This Row],[Total PoP ]]</f>
        <v>0</v>
      </c>
      <c r="BG206" s="714">
        <f>WWWW[[#This Row],['#_of_Functioning_latrines_in_school]]*50</f>
        <v>0</v>
      </c>
      <c r="BH206" s="714">
        <f>ROUND((WWWW[[#This Row],[Total PoP ]]/6),0)</f>
        <v>35</v>
      </c>
      <c r="BI206" s="714">
        <f>IF(WWWW[[#This Row],[Total required Latrines]]-(WWWW[[#This Row],['#_of_sanitary_fly-proof_HH_latrines]])&lt;0,0,WWWW[[#This Row],[Total required Latrines]]-(WWWW[[#This Row],['#_of_sanitary_fly-proof_HH_latrines]]))</f>
        <v>35</v>
      </c>
      <c r="BJ206" s="710">
        <f>1-WWWW[[#This Row],[% people access to functioning Latrine]]</f>
        <v>1</v>
      </c>
      <c r="BK206"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6" s="772">
        <f>IF(WWWW[[#This Row],['#_of_functional_handwashing_facilities_at_HH_level]]*6&gt;WWWW[[#This Row],[Total PoP ]],WWWW[[#This Row],[Total PoP ]],WWWW[[#This Row],['#_of_functional_handwashing_facilities_at_HH_level]]*6)</f>
        <v>0</v>
      </c>
      <c r="BM206" s="714">
        <f>IF(WWWW[[#This Row],['# people reached by regular dedicated hygiene promotion]]&gt;WWWW[[#This Row],['# People received regular supply of hygiene items]],WWWW[[#This Row],['# people reached by regular dedicated hygiene promotion]],WWWW[[#This Row],['# People received regular supply of hygiene items]])</f>
        <v>0</v>
      </c>
      <c r="BN206" s="713">
        <f>IF(WWWW[[#This Row],[HRP3]]/WWWW[[#This Row],[Total PoP ]]&gt;100%,100%,WWWW[[#This Row],[HRP3]]/WWWW[[#This Row],[Total PoP ]])</f>
        <v>0</v>
      </c>
      <c r="BO206" s="710">
        <f>1-WWWW[[#This Row],[Hygiene Coverage%]]</f>
        <v>1</v>
      </c>
      <c r="BP206" s="712">
        <f>WWWW[[#This Row],['# people reached by regular dedicated hygiene promotion]]/WWWW[[#This Row],[Total PoP ]]</f>
        <v>0</v>
      </c>
      <c r="BQ20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6" s="770">
        <f>WWWW[[#This Row],['#_of_affected_women_and_girls_receiving_a_sufficient_quantity_of_sanitary_pads]]</f>
        <v>0</v>
      </c>
      <c r="BS206" s="773">
        <f>IF(WWWW[[#This Row],['# People with access to soap]]&gt;WWWW[[#This Row],['# People with access to Sanity Pads]],WWWW[[#This Row],['# People with access to soap]],WWWW[[#This Row],['# People with access to Sanity Pads]])</f>
        <v>0</v>
      </c>
      <c r="BT206" s="772" t="str">
        <f>IF(OR(WWWW[[#This Row],['#of students in school]]="",WWWW[[#This Row],['#of students in school]]=0),"No","Yes")</f>
        <v>No</v>
      </c>
      <c r="BU206" s="705" t="str">
        <f>VLOOKUP(WWWW[[#This Row],[Village  Name]],SiteDB6[[Site Name]:[Location Type 1]],9,FALSE)</f>
        <v>Village</v>
      </c>
      <c r="BV206" s="705" t="str">
        <f>VLOOKUP(WWWW[[#This Row],[Village  Name]],SiteDB6[[Site Name]:[Type of Accommodation]],10,FALSE)</f>
        <v>Village</v>
      </c>
      <c r="BW206" s="705">
        <f>VLOOKUP(WWWW[[#This Row],[Village  Name]],SiteDB6[[Site Name]:[Ethnic or GCA/NGCA]],11,FALSE)</f>
        <v>0</v>
      </c>
      <c r="BX206" s="705">
        <f>VLOOKUP(WWWW[[#This Row],[Village  Name]],SiteDB6[[Site Name]:[Lat]],12,FALSE)</f>
        <v>0</v>
      </c>
      <c r="BY206" s="705">
        <f>VLOOKUP(WWWW[[#This Row],[Village  Name]],SiteDB6[[Site Name]:[Long]],13,FALSE)</f>
        <v>0</v>
      </c>
      <c r="BZ206" s="705">
        <f>VLOOKUP(WWWW[[#This Row],[Village  Name]],SiteDB6[[Site Name]:[Pcode]],3,FALSE)</f>
        <v>0</v>
      </c>
      <c r="CA206" s="705" t="str">
        <f t="shared" si="12"/>
        <v>Covered</v>
      </c>
      <c r="CB206" s="715"/>
      <c r="CC206" s="765"/>
      <c r="CD206" s="766"/>
      <c r="CE206" s="766"/>
      <c r="CF206" s="763"/>
      <c r="CG206" s="766"/>
      <c r="CH206" s="767"/>
      <c r="CI206" s="767"/>
      <c r="CJ206" s="768"/>
      <c r="CK206" s="768"/>
      <c r="CL206" s="768"/>
      <c r="CM206" s="768"/>
      <c r="CN206" s="768"/>
      <c r="CO206" s="768"/>
      <c r="CP206" s="768"/>
      <c r="CQ206" s="768"/>
      <c r="CR206" s="768"/>
    </row>
    <row r="207" spans="1:96" s="764" customFormat="1">
      <c r="A207" s="774" t="s">
        <v>3199</v>
      </c>
      <c r="B207" s="703" t="s">
        <v>3232</v>
      </c>
      <c r="C207" s="704" t="s">
        <v>3232</v>
      </c>
      <c r="D207" s="704" t="s">
        <v>339</v>
      </c>
      <c r="E207" s="704" t="s">
        <v>36</v>
      </c>
      <c r="F207" s="704" t="s">
        <v>771</v>
      </c>
      <c r="G207" s="705" t="str">
        <f>VLOOKUP(WWWW[[#This Row],[Village  Name]],SiteDB6[[Site Name]:[Location Type]],8,FALSE)</f>
        <v>Village</v>
      </c>
      <c r="H207" s="704" t="s">
        <v>3238</v>
      </c>
      <c r="I207" s="706">
        <v>43</v>
      </c>
      <c r="J207" s="706">
        <v>240</v>
      </c>
      <c r="K207" s="707">
        <v>43831</v>
      </c>
      <c r="L207" s="708">
        <v>44926</v>
      </c>
      <c r="M207" s="706"/>
      <c r="N207" s="706"/>
      <c r="O207" s="773"/>
      <c r="P207" s="706"/>
      <c r="Q207" s="706"/>
      <c r="R207" s="706"/>
      <c r="S207" s="706"/>
      <c r="T207" s="706"/>
      <c r="U207" s="709"/>
      <c r="V207" s="706"/>
      <c r="W207" s="706"/>
      <c r="X207" s="706"/>
      <c r="Y207" s="706">
        <v>1</v>
      </c>
      <c r="Z207" s="706"/>
      <c r="AA207" s="706"/>
      <c r="AB207" s="706"/>
      <c r="AC207" s="709"/>
      <c r="AD207" s="706"/>
      <c r="AE207" s="706"/>
      <c r="AF207" s="706"/>
      <c r="AG207" s="706"/>
      <c r="AH207" s="706"/>
      <c r="AI207" s="706"/>
      <c r="AJ207" s="773"/>
      <c r="AK207" s="706"/>
      <c r="AL207" s="773"/>
      <c r="AM207" s="773"/>
      <c r="AN207" s="709"/>
      <c r="AO207" s="769"/>
      <c r="AP207" s="769"/>
      <c r="AQ207" s="773"/>
      <c r="AR207" s="773"/>
      <c r="AS207" s="773"/>
      <c r="AT207"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7" s="711">
        <f>WWWW[[#This Row],[%Equitable and continuous access to sufficient quantity of safe drinking water]]*WWWW[[#This Row],[Total PoP ]]</f>
        <v>0</v>
      </c>
      <c r="AV207"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7" s="711">
        <f>WWWW[[#This Row],[% Access to unimproved water points]]*WWWW[[#This Row],[Total PoP ]]</f>
        <v>0</v>
      </c>
      <c r="AX207"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7"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7" s="711">
        <f>WWWW[[#This Row],[HRP1]]/250</f>
        <v>0</v>
      </c>
      <c r="BA207" s="713">
        <f>1-WWWW[[#This Row],[% Equitable and continuous access to sufficient quantity of domestic water]]</f>
        <v>1</v>
      </c>
      <c r="BB207" s="711">
        <f>WWWW[[#This Row],[%equitable and continuous access to sufficient quantity of safe drinking and domestic water''s GAP]]*WWWW[[#This Row],[Total PoP ]]</f>
        <v>240</v>
      </c>
      <c r="BC207" s="714">
        <f>IF(WWWW[[#This Row],[Total required water points]]-WWWW[[#This Row],['#Water points coverage]]&lt;0,0,WWWW[[#This Row],[Total required water points]]-WWWW[[#This Row],['#Water points coverage]])</f>
        <v>1</v>
      </c>
      <c r="BD207" s="714">
        <f>ROUND(IF(WWWW[[#This Row],[Total PoP ]]&lt;250,1,WWWW[[#This Row],[Total PoP ]]/250),0)</f>
        <v>1</v>
      </c>
      <c r="BE20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07" s="711">
        <f>WWWW[[#This Row],[% people access to functioning Latrine]]*WWWW[[#This Row],[Total PoP ]]</f>
        <v>0</v>
      </c>
      <c r="BG207" s="714">
        <f>WWWW[[#This Row],['#_of_Functioning_latrines_in_school]]*50</f>
        <v>0</v>
      </c>
      <c r="BH207" s="714">
        <f>ROUND((WWWW[[#This Row],[Total PoP ]]/6),0)</f>
        <v>40</v>
      </c>
      <c r="BI207" s="714">
        <f>IF(WWWW[[#This Row],[Total required Latrines]]-(WWWW[[#This Row],['#_of_sanitary_fly-proof_HH_latrines]])&lt;0,0,WWWW[[#This Row],[Total required Latrines]]-(WWWW[[#This Row],['#_of_sanitary_fly-proof_HH_latrines]]))</f>
        <v>40</v>
      </c>
      <c r="BJ207" s="710">
        <f>1-WWWW[[#This Row],[% people access to functioning Latrine]]</f>
        <v>1</v>
      </c>
      <c r="BK207"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7" s="772">
        <f>IF(WWWW[[#This Row],['#_of_functional_handwashing_facilities_at_HH_level]]*6&gt;WWWW[[#This Row],[Total PoP ]],WWWW[[#This Row],[Total PoP ]],WWWW[[#This Row],['#_of_functional_handwashing_facilities_at_HH_level]]*6)</f>
        <v>0</v>
      </c>
      <c r="BM207" s="714">
        <f>IF(WWWW[[#This Row],['# people reached by regular dedicated hygiene promotion]]&gt;WWWW[[#This Row],['# People received regular supply of hygiene items]],WWWW[[#This Row],['# people reached by regular dedicated hygiene promotion]],WWWW[[#This Row],['# People received regular supply of hygiene items]])</f>
        <v>0</v>
      </c>
      <c r="BN207" s="713">
        <f>IF(WWWW[[#This Row],[HRP3]]/WWWW[[#This Row],[Total PoP ]]&gt;100%,100%,WWWW[[#This Row],[HRP3]]/WWWW[[#This Row],[Total PoP ]])</f>
        <v>0</v>
      </c>
      <c r="BO207" s="710">
        <f>1-WWWW[[#This Row],[Hygiene Coverage%]]</f>
        <v>1</v>
      </c>
      <c r="BP207" s="712">
        <f>WWWW[[#This Row],['# people reached by regular dedicated hygiene promotion]]/WWWW[[#This Row],[Total PoP ]]</f>
        <v>0</v>
      </c>
      <c r="BQ20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7" s="770">
        <f>WWWW[[#This Row],['#_of_affected_women_and_girls_receiving_a_sufficient_quantity_of_sanitary_pads]]</f>
        <v>0</v>
      </c>
      <c r="BS207" s="773">
        <f>IF(WWWW[[#This Row],['# People with access to soap]]&gt;WWWW[[#This Row],['# People with access to Sanity Pads]],WWWW[[#This Row],['# People with access to soap]],WWWW[[#This Row],['# People with access to Sanity Pads]])</f>
        <v>0</v>
      </c>
      <c r="BT207" s="772" t="str">
        <f>IF(OR(WWWW[[#This Row],['#of students in school]]="",WWWW[[#This Row],['#of students in school]]=0),"No","Yes")</f>
        <v>No</v>
      </c>
      <c r="BU207" s="705" t="str">
        <f>VLOOKUP(WWWW[[#This Row],[Village  Name]],SiteDB6[[Site Name]:[Location Type 1]],9,FALSE)</f>
        <v>Village</v>
      </c>
      <c r="BV207" s="705" t="str">
        <f>VLOOKUP(WWWW[[#This Row],[Village  Name]],SiteDB6[[Site Name]:[Type of Accommodation]],10,FALSE)</f>
        <v>Village</v>
      </c>
      <c r="BW207" s="705">
        <f>VLOOKUP(WWWW[[#This Row],[Village  Name]],SiteDB6[[Site Name]:[Ethnic or GCA/NGCA]],11,FALSE)</f>
        <v>0</v>
      </c>
      <c r="BX207" s="705">
        <f>VLOOKUP(WWWW[[#This Row],[Village  Name]],SiteDB6[[Site Name]:[Lat]],12,FALSE)</f>
        <v>0</v>
      </c>
      <c r="BY207" s="705">
        <f>VLOOKUP(WWWW[[#This Row],[Village  Name]],SiteDB6[[Site Name]:[Long]],13,FALSE)</f>
        <v>0</v>
      </c>
      <c r="BZ207" s="705">
        <f>VLOOKUP(WWWW[[#This Row],[Village  Name]],SiteDB6[[Site Name]:[Pcode]],3,FALSE)</f>
        <v>0</v>
      </c>
      <c r="CA207" s="705" t="str">
        <f t="shared" si="12"/>
        <v>Covered</v>
      </c>
      <c r="CB207" s="715"/>
      <c r="CC207" s="765"/>
      <c r="CD207" s="766"/>
      <c r="CE207" s="766"/>
      <c r="CF207" s="763"/>
      <c r="CG207" s="766"/>
      <c r="CH207" s="767"/>
      <c r="CI207" s="767"/>
      <c r="CJ207" s="768"/>
      <c r="CK207" s="768"/>
      <c r="CL207" s="768"/>
      <c r="CM207" s="768"/>
      <c r="CN207" s="768"/>
      <c r="CO207" s="768"/>
      <c r="CP207" s="768"/>
      <c r="CQ207" s="768"/>
      <c r="CR207" s="768"/>
    </row>
    <row r="208" spans="1:96" s="764" customFormat="1">
      <c r="A208" s="774" t="s">
        <v>3199</v>
      </c>
      <c r="B208" s="703" t="s">
        <v>3232</v>
      </c>
      <c r="C208" s="704" t="s">
        <v>3232</v>
      </c>
      <c r="D208" s="704" t="s">
        <v>339</v>
      </c>
      <c r="E208" s="704" t="s">
        <v>36</v>
      </c>
      <c r="F208" s="704" t="s">
        <v>771</v>
      </c>
      <c r="G208" s="705" t="str">
        <f>VLOOKUP(WWWW[[#This Row],[Village  Name]],SiteDB6[[Site Name]:[Location Type]],8,FALSE)</f>
        <v>Village</v>
      </c>
      <c r="H208" s="704" t="s">
        <v>3239</v>
      </c>
      <c r="I208" s="706">
        <v>70</v>
      </c>
      <c r="J208" s="706">
        <v>332</v>
      </c>
      <c r="K208" s="707">
        <v>43831</v>
      </c>
      <c r="L208" s="708">
        <v>44926</v>
      </c>
      <c r="M208" s="706"/>
      <c r="N208" s="706"/>
      <c r="O208" s="773"/>
      <c r="P208" s="706"/>
      <c r="Q208" s="706"/>
      <c r="R208" s="706"/>
      <c r="S208" s="706"/>
      <c r="T208" s="706"/>
      <c r="U208" s="709"/>
      <c r="V208" s="706"/>
      <c r="W208" s="706"/>
      <c r="X208" s="706"/>
      <c r="Y208" s="706">
        <v>1</v>
      </c>
      <c r="Z208" s="706"/>
      <c r="AA208" s="706"/>
      <c r="AB208" s="706"/>
      <c r="AC208" s="709"/>
      <c r="AD208" s="706"/>
      <c r="AE208" s="706"/>
      <c r="AF208" s="706"/>
      <c r="AG208" s="706"/>
      <c r="AH208" s="706"/>
      <c r="AI208" s="706"/>
      <c r="AJ208" s="773"/>
      <c r="AK208" s="706"/>
      <c r="AL208" s="773"/>
      <c r="AM208" s="773"/>
      <c r="AN208" s="709"/>
      <c r="AO208" s="769"/>
      <c r="AP208" s="769"/>
      <c r="AQ208" s="773"/>
      <c r="AR208" s="773"/>
      <c r="AS208" s="773"/>
      <c r="AT208"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8" s="711">
        <f>WWWW[[#This Row],[%Equitable and continuous access to sufficient quantity of safe drinking water]]*WWWW[[#This Row],[Total PoP ]]</f>
        <v>0</v>
      </c>
      <c r="AV208"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8" s="711">
        <f>WWWW[[#This Row],[% Access to unimproved water points]]*WWWW[[#This Row],[Total PoP ]]</f>
        <v>0</v>
      </c>
      <c r="AX208"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8"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8" s="711">
        <f>WWWW[[#This Row],[HRP1]]/250</f>
        <v>0</v>
      </c>
      <c r="BA208" s="713">
        <f>1-WWWW[[#This Row],[% Equitable and continuous access to sufficient quantity of domestic water]]</f>
        <v>1</v>
      </c>
      <c r="BB208" s="711">
        <f>WWWW[[#This Row],[%equitable and continuous access to sufficient quantity of safe drinking and domestic water''s GAP]]*WWWW[[#This Row],[Total PoP ]]</f>
        <v>332</v>
      </c>
      <c r="BC208" s="714">
        <f>IF(WWWW[[#This Row],[Total required water points]]-WWWW[[#This Row],['#Water points coverage]]&lt;0,0,WWWW[[#This Row],[Total required water points]]-WWWW[[#This Row],['#Water points coverage]])</f>
        <v>1</v>
      </c>
      <c r="BD208" s="714">
        <f>ROUND(IF(WWWW[[#This Row],[Total PoP ]]&lt;250,1,WWWW[[#This Row],[Total PoP ]]/250),0)</f>
        <v>1</v>
      </c>
      <c r="BE20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08" s="711">
        <f>WWWW[[#This Row],[% people access to functioning Latrine]]*WWWW[[#This Row],[Total PoP ]]</f>
        <v>0</v>
      </c>
      <c r="BG208" s="714">
        <f>WWWW[[#This Row],['#_of_Functioning_latrines_in_school]]*50</f>
        <v>0</v>
      </c>
      <c r="BH208" s="714">
        <f>ROUND((WWWW[[#This Row],[Total PoP ]]/6),0)</f>
        <v>55</v>
      </c>
      <c r="BI208" s="714">
        <f>IF(WWWW[[#This Row],[Total required Latrines]]-(WWWW[[#This Row],['#_of_sanitary_fly-proof_HH_latrines]])&lt;0,0,WWWW[[#This Row],[Total required Latrines]]-(WWWW[[#This Row],['#_of_sanitary_fly-proof_HH_latrines]]))</f>
        <v>55</v>
      </c>
      <c r="BJ208" s="710">
        <f>1-WWWW[[#This Row],[% people access to functioning Latrine]]</f>
        <v>1</v>
      </c>
      <c r="BK208"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8" s="772">
        <f>IF(WWWW[[#This Row],['#_of_functional_handwashing_facilities_at_HH_level]]*6&gt;WWWW[[#This Row],[Total PoP ]],WWWW[[#This Row],[Total PoP ]],WWWW[[#This Row],['#_of_functional_handwashing_facilities_at_HH_level]]*6)</f>
        <v>0</v>
      </c>
      <c r="BM208" s="714">
        <f>IF(WWWW[[#This Row],['# people reached by regular dedicated hygiene promotion]]&gt;WWWW[[#This Row],['# People received regular supply of hygiene items]],WWWW[[#This Row],['# people reached by regular dedicated hygiene promotion]],WWWW[[#This Row],['# People received regular supply of hygiene items]])</f>
        <v>0</v>
      </c>
      <c r="BN208" s="713">
        <f>IF(WWWW[[#This Row],[HRP3]]/WWWW[[#This Row],[Total PoP ]]&gt;100%,100%,WWWW[[#This Row],[HRP3]]/WWWW[[#This Row],[Total PoP ]])</f>
        <v>0</v>
      </c>
      <c r="BO208" s="710">
        <f>1-WWWW[[#This Row],[Hygiene Coverage%]]</f>
        <v>1</v>
      </c>
      <c r="BP208" s="712">
        <f>WWWW[[#This Row],['# people reached by regular dedicated hygiene promotion]]/WWWW[[#This Row],[Total PoP ]]</f>
        <v>0</v>
      </c>
      <c r="BQ20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8" s="770">
        <f>WWWW[[#This Row],['#_of_affected_women_and_girls_receiving_a_sufficient_quantity_of_sanitary_pads]]</f>
        <v>0</v>
      </c>
      <c r="BS208" s="773">
        <f>IF(WWWW[[#This Row],['# People with access to soap]]&gt;WWWW[[#This Row],['# People with access to Sanity Pads]],WWWW[[#This Row],['# People with access to soap]],WWWW[[#This Row],['# People with access to Sanity Pads]])</f>
        <v>0</v>
      </c>
      <c r="BT208" s="772" t="str">
        <f>IF(OR(WWWW[[#This Row],['#of students in school]]="",WWWW[[#This Row],['#of students in school]]=0),"No","Yes")</f>
        <v>No</v>
      </c>
      <c r="BU208" s="705" t="str">
        <f>VLOOKUP(WWWW[[#This Row],[Village  Name]],SiteDB6[[Site Name]:[Location Type 1]],9,FALSE)</f>
        <v>Village</v>
      </c>
      <c r="BV208" s="705" t="str">
        <f>VLOOKUP(WWWW[[#This Row],[Village  Name]],SiteDB6[[Site Name]:[Type of Accommodation]],10,FALSE)</f>
        <v>Village</v>
      </c>
      <c r="BW208" s="705">
        <f>VLOOKUP(WWWW[[#This Row],[Village  Name]],SiteDB6[[Site Name]:[Ethnic or GCA/NGCA]],11,FALSE)</f>
        <v>0</v>
      </c>
      <c r="BX208" s="705">
        <f>VLOOKUP(WWWW[[#This Row],[Village  Name]],SiteDB6[[Site Name]:[Lat]],12,FALSE)</f>
        <v>0</v>
      </c>
      <c r="BY208" s="705">
        <f>VLOOKUP(WWWW[[#This Row],[Village  Name]],SiteDB6[[Site Name]:[Long]],13,FALSE)</f>
        <v>0</v>
      </c>
      <c r="BZ208" s="705">
        <f>VLOOKUP(WWWW[[#This Row],[Village  Name]],SiteDB6[[Site Name]:[Pcode]],3,FALSE)</f>
        <v>0</v>
      </c>
      <c r="CA208" s="705" t="str">
        <f t="shared" si="12"/>
        <v>Covered</v>
      </c>
      <c r="CB208" s="715"/>
      <c r="CC208" s="765"/>
      <c r="CD208" s="766"/>
      <c r="CE208" s="766"/>
      <c r="CF208" s="763"/>
      <c r="CG208" s="766"/>
      <c r="CH208" s="767"/>
      <c r="CI208" s="767"/>
      <c r="CJ208" s="768"/>
      <c r="CK208" s="768"/>
      <c r="CL208" s="768"/>
      <c r="CM208" s="768"/>
      <c r="CN208" s="768"/>
      <c r="CO208" s="768"/>
      <c r="CP208" s="768"/>
      <c r="CQ208" s="768"/>
      <c r="CR208" s="768"/>
    </row>
    <row r="209" spans="1:96" s="764" customFormat="1">
      <c r="A209" s="774" t="s">
        <v>3199</v>
      </c>
      <c r="B209" s="703" t="s">
        <v>3232</v>
      </c>
      <c r="C209" s="704" t="s">
        <v>3232</v>
      </c>
      <c r="D209" s="704" t="s">
        <v>339</v>
      </c>
      <c r="E209" s="704" t="s">
        <v>36</v>
      </c>
      <c r="F209" s="704" t="s">
        <v>771</v>
      </c>
      <c r="G209" s="705" t="str">
        <f>VLOOKUP(WWWW[[#This Row],[Village  Name]],SiteDB6[[Site Name]:[Location Type]],8,FALSE)</f>
        <v>Village</v>
      </c>
      <c r="H209" s="704" t="s">
        <v>3240</v>
      </c>
      <c r="I209" s="706">
        <v>104</v>
      </c>
      <c r="J209" s="706">
        <v>597</v>
      </c>
      <c r="K209" s="707">
        <v>43831</v>
      </c>
      <c r="L209" s="708">
        <v>44926</v>
      </c>
      <c r="M209" s="706"/>
      <c r="N209" s="706"/>
      <c r="O209" s="773"/>
      <c r="P209" s="706"/>
      <c r="Q209" s="706"/>
      <c r="R209" s="706"/>
      <c r="S209" s="706"/>
      <c r="T209" s="706"/>
      <c r="U209" s="709"/>
      <c r="V209" s="706"/>
      <c r="W209" s="706"/>
      <c r="X209" s="706"/>
      <c r="Y209" s="706">
        <v>4</v>
      </c>
      <c r="Z209" s="706"/>
      <c r="AA209" s="706"/>
      <c r="AB209" s="706"/>
      <c r="AC209" s="709"/>
      <c r="AD209" s="706"/>
      <c r="AE209" s="706"/>
      <c r="AF209" s="706"/>
      <c r="AG209" s="706"/>
      <c r="AH209" s="706"/>
      <c r="AI209" s="706"/>
      <c r="AJ209" s="773"/>
      <c r="AK209" s="706"/>
      <c r="AL209" s="773"/>
      <c r="AM209" s="773"/>
      <c r="AN209" s="709"/>
      <c r="AO209" s="769"/>
      <c r="AP209" s="769"/>
      <c r="AQ209" s="773"/>
      <c r="AR209" s="773"/>
      <c r="AS209" s="773"/>
      <c r="AT209"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09" s="711">
        <f>WWWW[[#This Row],[%Equitable and continuous access to sufficient quantity of safe drinking water]]*WWWW[[#This Row],[Total PoP ]]</f>
        <v>0</v>
      </c>
      <c r="AV209"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09" s="711">
        <f>WWWW[[#This Row],[% Access to unimproved water points]]*WWWW[[#This Row],[Total PoP ]]</f>
        <v>0</v>
      </c>
      <c r="AX209"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09"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09" s="711">
        <f>WWWW[[#This Row],[HRP1]]/250</f>
        <v>0</v>
      </c>
      <c r="BA209" s="713">
        <f>1-WWWW[[#This Row],[% Equitable and continuous access to sufficient quantity of domestic water]]</f>
        <v>1</v>
      </c>
      <c r="BB209" s="711">
        <f>WWWW[[#This Row],[%equitable and continuous access to sufficient quantity of safe drinking and domestic water''s GAP]]*WWWW[[#This Row],[Total PoP ]]</f>
        <v>597</v>
      </c>
      <c r="BC209" s="714">
        <f>IF(WWWW[[#This Row],[Total required water points]]-WWWW[[#This Row],['#Water points coverage]]&lt;0,0,WWWW[[#This Row],[Total required water points]]-WWWW[[#This Row],['#Water points coverage]])</f>
        <v>2</v>
      </c>
      <c r="BD209" s="714">
        <f>ROUND(IF(WWWW[[#This Row],[Total PoP ]]&lt;250,1,WWWW[[#This Row],[Total PoP ]]/250),0)</f>
        <v>2</v>
      </c>
      <c r="BE20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09" s="711">
        <f>WWWW[[#This Row],[% people access to functioning Latrine]]*WWWW[[#This Row],[Total PoP ]]</f>
        <v>0</v>
      </c>
      <c r="BG209" s="714">
        <f>WWWW[[#This Row],['#_of_Functioning_latrines_in_school]]*50</f>
        <v>0</v>
      </c>
      <c r="BH209" s="714">
        <f>ROUND((WWWW[[#This Row],[Total PoP ]]/6),0)</f>
        <v>100</v>
      </c>
      <c r="BI209" s="714">
        <f>IF(WWWW[[#This Row],[Total required Latrines]]-(WWWW[[#This Row],['#_of_sanitary_fly-proof_HH_latrines]])&lt;0,0,WWWW[[#This Row],[Total required Latrines]]-(WWWW[[#This Row],['#_of_sanitary_fly-proof_HH_latrines]]))</f>
        <v>100</v>
      </c>
      <c r="BJ209" s="710">
        <f>1-WWWW[[#This Row],[% people access to functioning Latrine]]</f>
        <v>1</v>
      </c>
      <c r="BK209"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09" s="772">
        <f>IF(WWWW[[#This Row],['#_of_functional_handwashing_facilities_at_HH_level]]*6&gt;WWWW[[#This Row],[Total PoP ]],WWWW[[#This Row],[Total PoP ]],WWWW[[#This Row],['#_of_functional_handwashing_facilities_at_HH_level]]*6)</f>
        <v>0</v>
      </c>
      <c r="BM209" s="714">
        <f>IF(WWWW[[#This Row],['# people reached by regular dedicated hygiene promotion]]&gt;WWWW[[#This Row],['# People received regular supply of hygiene items]],WWWW[[#This Row],['# people reached by regular dedicated hygiene promotion]],WWWW[[#This Row],['# People received regular supply of hygiene items]])</f>
        <v>0</v>
      </c>
      <c r="BN209" s="713">
        <f>IF(WWWW[[#This Row],[HRP3]]/WWWW[[#This Row],[Total PoP ]]&gt;100%,100%,WWWW[[#This Row],[HRP3]]/WWWW[[#This Row],[Total PoP ]])</f>
        <v>0</v>
      </c>
      <c r="BO209" s="710">
        <f>1-WWWW[[#This Row],[Hygiene Coverage%]]</f>
        <v>1</v>
      </c>
      <c r="BP209" s="712">
        <f>WWWW[[#This Row],['# people reached by regular dedicated hygiene promotion]]/WWWW[[#This Row],[Total PoP ]]</f>
        <v>0</v>
      </c>
      <c r="BQ20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09" s="770">
        <f>WWWW[[#This Row],['#_of_affected_women_and_girls_receiving_a_sufficient_quantity_of_sanitary_pads]]</f>
        <v>0</v>
      </c>
      <c r="BS209" s="773">
        <f>IF(WWWW[[#This Row],['# People with access to soap]]&gt;WWWW[[#This Row],['# People with access to Sanity Pads]],WWWW[[#This Row],['# People with access to soap]],WWWW[[#This Row],['# People with access to Sanity Pads]])</f>
        <v>0</v>
      </c>
      <c r="BT209" s="772" t="str">
        <f>IF(OR(WWWW[[#This Row],['#of students in school]]="",WWWW[[#This Row],['#of students in school]]=0),"No","Yes")</f>
        <v>No</v>
      </c>
      <c r="BU209" s="705" t="str">
        <f>VLOOKUP(WWWW[[#This Row],[Village  Name]],SiteDB6[[Site Name]:[Location Type 1]],9,FALSE)</f>
        <v>Village</v>
      </c>
      <c r="BV209" s="705" t="str">
        <f>VLOOKUP(WWWW[[#This Row],[Village  Name]],SiteDB6[[Site Name]:[Type of Accommodation]],10,FALSE)</f>
        <v>Village</v>
      </c>
      <c r="BW209" s="705">
        <f>VLOOKUP(WWWW[[#This Row],[Village  Name]],SiteDB6[[Site Name]:[Ethnic or GCA/NGCA]],11,FALSE)</f>
        <v>0</v>
      </c>
      <c r="BX209" s="705">
        <f>VLOOKUP(WWWW[[#This Row],[Village  Name]],SiteDB6[[Site Name]:[Lat]],12,FALSE)</f>
        <v>0</v>
      </c>
      <c r="BY209" s="705">
        <f>VLOOKUP(WWWW[[#This Row],[Village  Name]],SiteDB6[[Site Name]:[Long]],13,FALSE)</f>
        <v>0</v>
      </c>
      <c r="BZ209" s="705">
        <f>VLOOKUP(WWWW[[#This Row],[Village  Name]],SiteDB6[[Site Name]:[Pcode]],3,FALSE)</f>
        <v>0</v>
      </c>
      <c r="CA209" s="705" t="str">
        <f t="shared" si="12"/>
        <v>Covered</v>
      </c>
      <c r="CB209" s="715"/>
      <c r="CC209" s="765"/>
      <c r="CD209" s="766"/>
      <c r="CE209" s="766"/>
      <c r="CF209" s="763"/>
      <c r="CG209" s="766"/>
      <c r="CH209" s="767"/>
      <c r="CI209" s="767"/>
      <c r="CJ209" s="768"/>
      <c r="CK209" s="768"/>
      <c r="CL209" s="768"/>
      <c r="CM209" s="768"/>
      <c r="CN209" s="768"/>
      <c r="CO209" s="768"/>
      <c r="CP209" s="768"/>
      <c r="CQ209" s="768"/>
      <c r="CR209" s="768"/>
    </row>
    <row r="210" spans="1:96" s="764" customFormat="1">
      <c r="A210" s="774" t="s">
        <v>3199</v>
      </c>
      <c r="B210" s="703" t="s">
        <v>3232</v>
      </c>
      <c r="C210" s="704" t="s">
        <v>3232</v>
      </c>
      <c r="D210" s="704" t="s">
        <v>339</v>
      </c>
      <c r="E210" s="704" t="s">
        <v>36</v>
      </c>
      <c r="F210" s="704" t="s">
        <v>771</v>
      </c>
      <c r="G210" s="705" t="str">
        <f>VLOOKUP(WWWW[[#This Row],[Village  Name]],SiteDB6[[Site Name]:[Location Type]],8,FALSE)</f>
        <v>Village</v>
      </c>
      <c r="H210" s="704" t="s">
        <v>3241</v>
      </c>
      <c r="I210" s="706">
        <v>23</v>
      </c>
      <c r="J210" s="706">
        <v>156</v>
      </c>
      <c r="K210" s="707">
        <v>43831</v>
      </c>
      <c r="L210" s="708">
        <v>44926</v>
      </c>
      <c r="M210" s="706"/>
      <c r="N210" s="706"/>
      <c r="O210" s="773"/>
      <c r="P210" s="706"/>
      <c r="Q210" s="706"/>
      <c r="R210" s="706"/>
      <c r="S210" s="706"/>
      <c r="T210" s="706"/>
      <c r="U210" s="709"/>
      <c r="V210" s="706"/>
      <c r="W210" s="706"/>
      <c r="X210" s="706"/>
      <c r="Y210" s="706">
        <v>6</v>
      </c>
      <c r="Z210" s="706"/>
      <c r="AA210" s="706"/>
      <c r="AB210" s="706"/>
      <c r="AC210" s="709"/>
      <c r="AD210" s="706"/>
      <c r="AE210" s="706"/>
      <c r="AF210" s="706"/>
      <c r="AG210" s="706"/>
      <c r="AH210" s="706"/>
      <c r="AI210" s="706"/>
      <c r="AJ210" s="773"/>
      <c r="AK210" s="706"/>
      <c r="AL210" s="773"/>
      <c r="AM210" s="773"/>
      <c r="AN210" s="709"/>
      <c r="AO210" s="769"/>
      <c r="AP210" s="769"/>
      <c r="AQ210" s="773"/>
      <c r="AR210" s="773"/>
      <c r="AS210" s="773"/>
      <c r="AT210"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0" s="711">
        <f>WWWW[[#This Row],[%Equitable and continuous access to sufficient quantity of safe drinking water]]*WWWW[[#This Row],[Total PoP ]]</f>
        <v>0</v>
      </c>
      <c r="AV210"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0" s="711">
        <f>WWWW[[#This Row],[% Access to unimproved water points]]*WWWW[[#This Row],[Total PoP ]]</f>
        <v>0</v>
      </c>
      <c r="AX210"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0"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0" s="711">
        <f>WWWW[[#This Row],[HRP1]]/250</f>
        <v>0</v>
      </c>
      <c r="BA210" s="713">
        <f>1-WWWW[[#This Row],[% Equitable and continuous access to sufficient quantity of domestic water]]</f>
        <v>1</v>
      </c>
      <c r="BB210" s="711">
        <f>WWWW[[#This Row],[%equitable and continuous access to sufficient quantity of safe drinking and domestic water''s GAP]]*WWWW[[#This Row],[Total PoP ]]</f>
        <v>156</v>
      </c>
      <c r="BC210" s="714">
        <f>IF(WWWW[[#This Row],[Total required water points]]-WWWW[[#This Row],['#Water points coverage]]&lt;0,0,WWWW[[#This Row],[Total required water points]]-WWWW[[#This Row],['#Water points coverage]])</f>
        <v>1</v>
      </c>
      <c r="BD210" s="714">
        <f>ROUND(IF(WWWW[[#This Row],[Total PoP ]]&lt;250,1,WWWW[[#This Row],[Total PoP ]]/250),0)</f>
        <v>1</v>
      </c>
      <c r="BE21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10" s="711">
        <f>WWWW[[#This Row],[% people access to functioning Latrine]]*WWWW[[#This Row],[Total PoP ]]</f>
        <v>0</v>
      </c>
      <c r="BG210" s="714">
        <f>WWWW[[#This Row],['#_of_Functioning_latrines_in_school]]*50</f>
        <v>0</v>
      </c>
      <c r="BH210" s="714">
        <f>ROUND((WWWW[[#This Row],[Total PoP ]]/6),0)</f>
        <v>26</v>
      </c>
      <c r="BI210" s="714">
        <f>IF(WWWW[[#This Row],[Total required Latrines]]-(WWWW[[#This Row],['#_of_sanitary_fly-proof_HH_latrines]])&lt;0,0,WWWW[[#This Row],[Total required Latrines]]-(WWWW[[#This Row],['#_of_sanitary_fly-proof_HH_latrines]]))</f>
        <v>26</v>
      </c>
      <c r="BJ210" s="710">
        <f>1-WWWW[[#This Row],[% people access to functioning Latrine]]</f>
        <v>1</v>
      </c>
      <c r="BK210"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0" s="772">
        <f>IF(WWWW[[#This Row],['#_of_functional_handwashing_facilities_at_HH_level]]*6&gt;WWWW[[#This Row],[Total PoP ]],WWWW[[#This Row],[Total PoP ]],WWWW[[#This Row],['#_of_functional_handwashing_facilities_at_HH_level]]*6)</f>
        <v>0</v>
      </c>
      <c r="BM210" s="714">
        <f>IF(WWWW[[#This Row],['# people reached by regular dedicated hygiene promotion]]&gt;WWWW[[#This Row],['# People received regular supply of hygiene items]],WWWW[[#This Row],['# people reached by regular dedicated hygiene promotion]],WWWW[[#This Row],['# People received regular supply of hygiene items]])</f>
        <v>0</v>
      </c>
      <c r="BN210" s="713">
        <f>IF(WWWW[[#This Row],[HRP3]]/WWWW[[#This Row],[Total PoP ]]&gt;100%,100%,WWWW[[#This Row],[HRP3]]/WWWW[[#This Row],[Total PoP ]])</f>
        <v>0</v>
      </c>
      <c r="BO210" s="710">
        <f>1-WWWW[[#This Row],[Hygiene Coverage%]]</f>
        <v>1</v>
      </c>
      <c r="BP210" s="712">
        <f>WWWW[[#This Row],['# people reached by regular dedicated hygiene promotion]]/WWWW[[#This Row],[Total PoP ]]</f>
        <v>0</v>
      </c>
      <c r="BQ21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0" s="770">
        <f>WWWW[[#This Row],['#_of_affected_women_and_girls_receiving_a_sufficient_quantity_of_sanitary_pads]]</f>
        <v>0</v>
      </c>
      <c r="BS210" s="773">
        <f>IF(WWWW[[#This Row],['# People with access to soap]]&gt;WWWW[[#This Row],['# People with access to Sanity Pads]],WWWW[[#This Row],['# People with access to soap]],WWWW[[#This Row],['# People with access to Sanity Pads]])</f>
        <v>0</v>
      </c>
      <c r="BT210" s="772" t="str">
        <f>IF(OR(WWWW[[#This Row],['#of students in school]]="",WWWW[[#This Row],['#of students in school]]=0),"No","Yes")</f>
        <v>No</v>
      </c>
      <c r="BU210" s="705" t="str">
        <f>VLOOKUP(WWWW[[#This Row],[Village  Name]],SiteDB6[[Site Name]:[Location Type 1]],9,FALSE)</f>
        <v>Village</v>
      </c>
      <c r="BV210" s="705" t="str">
        <f>VLOOKUP(WWWW[[#This Row],[Village  Name]],SiteDB6[[Site Name]:[Type of Accommodation]],10,FALSE)</f>
        <v>Village</v>
      </c>
      <c r="BW210" s="705">
        <f>VLOOKUP(WWWW[[#This Row],[Village  Name]],SiteDB6[[Site Name]:[Ethnic or GCA/NGCA]],11,FALSE)</f>
        <v>0</v>
      </c>
      <c r="BX210" s="705">
        <f>VLOOKUP(WWWW[[#This Row],[Village  Name]],SiteDB6[[Site Name]:[Lat]],12,FALSE)</f>
        <v>0</v>
      </c>
      <c r="BY210" s="705">
        <f>VLOOKUP(WWWW[[#This Row],[Village  Name]],SiteDB6[[Site Name]:[Long]],13,FALSE)</f>
        <v>0</v>
      </c>
      <c r="BZ210" s="705">
        <f>VLOOKUP(WWWW[[#This Row],[Village  Name]],SiteDB6[[Site Name]:[Pcode]],3,FALSE)</f>
        <v>0</v>
      </c>
      <c r="CA210" s="705" t="str">
        <f t="shared" si="12"/>
        <v>Covered</v>
      </c>
      <c r="CB210" s="715"/>
      <c r="CC210" s="765"/>
      <c r="CD210" s="766"/>
      <c r="CE210" s="766"/>
      <c r="CF210" s="763"/>
      <c r="CG210" s="766"/>
      <c r="CH210" s="767"/>
      <c r="CI210" s="767"/>
      <c r="CJ210" s="768"/>
      <c r="CK210" s="768"/>
      <c r="CL210" s="768"/>
      <c r="CM210" s="768"/>
      <c r="CN210" s="768"/>
      <c r="CO210" s="768"/>
      <c r="CP210" s="768"/>
      <c r="CQ210" s="768"/>
      <c r="CR210" s="768"/>
    </row>
    <row r="211" spans="1:96" s="764" customFormat="1">
      <c r="A211" s="774" t="s">
        <v>3199</v>
      </c>
      <c r="B211" s="703" t="s">
        <v>3232</v>
      </c>
      <c r="C211" s="704" t="s">
        <v>3232</v>
      </c>
      <c r="D211" s="704" t="s">
        <v>339</v>
      </c>
      <c r="E211" s="704" t="s">
        <v>36</v>
      </c>
      <c r="F211" s="704" t="s">
        <v>771</v>
      </c>
      <c r="G211" s="705" t="str">
        <f>VLOOKUP(WWWW[[#This Row],[Village  Name]],SiteDB6[[Site Name]:[Location Type]],8,FALSE)</f>
        <v>Village</v>
      </c>
      <c r="H211" s="704" t="s">
        <v>3242</v>
      </c>
      <c r="I211" s="706">
        <v>36</v>
      </c>
      <c r="J211" s="706">
        <v>220</v>
      </c>
      <c r="K211" s="707">
        <v>43831</v>
      </c>
      <c r="L211" s="708">
        <v>44926</v>
      </c>
      <c r="M211" s="706"/>
      <c r="N211" s="706"/>
      <c r="O211" s="773"/>
      <c r="P211" s="706"/>
      <c r="Q211" s="706"/>
      <c r="R211" s="706"/>
      <c r="S211" s="706"/>
      <c r="T211" s="706"/>
      <c r="U211" s="709"/>
      <c r="V211" s="706"/>
      <c r="W211" s="706"/>
      <c r="X211" s="706"/>
      <c r="Y211" s="706">
        <v>2</v>
      </c>
      <c r="Z211" s="706"/>
      <c r="AA211" s="706"/>
      <c r="AB211" s="706"/>
      <c r="AC211" s="709"/>
      <c r="AD211" s="706"/>
      <c r="AE211" s="706"/>
      <c r="AF211" s="706"/>
      <c r="AG211" s="706"/>
      <c r="AH211" s="706"/>
      <c r="AI211" s="706"/>
      <c r="AJ211" s="773"/>
      <c r="AK211" s="706"/>
      <c r="AL211" s="773"/>
      <c r="AM211" s="773"/>
      <c r="AN211" s="709"/>
      <c r="AO211" s="769"/>
      <c r="AP211" s="769"/>
      <c r="AQ211" s="773"/>
      <c r="AR211" s="773"/>
      <c r="AS211" s="773"/>
      <c r="AT211"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1" s="711">
        <f>WWWW[[#This Row],[%Equitable and continuous access to sufficient quantity of safe drinking water]]*WWWW[[#This Row],[Total PoP ]]</f>
        <v>0</v>
      </c>
      <c r="AV211"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1" s="711">
        <f>WWWW[[#This Row],[% Access to unimproved water points]]*WWWW[[#This Row],[Total PoP ]]</f>
        <v>0</v>
      </c>
      <c r="AX211"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1"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1" s="711">
        <f>WWWW[[#This Row],[HRP1]]/250</f>
        <v>0</v>
      </c>
      <c r="BA211" s="713">
        <f>1-WWWW[[#This Row],[% Equitable and continuous access to sufficient quantity of domestic water]]</f>
        <v>1</v>
      </c>
      <c r="BB211" s="711">
        <f>WWWW[[#This Row],[%equitable and continuous access to sufficient quantity of safe drinking and domestic water''s GAP]]*WWWW[[#This Row],[Total PoP ]]</f>
        <v>220</v>
      </c>
      <c r="BC211" s="714">
        <f>IF(WWWW[[#This Row],[Total required water points]]-WWWW[[#This Row],['#Water points coverage]]&lt;0,0,WWWW[[#This Row],[Total required water points]]-WWWW[[#This Row],['#Water points coverage]])</f>
        <v>1</v>
      </c>
      <c r="BD211" s="714">
        <f>ROUND(IF(WWWW[[#This Row],[Total PoP ]]&lt;250,1,WWWW[[#This Row],[Total PoP ]]/250),0)</f>
        <v>1</v>
      </c>
      <c r="BE21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11" s="711">
        <f>WWWW[[#This Row],[% people access to functioning Latrine]]*WWWW[[#This Row],[Total PoP ]]</f>
        <v>0</v>
      </c>
      <c r="BG211" s="714">
        <f>WWWW[[#This Row],['#_of_Functioning_latrines_in_school]]*50</f>
        <v>0</v>
      </c>
      <c r="BH211" s="714">
        <f>ROUND((WWWW[[#This Row],[Total PoP ]]/6),0)</f>
        <v>37</v>
      </c>
      <c r="BI211" s="714">
        <f>IF(WWWW[[#This Row],[Total required Latrines]]-(WWWW[[#This Row],['#_of_sanitary_fly-proof_HH_latrines]])&lt;0,0,WWWW[[#This Row],[Total required Latrines]]-(WWWW[[#This Row],['#_of_sanitary_fly-proof_HH_latrines]]))</f>
        <v>37</v>
      </c>
      <c r="BJ211" s="710">
        <f>1-WWWW[[#This Row],[% people access to functioning Latrine]]</f>
        <v>1</v>
      </c>
      <c r="BK211"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1" s="772">
        <f>IF(WWWW[[#This Row],['#_of_functional_handwashing_facilities_at_HH_level]]*6&gt;WWWW[[#This Row],[Total PoP ]],WWWW[[#This Row],[Total PoP ]],WWWW[[#This Row],['#_of_functional_handwashing_facilities_at_HH_level]]*6)</f>
        <v>0</v>
      </c>
      <c r="BM211" s="714">
        <f>IF(WWWW[[#This Row],['# people reached by regular dedicated hygiene promotion]]&gt;WWWW[[#This Row],['# People received regular supply of hygiene items]],WWWW[[#This Row],['# people reached by regular dedicated hygiene promotion]],WWWW[[#This Row],['# People received regular supply of hygiene items]])</f>
        <v>0</v>
      </c>
      <c r="BN211" s="713">
        <f>IF(WWWW[[#This Row],[HRP3]]/WWWW[[#This Row],[Total PoP ]]&gt;100%,100%,WWWW[[#This Row],[HRP3]]/WWWW[[#This Row],[Total PoP ]])</f>
        <v>0</v>
      </c>
      <c r="BO211" s="710">
        <f>1-WWWW[[#This Row],[Hygiene Coverage%]]</f>
        <v>1</v>
      </c>
      <c r="BP211" s="712">
        <f>WWWW[[#This Row],['# people reached by regular dedicated hygiene promotion]]/WWWW[[#This Row],[Total PoP ]]</f>
        <v>0</v>
      </c>
      <c r="BQ21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1" s="770">
        <f>WWWW[[#This Row],['#_of_affected_women_and_girls_receiving_a_sufficient_quantity_of_sanitary_pads]]</f>
        <v>0</v>
      </c>
      <c r="BS211" s="773">
        <f>IF(WWWW[[#This Row],['# People with access to soap]]&gt;WWWW[[#This Row],['# People with access to Sanity Pads]],WWWW[[#This Row],['# People with access to soap]],WWWW[[#This Row],['# People with access to Sanity Pads]])</f>
        <v>0</v>
      </c>
      <c r="BT211" s="772" t="str">
        <f>IF(OR(WWWW[[#This Row],['#of students in school]]="",WWWW[[#This Row],['#of students in school]]=0),"No","Yes")</f>
        <v>No</v>
      </c>
      <c r="BU211" s="705" t="str">
        <f>VLOOKUP(WWWW[[#This Row],[Village  Name]],SiteDB6[[Site Name]:[Location Type 1]],9,FALSE)</f>
        <v>Village</v>
      </c>
      <c r="BV211" s="705" t="str">
        <f>VLOOKUP(WWWW[[#This Row],[Village  Name]],SiteDB6[[Site Name]:[Type of Accommodation]],10,FALSE)</f>
        <v>Village</v>
      </c>
      <c r="BW211" s="705">
        <f>VLOOKUP(WWWW[[#This Row],[Village  Name]],SiteDB6[[Site Name]:[Ethnic or GCA/NGCA]],11,FALSE)</f>
        <v>0</v>
      </c>
      <c r="BX211" s="705">
        <f>VLOOKUP(WWWW[[#This Row],[Village  Name]],SiteDB6[[Site Name]:[Lat]],12,FALSE)</f>
        <v>0</v>
      </c>
      <c r="BY211" s="705">
        <f>VLOOKUP(WWWW[[#This Row],[Village  Name]],SiteDB6[[Site Name]:[Long]],13,FALSE)</f>
        <v>0</v>
      </c>
      <c r="BZ211" s="705">
        <f>VLOOKUP(WWWW[[#This Row],[Village  Name]],SiteDB6[[Site Name]:[Pcode]],3,FALSE)</f>
        <v>0</v>
      </c>
      <c r="CA211" s="705" t="str">
        <f t="shared" si="12"/>
        <v>Covered</v>
      </c>
      <c r="CB211" s="715"/>
      <c r="CC211" s="765"/>
      <c r="CD211" s="766"/>
      <c r="CE211" s="766"/>
      <c r="CF211" s="763"/>
      <c r="CG211" s="766"/>
      <c r="CH211" s="767"/>
      <c r="CI211" s="767"/>
      <c r="CJ211" s="768"/>
      <c r="CK211" s="768"/>
      <c r="CL211" s="768"/>
      <c r="CM211" s="768"/>
      <c r="CN211" s="768"/>
      <c r="CO211" s="768"/>
      <c r="CP211" s="768"/>
      <c r="CQ211" s="768"/>
      <c r="CR211" s="768"/>
    </row>
    <row r="212" spans="1:96" s="764" customFormat="1">
      <c r="A212" s="774" t="s">
        <v>3199</v>
      </c>
      <c r="B212" s="703" t="s">
        <v>3232</v>
      </c>
      <c r="C212" s="704" t="s">
        <v>3232</v>
      </c>
      <c r="D212" s="704" t="s">
        <v>339</v>
      </c>
      <c r="E212" s="704" t="s">
        <v>36</v>
      </c>
      <c r="F212" s="704" t="s">
        <v>771</v>
      </c>
      <c r="G212" s="705" t="str">
        <f>VLOOKUP(WWWW[[#This Row],[Village  Name]],SiteDB6[[Site Name]:[Location Type]],8,FALSE)</f>
        <v>Village</v>
      </c>
      <c r="H212" s="704" t="s">
        <v>3243</v>
      </c>
      <c r="I212" s="706">
        <v>36</v>
      </c>
      <c r="J212" s="706">
        <v>145</v>
      </c>
      <c r="K212" s="707">
        <v>43831</v>
      </c>
      <c r="L212" s="708">
        <v>44926</v>
      </c>
      <c r="M212" s="706"/>
      <c r="N212" s="706"/>
      <c r="O212" s="773"/>
      <c r="P212" s="706"/>
      <c r="Q212" s="706"/>
      <c r="R212" s="706"/>
      <c r="S212" s="706"/>
      <c r="T212" s="706"/>
      <c r="U212" s="709"/>
      <c r="V212" s="706"/>
      <c r="W212" s="706"/>
      <c r="X212" s="706"/>
      <c r="Y212" s="706">
        <v>1</v>
      </c>
      <c r="Z212" s="706"/>
      <c r="AA212" s="706"/>
      <c r="AB212" s="706"/>
      <c r="AC212" s="709"/>
      <c r="AD212" s="706"/>
      <c r="AE212" s="706"/>
      <c r="AF212" s="706"/>
      <c r="AG212" s="706"/>
      <c r="AH212" s="706"/>
      <c r="AI212" s="706"/>
      <c r="AJ212" s="773"/>
      <c r="AK212" s="706"/>
      <c r="AL212" s="773"/>
      <c r="AM212" s="773"/>
      <c r="AN212" s="709"/>
      <c r="AO212" s="769"/>
      <c r="AP212" s="769"/>
      <c r="AQ212" s="773"/>
      <c r="AR212" s="773"/>
      <c r="AS212" s="773"/>
      <c r="AT212"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2" s="711">
        <f>WWWW[[#This Row],[%Equitable and continuous access to sufficient quantity of safe drinking water]]*WWWW[[#This Row],[Total PoP ]]</f>
        <v>0</v>
      </c>
      <c r="AV212"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2" s="711">
        <f>WWWW[[#This Row],[% Access to unimproved water points]]*WWWW[[#This Row],[Total PoP ]]</f>
        <v>0</v>
      </c>
      <c r="AX212"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2"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2" s="711">
        <f>WWWW[[#This Row],[HRP1]]/250</f>
        <v>0</v>
      </c>
      <c r="BA212" s="713">
        <f>1-WWWW[[#This Row],[% Equitable and continuous access to sufficient quantity of domestic water]]</f>
        <v>1</v>
      </c>
      <c r="BB212" s="711">
        <f>WWWW[[#This Row],[%equitable and continuous access to sufficient quantity of safe drinking and domestic water''s GAP]]*WWWW[[#This Row],[Total PoP ]]</f>
        <v>145</v>
      </c>
      <c r="BC212" s="714">
        <f>IF(WWWW[[#This Row],[Total required water points]]-WWWW[[#This Row],['#Water points coverage]]&lt;0,0,WWWW[[#This Row],[Total required water points]]-WWWW[[#This Row],['#Water points coverage]])</f>
        <v>1</v>
      </c>
      <c r="BD212" s="714">
        <f>ROUND(IF(WWWW[[#This Row],[Total PoP ]]&lt;250,1,WWWW[[#This Row],[Total PoP ]]/250),0)</f>
        <v>1</v>
      </c>
      <c r="BE21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12" s="711">
        <f>WWWW[[#This Row],[% people access to functioning Latrine]]*WWWW[[#This Row],[Total PoP ]]</f>
        <v>0</v>
      </c>
      <c r="BG212" s="714">
        <f>WWWW[[#This Row],['#_of_Functioning_latrines_in_school]]*50</f>
        <v>0</v>
      </c>
      <c r="BH212" s="714">
        <f>ROUND((WWWW[[#This Row],[Total PoP ]]/6),0)</f>
        <v>24</v>
      </c>
      <c r="BI212" s="714">
        <f>IF(WWWW[[#This Row],[Total required Latrines]]-(WWWW[[#This Row],['#_of_sanitary_fly-proof_HH_latrines]])&lt;0,0,WWWW[[#This Row],[Total required Latrines]]-(WWWW[[#This Row],['#_of_sanitary_fly-proof_HH_latrines]]))</f>
        <v>24</v>
      </c>
      <c r="BJ212" s="710">
        <f>1-WWWW[[#This Row],[% people access to functioning Latrine]]</f>
        <v>1</v>
      </c>
      <c r="BK212"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2" s="772">
        <f>IF(WWWW[[#This Row],['#_of_functional_handwashing_facilities_at_HH_level]]*6&gt;WWWW[[#This Row],[Total PoP ]],WWWW[[#This Row],[Total PoP ]],WWWW[[#This Row],['#_of_functional_handwashing_facilities_at_HH_level]]*6)</f>
        <v>0</v>
      </c>
      <c r="BM212" s="714">
        <f>IF(WWWW[[#This Row],['# people reached by regular dedicated hygiene promotion]]&gt;WWWW[[#This Row],['# People received regular supply of hygiene items]],WWWW[[#This Row],['# people reached by regular dedicated hygiene promotion]],WWWW[[#This Row],['# People received regular supply of hygiene items]])</f>
        <v>0</v>
      </c>
      <c r="BN212" s="713">
        <f>IF(WWWW[[#This Row],[HRP3]]/WWWW[[#This Row],[Total PoP ]]&gt;100%,100%,WWWW[[#This Row],[HRP3]]/WWWW[[#This Row],[Total PoP ]])</f>
        <v>0</v>
      </c>
      <c r="BO212" s="710">
        <f>1-WWWW[[#This Row],[Hygiene Coverage%]]</f>
        <v>1</v>
      </c>
      <c r="BP212" s="712">
        <f>WWWW[[#This Row],['# people reached by regular dedicated hygiene promotion]]/WWWW[[#This Row],[Total PoP ]]</f>
        <v>0</v>
      </c>
      <c r="BQ21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2" s="770">
        <f>WWWW[[#This Row],['#_of_affected_women_and_girls_receiving_a_sufficient_quantity_of_sanitary_pads]]</f>
        <v>0</v>
      </c>
      <c r="BS212" s="773">
        <f>IF(WWWW[[#This Row],['# People with access to soap]]&gt;WWWW[[#This Row],['# People with access to Sanity Pads]],WWWW[[#This Row],['# People with access to soap]],WWWW[[#This Row],['# People with access to Sanity Pads]])</f>
        <v>0</v>
      </c>
      <c r="BT212" s="772" t="str">
        <f>IF(OR(WWWW[[#This Row],['#of students in school]]="",WWWW[[#This Row],['#of students in school]]=0),"No","Yes")</f>
        <v>No</v>
      </c>
      <c r="BU212" s="705" t="str">
        <f>VLOOKUP(WWWW[[#This Row],[Village  Name]],SiteDB6[[Site Name]:[Location Type 1]],9,FALSE)</f>
        <v>Village</v>
      </c>
      <c r="BV212" s="705" t="str">
        <f>VLOOKUP(WWWW[[#This Row],[Village  Name]],SiteDB6[[Site Name]:[Type of Accommodation]],10,FALSE)</f>
        <v>Village</v>
      </c>
      <c r="BW212" s="705">
        <f>VLOOKUP(WWWW[[#This Row],[Village  Name]],SiteDB6[[Site Name]:[Ethnic or GCA/NGCA]],11,FALSE)</f>
        <v>0</v>
      </c>
      <c r="BX212" s="705">
        <f>VLOOKUP(WWWW[[#This Row],[Village  Name]],SiteDB6[[Site Name]:[Lat]],12,FALSE)</f>
        <v>0</v>
      </c>
      <c r="BY212" s="705">
        <f>VLOOKUP(WWWW[[#This Row],[Village  Name]],SiteDB6[[Site Name]:[Long]],13,FALSE)</f>
        <v>0</v>
      </c>
      <c r="BZ212" s="705">
        <f>VLOOKUP(WWWW[[#This Row],[Village  Name]],SiteDB6[[Site Name]:[Pcode]],3,FALSE)</f>
        <v>0</v>
      </c>
      <c r="CA212" s="705" t="str">
        <f t="shared" si="12"/>
        <v>Covered</v>
      </c>
      <c r="CB212" s="715"/>
      <c r="CC212" s="765"/>
      <c r="CD212" s="766"/>
      <c r="CE212" s="766"/>
      <c r="CF212" s="763"/>
      <c r="CG212" s="766"/>
      <c r="CH212" s="767"/>
      <c r="CI212" s="767"/>
      <c r="CJ212" s="768"/>
      <c r="CK212" s="768"/>
      <c r="CL212" s="768"/>
      <c r="CM212" s="768"/>
      <c r="CN212" s="768"/>
      <c r="CO212" s="768"/>
      <c r="CP212" s="768"/>
      <c r="CQ212" s="768"/>
      <c r="CR212" s="768"/>
    </row>
    <row r="213" spans="1:96" s="764" customFormat="1">
      <c r="A213" s="774" t="s">
        <v>3199</v>
      </c>
      <c r="B213" s="703" t="s">
        <v>3232</v>
      </c>
      <c r="C213" s="704" t="s">
        <v>3232</v>
      </c>
      <c r="D213" s="704" t="s">
        <v>339</v>
      </c>
      <c r="E213" s="704" t="s">
        <v>36</v>
      </c>
      <c r="F213" s="704" t="s">
        <v>771</v>
      </c>
      <c r="G213" s="705" t="str">
        <f>VLOOKUP(WWWW[[#This Row],[Village  Name]],SiteDB6[[Site Name]:[Location Type]],8,FALSE)</f>
        <v>Village</v>
      </c>
      <c r="H213" s="704" t="s">
        <v>3244</v>
      </c>
      <c r="I213" s="706">
        <v>28</v>
      </c>
      <c r="J213" s="706">
        <v>223</v>
      </c>
      <c r="K213" s="707">
        <v>43831</v>
      </c>
      <c r="L213" s="708">
        <v>44926</v>
      </c>
      <c r="M213" s="706"/>
      <c r="N213" s="706"/>
      <c r="O213" s="773"/>
      <c r="P213" s="706"/>
      <c r="Q213" s="706"/>
      <c r="R213" s="706"/>
      <c r="S213" s="706"/>
      <c r="T213" s="706"/>
      <c r="U213" s="709"/>
      <c r="V213" s="706"/>
      <c r="W213" s="706"/>
      <c r="X213" s="706"/>
      <c r="Y213" s="706">
        <v>7</v>
      </c>
      <c r="Z213" s="706"/>
      <c r="AA213" s="706"/>
      <c r="AB213" s="706"/>
      <c r="AC213" s="709"/>
      <c r="AD213" s="706"/>
      <c r="AE213" s="706"/>
      <c r="AF213" s="706"/>
      <c r="AG213" s="706"/>
      <c r="AH213" s="706"/>
      <c r="AI213" s="706"/>
      <c r="AJ213" s="773"/>
      <c r="AK213" s="706"/>
      <c r="AL213" s="773"/>
      <c r="AM213" s="773"/>
      <c r="AN213" s="709"/>
      <c r="AO213" s="769"/>
      <c r="AP213" s="769"/>
      <c r="AQ213" s="773"/>
      <c r="AR213" s="773"/>
      <c r="AS213" s="773"/>
      <c r="AT213"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3" s="711">
        <f>WWWW[[#This Row],[%Equitable and continuous access to sufficient quantity of safe drinking water]]*WWWW[[#This Row],[Total PoP ]]</f>
        <v>0</v>
      </c>
      <c r="AV213"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3" s="711">
        <f>WWWW[[#This Row],[% Access to unimproved water points]]*WWWW[[#This Row],[Total PoP ]]</f>
        <v>0</v>
      </c>
      <c r="AX213"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3"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3" s="711">
        <f>WWWW[[#This Row],[HRP1]]/250</f>
        <v>0</v>
      </c>
      <c r="BA213" s="713">
        <f>1-WWWW[[#This Row],[% Equitable and continuous access to sufficient quantity of domestic water]]</f>
        <v>1</v>
      </c>
      <c r="BB213" s="711">
        <f>WWWW[[#This Row],[%equitable and continuous access to sufficient quantity of safe drinking and domestic water''s GAP]]*WWWW[[#This Row],[Total PoP ]]</f>
        <v>223</v>
      </c>
      <c r="BC213" s="714">
        <f>IF(WWWW[[#This Row],[Total required water points]]-WWWW[[#This Row],['#Water points coverage]]&lt;0,0,WWWW[[#This Row],[Total required water points]]-WWWW[[#This Row],['#Water points coverage]])</f>
        <v>1</v>
      </c>
      <c r="BD213" s="714">
        <f>ROUND(IF(WWWW[[#This Row],[Total PoP ]]&lt;250,1,WWWW[[#This Row],[Total PoP ]]/250),0)</f>
        <v>1</v>
      </c>
      <c r="BE21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13" s="711">
        <f>WWWW[[#This Row],[% people access to functioning Latrine]]*WWWW[[#This Row],[Total PoP ]]</f>
        <v>0</v>
      </c>
      <c r="BG213" s="714">
        <f>WWWW[[#This Row],['#_of_Functioning_latrines_in_school]]*50</f>
        <v>0</v>
      </c>
      <c r="BH213" s="714">
        <f>ROUND((WWWW[[#This Row],[Total PoP ]]/6),0)</f>
        <v>37</v>
      </c>
      <c r="BI213" s="714">
        <f>IF(WWWW[[#This Row],[Total required Latrines]]-(WWWW[[#This Row],['#_of_sanitary_fly-proof_HH_latrines]])&lt;0,0,WWWW[[#This Row],[Total required Latrines]]-(WWWW[[#This Row],['#_of_sanitary_fly-proof_HH_latrines]]))</f>
        <v>37</v>
      </c>
      <c r="BJ213" s="710">
        <f>1-WWWW[[#This Row],[% people access to functioning Latrine]]</f>
        <v>1</v>
      </c>
      <c r="BK213"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3" s="772">
        <f>IF(WWWW[[#This Row],['#_of_functional_handwashing_facilities_at_HH_level]]*6&gt;WWWW[[#This Row],[Total PoP ]],WWWW[[#This Row],[Total PoP ]],WWWW[[#This Row],['#_of_functional_handwashing_facilities_at_HH_level]]*6)</f>
        <v>0</v>
      </c>
      <c r="BM213" s="714">
        <f>IF(WWWW[[#This Row],['# people reached by regular dedicated hygiene promotion]]&gt;WWWW[[#This Row],['# People received regular supply of hygiene items]],WWWW[[#This Row],['# people reached by regular dedicated hygiene promotion]],WWWW[[#This Row],['# People received regular supply of hygiene items]])</f>
        <v>0</v>
      </c>
      <c r="BN213" s="713">
        <f>IF(WWWW[[#This Row],[HRP3]]/WWWW[[#This Row],[Total PoP ]]&gt;100%,100%,WWWW[[#This Row],[HRP3]]/WWWW[[#This Row],[Total PoP ]])</f>
        <v>0</v>
      </c>
      <c r="BO213" s="710">
        <f>1-WWWW[[#This Row],[Hygiene Coverage%]]</f>
        <v>1</v>
      </c>
      <c r="BP213" s="712">
        <f>WWWW[[#This Row],['# people reached by regular dedicated hygiene promotion]]/WWWW[[#This Row],[Total PoP ]]</f>
        <v>0</v>
      </c>
      <c r="BQ21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3" s="770">
        <f>WWWW[[#This Row],['#_of_affected_women_and_girls_receiving_a_sufficient_quantity_of_sanitary_pads]]</f>
        <v>0</v>
      </c>
      <c r="BS213" s="773">
        <f>IF(WWWW[[#This Row],['# People with access to soap]]&gt;WWWW[[#This Row],['# People with access to Sanity Pads]],WWWW[[#This Row],['# People with access to soap]],WWWW[[#This Row],['# People with access to Sanity Pads]])</f>
        <v>0</v>
      </c>
      <c r="BT213" s="772" t="str">
        <f>IF(OR(WWWW[[#This Row],['#of students in school]]="",WWWW[[#This Row],['#of students in school]]=0),"No","Yes")</f>
        <v>No</v>
      </c>
      <c r="BU213" s="705" t="str">
        <f>VLOOKUP(WWWW[[#This Row],[Village  Name]],SiteDB6[[Site Name]:[Location Type 1]],9,FALSE)</f>
        <v>Village</v>
      </c>
      <c r="BV213" s="705" t="str">
        <f>VLOOKUP(WWWW[[#This Row],[Village  Name]],SiteDB6[[Site Name]:[Type of Accommodation]],10,FALSE)</f>
        <v>Village</v>
      </c>
      <c r="BW213" s="705">
        <f>VLOOKUP(WWWW[[#This Row],[Village  Name]],SiteDB6[[Site Name]:[Ethnic or GCA/NGCA]],11,FALSE)</f>
        <v>0</v>
      </c>
      <c r="BX213" s="705">
        <f>VLOOKUP(WWWW[[#This Row],[Village  Name]],SiteDB6[[Site Name]:[Lat]],12,FALSE)</f>
        <v>0</v>
      </c>
      <c r="BY213" s="705">
        <f>VLOOKUP(WWWW[[#This Row],[Village  Name]],SiteDB6[[Site Name]:[Long]],13,FALSE)</f>
        <v>0</v>
      </c>
      <c r="BZ213" s="705">
        <f>VLOOKUP(WWWW[[#This Row],[Village  Name]],SiteDB6[[Site Name]:[Pcode]],3,FALSE)</f>
        <v>0</v>
      </c>
      <c r="CA213" s="705" t="str">
        <f t="shared" si="12"/>
        <v>Covered</v>
      </c>
      <c r="CB213" s="715"/>
      <c r="CC213" s="765"/>
      <c r="CD213" s="766"/>
      <c r="CE213" s="766"/>
      <c r="CF213" s="763"/>
      <c r="CG213" s="766"/>
      <c r="CH213" s="767"/>
      <c r="CI213" s="767"/>
      <c r="CJ213" s="768"/>
      <c r="CK213" s="768"/>
      <c r="CL213" s="768"/>
      <c r="CM213" s="768"/>
      <c r="CN213" s="768"/>
      <c r="CO213" s="768"/>
      <c r="CP213" s="768"/>
      <c r="CQ213" s="768"/>
      <c r="CR213" s="768"/>
    </row>
    <row r="214" spans="1:96" s="764" customFormat="1">
      <c r="A214" s="774" t="s">
        <v>3199</v>
      </c>
      <c r="B214" s="703" t="s">
        <v>3232</v>
      </c>
      <c r="C214" s="704" t="s">
        <v>3232</v>
      </c>
      <c r="D214" s="704" t="s">
        <v>339</v>
      </c>
      <c r="E214" s="704" t="s">
        <v>36</v>
      </c>
      <c r="F214" s="704" t="s">
        <v>771</v>
      </c>
      <c r="G214" s="705" t="str">
        <f>VLOOKUP(WWWW[[#This Row],[Village  Name]],SiteDB6[[Site Name]:[Location Type]],8,FALSE)</f>
        <v>Village</v>
      </c>
      <c r="H214" s="704" t="s">
        <v>3245</v>
      </c>
      <c r="I214" s="706">
        <v>17</v>
      </c>
      <c r="J214" s="706">
        <v>183</v>
      </c>
      <c r="K214" s="707">
        <v>43831</v>
      </c>
      <c r="L214" s="708">
        <v>44926</v>
      </c>
      <c r="M214" s="706"/>
      <c r="N214" s="706"/>
      <c r="O214" s="773"/>
      <c r="P214" s="706"/>
      <c r="Q214" s="706"/>
      <c r="R214" s="706"/>
      <c r="S214" s="706"/>
      <c r="T214" s="706"/>
      <c r="U214" s="709"/>
      <c r="V214" s="706"/>
      <c r="W214" s="706"/>
      <c r="X214" s="706"/>
      <c r="Y214" s="706">
        <v>1</v>
      </c>
      <c r="Z214" s="706"/>
      <c r="AA214" s="706"/>
      <c r="AB214" s="706"/>
      <c r="AC214" s="709"/>
      <c r="AD214" s="706"/>
      <c r="AE214" s="706"/>
      <c r="AF214" s="706"/>
      <c r="AG214" s="706"/>
      <c r="AH214" s="706"/>
      <c r="AI214" s="706"/>
      <c r="AJ214" s="773"/>
      <c r="AK214" s="706"/>
      <c r="AL214" s="773"/>
      <c r="AM214" s="773"/>
      <c r="AN214" s="709"/>
      <c r="AO214" s="769"/>
      <c r="AP214" s="769"/>
      <c r="AQ214" s="773"/>
      <c r="AR214" s="773"/>
      <c r="AS214" s="773"/>
      <c r="AT214"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4" s="711">
        <f>WWWW[[#This Row],[%Equitable and continuous access to sufficient quantity of safe drinking water]]*WWWW[[#This Row],[Total PoP ]]</f>
        <v>0</v>
      </c>
      <c r="AV214"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4" s="711">
        <f>WWWW[[#This Row],[% Access to unimproved water points]]*WWWW[[#This Row],[Total PoP ]]</f>
        <v>0</v>
      </c>
      <c r="AX214"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4"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4" s="711">
        <f>WWWW[[#This Row],[HRP1]]/250</f>
        <v>0</v>
      </c>
      <c r="BA214" s="713">
        <f>1-WWWW[[#This Row],[% Equitable and continuous access to sufficient quantity of domestic water]]</f>
        <v>1</v>
      </c>
      <c r="BB214" s="711">
        <f>WWWW[[#This Row],[%equitable and continuous access to sufficient quantity of safe drinking and domestic water''s GAP]]*WWWW[[#This Row],[Total PoP ]]</f>
        <v>183</v>
      </c>
      <c r="BC214" s="714">
        <f>IF(WWWW[[#This Row],[Total required water points]]-WWWW[[#This Row],['#Water points coverage]]&lt;0,0,WWWW[[#This Row],[Total required water points]]-WWWW[[#This Row],['#Water points coverage]])</f>
        <v>1</v>
      </c>
      <c r="BD214" s="714">
        <f>ROUND(IF(WWWW[[#This Row],[Total PoP ]]&lt;250,1,WWWW[[#This Row],[Total PoP ]]/250),0)</f>
        <v>1</v>
      </c>
      <c r="BE21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14" s="711">
        <f>WWWW[[#This Row],[% people access to functioning Latrine]]*WWWW[[#This Row],[Total PoP ]]</f>
        <v>0</v>
      </c>
      <c r="BG214" s="714">
        <f>WWWW[[#This Row],['#_of_Functioning_latrines_in_school]]*50</f>
        <v>0</v>
      </c>
      <c r="BH214" s="714">
        <f>ROUND((WWWW[[#This Row],[Total PoP ]]/6),0)</f>
        <v>31</v>
      </c>
      <c r="BI214" s="714">
        <f>IF(WWWW[[#This Row],[Total required Latrines]]-(WWWW[[#This Row],['#_of_sanitary_fly-proof_HH_latrines]])&lt;0,0,WWWW[[#This Row],[Total required Latrines]]-(WWWW[[#This Row],['#_of_sanitary_fly-proof_HH_latrines]]))</f>
        <v>31</v>
      </c>
      <c r="BJ214" s="710">
        <f>1-WWWW[[#This Row],[% people access to functioning Latrine]]</f>
        <v>1</v>
      </c>
      <c r="BK214"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4" s="772">
        <f>IF(WWWW[[#This Row],['#_of_functional_handwashing_facilities_at_HH_level]]*6&gt;WWWW[[#This Row],[Total PoP ]],WWWW[[#This Row],[Total PoP ]],WWWW[[#This Row],['#_of_functional_handwashing_facilities_at_HH_level]]*6)</f>
        <v>0</v>
      </c>
      <c r="BM214" s="714">
        <f>IF(WWWW[[#This Row],['# people reached by regular dedicated hygiene promotion]]&gt;WWWW[[#This Row],['# People received regular supply of hygiene items]],WWWW[[#This Row],['# people reached by regular dedicated hygiene promotion]],WWWW[[#This Row],['# People received regular supply of hygiene items]])</f>
        <v>0</v>
      </c>
      <c r="BN214" s="713">
        <f>IF(WWWW[[#This Row],[HRP3]]/WWWW[[#This Row],[Total PoP ]]&gt;100%,100%,WWWW[[#This Row],[HRP3]]/WWWW[[#This Row],[Total PoP ]])</f>
        <v>0</v>
      </c>
      <c r="BO214" s="710">
        <f>1-WWWW[[#This Row],[Hygiene Coverage%]]</f>
        <v>1</v>
      </c>
      <c r="BP214" s="712">
        <f>WWWW[[#This Row],['# people reached by regular dedicated hygiene promotion]]/WWWW[[#This Row],[Total PoP ]]</f>
        <v>0</v>
      </c>
      <c r="BQ21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4" s="770">
        <f>WWWW[[#This Row],['#_of_affected_women_and_girls_receiving_a_sufficient_quantity_of_sanitary_pads]]</f>
        <v>0</v>
      </c>
      <c r="BS214" s="773">
        <f>IF(WWWW[[#This Row],['# People with access to soap]]&gt;WWWW[[#This Row],['# People with access to Sanity Pads]],WWWW[[#This Row],['# People with access to soap]],WWWW[[#This Row],['# People with access to Sanity Pads]])</f>
        <v>0</v>
      </c>
      <c r="BT214" s="772" t="str">
        <f>IF(OR(WWWW[[#This Row],['#of students in school]]="",WWWW[[#This Row],['#of students in school]]=0),"No","Yes")</f>
        <v>No</v>
      </c>
      <c r="BU214" s="705" t="str">
        <f>VLOOKUP(WWWW[[#This Row],[Village  Name]],SiteDB6[[Site Name]:[Location Type 1]],9,FALSE)</f>
        <v>Village</v>
      </c>
      <c r="BV214" s="705" t="str">
        <f>VLOOKUP(WWWW[[#This Row],[Village  Name]],SiteDB6[[Site Name]:[Type of Accommodation]],10,FALSE)</f>
        <v>Village</v>
      </c>
      <c r="BW214" s="705">
        <f>VLOOKUP(WWWW[[#This Row],[Village  Name]],SiteDB6[[Site Name]:[Ethnic or GCA/NGCA]],11,FALSE)</f>
        <v>0</v>
      </c>
      <c r="BX214" s="705">
        <f>VLOOKUP(WWWW[[#This Row],[Village  Name]],SiteDB6[[Site Name]:[Lat]],12,FALSE)</f>
        <v>0</v>
      </c>
      <c r="BY214" s="705">
        <f>VLOOKUP(WWWW[[#This Row],[Village  Name]],SiteDB6[[Site Name]:[Long]],13,FALSE)</f>
        <v>0</v>
      </c>
      <c r="BZ214" s="705">
        <f>VLOOKUP(WWWW[[#This Row],[Village  Name]],SiteDB6[[Site Name]:[Pcode]],3,FALSE)</f>
        <v>0</v>
      </c>
      <c r="CA214" s="705" t="str">
        <f t="shared" si="12"/>
        <v>Covered</v>
      </c>
      <c r="CB214" s="715"/>
      <c r="CC214" s="765"/>
      <c r="CD214" s="766"/>
      <c r="CE214" s="766"/>
      <c r="CF214" s="763"/>
      <c r="CG214" s="766"/>
      <c r="CH214" s="767"/>
      <c r="CI214" s="767"/>
      <c r="CJ214" s="768"/>
      <c r="CK214" s="768"/>
      <c r="CL214" s="768"/>
      <c r="CM214" s="768"/>
      <c r="CN214" s="768"/>
      <c r="CO214" s="768"/>
      <c r="CP214" s="768"/>
      <c r="CQ214" s="768"/>
      <c r="CR214" s="768"/>
    </row>
    <row r="215" spans="1:96" s="764" customFormat="1">
      <c r="A215" s="774" t="s">
        <v>3199</v>
      </c>
      <c r="B215" s="703" t="s">
        <v>3232</v>
      </c>
      <c r="C215" s="704" t="s">
        <v>3232</v>
      </c>
      <c r="D215" s="704" t="s">
        <v>339</v>
      </c>
      <c r="E215" s="704" t="s">
        <v>36</v>
      </c>
      <c r="F215" s="704" t="s">
        <v>771</v>
      </c>
      <c r="G215" s="705" t="str">
        <f>VLOOKUP(WWWW[[#This Row],[Village  Name]],SiteDB6[[Site Name]:[Location Type]],8,FALSE)</f>
        <v>Village</v>
      </c>
      <c r="H215" s="704" t="s">
        <v>3246</v>
      </c>
      <c r="I215" s="706">
        <v>34</v>
      </c>
      <c r="J215" s="706">
        <v>239</v>
      </c>
      <c r="K215" s="707">
        <v>43831</v>
      </c>
      <c r="L215" s="708">
        <v>44926</v>
      </c>
      <c r="M215" s="706"/>
      <c r="N215" s="706"/>
      <c r="O215" s="773"/>
      <c r="P215" s="706"/>
      <c r="Q215" s="706"/>
      <c r="R215" s="706"/>
      <c r="S215" s="706"/>
      <c r="T215" s="706"/>
      <c r="U215" s="709"/>
      <c r="V215" s="706"/>
      <c r="W215" s="706"/>
      <c r="X215" s="706"/>
      <c r="Y215" s="706">
        <v>8</v>
      </c>
      <c r="Z215" s="706"/>
      <c r="AA215" s="706"/>
      <c r="AB215" s="706"/>
      <c r="AC215" s="709"/>
      <c r="AD215" s="706"/>
      <c r="AE215" s="706"/>
      <c r="AF215" s="706"/>
      <c r="AG215" s="706"/>
      <c r="AH215" s="706"/>
      <c r="AI215" s="706"/>
      <c r="AJ215" s="773"/>
      <c r="AK215" s="706"/>
      <c r="AL215" s="773"/>
      <c r="AM215" s="773"/>
      <c r="AN215" s="709"/>
      <c r="AO215" s="769"/>
      <c r="AP215" s="769"/>
      <c r="AQ215" s="773"/>
      <c r="AR215" s="773"/>
      <c r="AS215" s="773"/>
      <c r="AT215"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5" s="711">
        <f>WWWW[[#This Row],[%Equitable and continuous access to sufficient quantity of safe drinking water]]*WWWW[[#This Row],[Total PoP ]]</f>
        <v>0</v>
      </c>
      <c r="AV215"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5" s="711">
        <f>WWWW[[#This Row],[% Access to unimproved water points]]*WWWW[[#This Row],[Total PoP ]]</f>
        <v>0</v>
      </c>
      <c r="AX215"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5"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5" s="711">
        <f>WWWW[[#This Row],[HRP1]]/250</f>
        <v>0</v>
      </c>
      <c r="BA215" s="713">
        <f>1-WWWW[[#This Row],[% Equitable and continuous access to sufficient quantity of domestic water]]</f>
        <v>1</v>
      </c>
      <c r="BB215" s="711">
        <f>WWWW[[#This Row],[%equitable and continuous access to sufficient quantity of safe drinking and domestic water''s GAP]]*WWWW[[#This Row],[Total PoP ]]</f>
        <v>239</v>
      </c>
      <c r="BC215" s="714">
        <f>IF(WWWW[[#This Row],[Total required water points]]-WWWW[[#This Row],['#Water points coverage]]&lt;0,0,WWWW[[#This Row],[Total required water points]]-WWWW[[#This Row],['#Water points coverage]])</f>
        <v>1</v>
      </c>
      <c r="BD215" s="714">
        <f>ROUND(IF(WWWW[[#This Row],[Total PoP ]]&lt;250,1,WWWW[[#This Row],[Total PoP ]]/250),0)</f>
        <v>1</v>
      </c>
      <c r="BE21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15" s="711">
        <f>WWWW[[#This Row],[% people access to functioning Latrine]]*WWWW[[#This Row],[Total PoP ]]</f>
        <v>0</v>
      </c>
      <c r="BG215" s="714">
        <f>WWWW[[#This Row],['#_of_Functioning_latrines_in_school]]*50</f>
        <v>0</v>
      </c>
      <c r="BH215" s="714">
        <f>ROUND((WWWW[[#This Row],[Total PoP ]]/6),0)</f>
        <v>40</v>
      </c>
      <c r="BI215" s="714">
        <f>IF(WWWW[[#This Row],[Total required Latrines]]-(WWWW[[#This Row],['#_of_sanitary_fly-proof_HH_latrines]])&lt;0,0,WWWW[[#This Row],[Total required Latrines]]-(WWWW[[#This Row],['#_of_sanitary_fly-proof_HH_latrines]]))</f>
        <v>40</v>
      </c>
      <c r="BJ215" s="710">
        <f>1-WWWW[[#This Row],[% people access to functioning Latrine]]</f>
        <v>1</v>
      </c>
      <c r="BK215"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5" s="772">
        <f>IF(WWWW[[#This Row],['#_of_functional_handwashing_facilities_at_HH_level]]*6&gt;WWWW[[#This Row],[Total PoP ]],WWWW[[#This Row],[Total PoP ]],WWWW[[#This Row],['#_of_functional_handwashing_facilities_at_HH_level]]*6)</f>
        <v>0</v>
      </c>
      <c r="BM215" s="714">
        <f>IF(WWWW[[#This Row],['# people reached by regular dedicated hygiene promotion]]&gt;WWWW[[#This Row],['# People received regular supply of hygiene items]],WWWW[[#This Row],['# people reached by regular dedicated hygiene promotion]],WWWW[[#This Row],['# People received regular supply of hygiene items]])</f>
        <v>0</v>
      </c>
      <c r="BN215" s="713">
        <f>IF(WWWW[[#This Row],[HRP3]]/WWWW[[#This Row],[Total PoP ]]&gt;100%,100%,WWWW[[#This Row],[HRP3]]/WWWW[[#This Row],[Total PoP ]])</f>
        <v>0</v>
      </c>
      <c r="BO215" s="710">
        <f>1-WWWW[[#This Row],[Hygiene Coverage%]]</f>
        <v>1</v>
      </c>
      <c r="BP215" s="712">
        <f>WWWW[[#This Row],['# people reached by regular dedicated hygiene promotion]]/WWWW[[#This Row],[Total PoP ]]</f>
        <v>0</v>
      </c>
      <c r="BQ21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5" s="770">
        <f>WWWW[[#This Row],['#_of_affected_women_and_girls_receiving_a_sufficient_quantity_of_sanitary_pads]]</f>
        <v>0</v>
      </c>
      <c r="BS215" s="773">
        <f>IF(WWWW[[#This Row],['# People with access to soap]]&gt;WWWW[[#This Row],['# People with access to Sanity Pads]],WWWW[[#This Row],['# People with access to soap]],WWWW[[#This Row],['# People with access to Sanity Pads]])</f>
        <v>0</v>
      </c>
      <c r="BT215" s="772" t="str">
        <f>IF(OR(WWWW[[#This Row],['#of students in school]]="",WWWW[[#This Row],['#of students in school]]=0),"No","Yes")</f>
        <v>No</v>
      </c>
      <c r="BU215" s="705" t="str">
        <f>VLOOKUP(WWWW[[#This Row],[Village  Name]],SiteDB6[[Site Name]:[Location Type 1]],9,FALSE)</f>
        <v>Village</v>
      </c>
      <c r="BV215" s="705" t="str">
        <f>VLOOKUP(WWWW[[#This Row],[Village  Name]],SiteDB6[[Site Name]:[Type of Accommodation]],10,FALSE)</f>
        <v>Village</v>
      </c>
      <c r="BW215" s="705">
        <f>VLOOKUP(WWWW[[#This Row],[Village  Name]],SiteDB6[[Site Name]:[Ethnic or GCA/NGCA]],11,FALSE)</f>
        <v>0</v>
      </c>
      <c r="BX215" s="705">
        <f>VLOOKUP(WWWW[[#This Row],[Village  Name]],SiteDB6[[Site Name]:[Lat]],12,FALSE)</f>
        <v>0</v>
      </c>
      <c r="BY215" s="705">
        <f>VLOOKUP(WWWW[[#This Row],[Village  Name]],SiteDB6[[Site Name]:[Long]],13,FALSE)</f>
        <v>0</v>
      </c>
      <c r="BZ215" s="705">
        <f>VLOOKUP(WWWW[[#This Row],[Village  Name]],SiteDB6[[Site Name]:[Pcode]],3,FALSE)</f>
        <v>0</v>
      </c>
      <c r="CA215" s="705" t="str">
        <f t="shared" si="12"/>
        <v>Covered</v>
      </c>
      <c r="CB215" s="715"/>
      <c r="CC215" s="765"/>
      <c r="CD215" s="766"/>
      <c r="CE215" s="766"/>
      <c r="CF215" s="763"/>
      <c r="CG215" s="766"/>
      <c r="CH215" s="767"/>
      <c r="CI215" s="767"/>
      <c r="CJ215" s="768"/>
      <c r="CK215" s="768"/>
      <c r="CL215" s="768"/>
      <c r="CM215" s="768"/>
      <c r="CN215" s="768"/>
      <c r="CO215" s="768"/>
      <c r="CP215" s="768"/>
      <c r="CQ215" s="768"/>
      <c r="CR215" s="768"/>
    </row>
    <row r="216" spans="1:96" s="764" customFormat="1">
      <c r="A216" s="774" t="s">
        <v>3199</v>
      </c>
      <c r="B216" s="703" t="s">
        <v>3232</v>
      </c>
      <c r="C216" s="704" t="s">
        <v>3232</v>
      </c>
      <c r="D216" s="704" t="s">
        <v>339</v>
      </c>
      <c r="E216" s="704" t="s">
        <v>36</v>
      </c>
      <c r="F216" s="704" t="s">
        <v>174</v>
      </c>
      <c r="G216" s="705" t="str">
        <f>VLOOKUP(WWWW[[#This Row],[Village  Name]],SiteDB6[[Site Name]:[Location Type]],8,FALSE)</f>
        <v>Village</v>
      </c>
      <c r="H216" s="704" t="s">
        <v>3247</v>
      </c>
      <c r="I216" s="706">
        <v>15</v>
      </c>
      <c r="J216" s="706">
        <v>78</v>
      </c>
      <c r="K216" s="707">
        <v>43831</v>
      </c>
      <c r="L216" s="708">
        <v>44926</v>
      </c>
      <c r="M216" s="706"/>
      <c r="N216" s="706"/>
      <c r="O216" s="773"/>
      <c r="P216" s="706"/>
      <c r="Q216" s="706"/>
      <c r="R216" s="706"/>
      <c r="S216" s="706"/>
      <c r="T216" s="706"/>
      <c r="U216" s="709"/>
      <c r="V216" s="706"/>
      <c r="W216" s="706"/>
      <c r="X216" s="706"/>
      <c r="Y216" s="706">
        <v>2</v>
      </c>
      <c r="Z216" s="706"/>
      <c r="AA216" s="706"/>
      <c r="AB216" s="706"/>
      <c r="AC216" s="709"/>
      <c r="AD216" s="706"/>
      <c r="AE216" s="706"/>
      <c r="AF216" s="706"/>
      <c r="AG216" s="706"/>
      <c r="AH216" s="706"/>
      <c r="AI216" s="706"/>
      <c r="AJ216" s="773"/>
      <c r="AK216" s="706"/>
      <c r="AL216" s="773"/>
      <c r="AM216" s="773"/>
      <c r="AN216" s="709"/>
      <c r="AO216" s="769"/>
      <c r="AP216" s="769"/>
      <c r="AQ216" s="773"/>
      <c r="AR216" s="773"/>
      <c r="AS216" s="773"/>
      <c r="AT216"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6" s="711">
        <f>WWWW[[#This Row],[%Equitable and continuous access to sufficient quantity of safe drinking water]]*WWWW[[#This Row],[Total PoP ]]</f>
        <v>0</v>
      </c>
      <c r="AV216"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6" s="711">
        <f>WWWW[[#This Row],[% Access to unimproved water points]]*WWWW[[#This Row],[Total PoP ]]</f>
        <v>0</v>
      </c>
      <c r="AX216"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6"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6" s="711">
        <f>WWWW[[#This Row],[HRP1]]/250</f>
        <v>0</v>
      </c>
      <c r="BA216" s="713">
        <f>1-WWWW[[#This Row],[% Equitable and continuous access to sufficient quantity of domestic water]]</f>
        <v>1</v>
      </c>
      <c r="BB216" s="711">
        <f>WWWW[[#This Row],[%equitable and continuous access to sufficient quantity of safe drinking and domestic water''s GAP]]*WWWW[[#This Row],[Total PoP ]]</f>
        <v>78</v>
      </c>
      <c r="BC216" s="714">
        <f>IF(WWWW[[#This Row],[Total required water points]]-WWWW[[#This Row],['#Water points coverage]]&lt;0,0,WWWW[[#This Row],[Total required water points]]-WWWW[[#This Row],['#Water points coverage]])</f>
        <v>1</v>
      </c>
      <c r="BD216" s="714">
        <f>ROUND(IF(WWWW[[#This Row],[Total PoP ]]&lt;250,1,WWWW[[#This Row],[Total PoP ]]/250),0)</f>
        <v>1</v>
      </c>
      <c r="BE21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16" s="711">
        <f>WWWW[[#This Row],[% people access to functioning Latrine]]*WWWW[[#This Row],[Total PoP ]]</f>
        <v>0</v>
      </c>
      <c r="BG216" s="714">
        <f>WWWW[[#This Row],['#_of_Functioning_latrines_in_school]]*50</f>
        <v>0</v>
      </c>
      <c r="BH216" s="714">
        <f>ROUND((WWWW[[#This Row],[Total PoP ]]/6),0)</f>
        <v>13</v>
      </c>
      <c r="BI216" s="714">
        <f>IF(WWWW[[#This Row],[Total required Latrines]]-(WWWW[[#This Row],['#_of_sanitary_fly-proof_HH_latrines]])&lt;0,0,WWWW[[#This Row],[Total required Latrines]]-(WWWW[[#This Row],['#_of_sanitary_fly-proof_HH_latrines]]))</f>
        <v>13</v>
      </c>
      <c r="BJ216" s="710">
        <f>1-WWWW[[#This Row],[% people access to functioning Latrine]]</f>
        <v>1</v>
      </c>
      <c r="BK216"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6" s="772">
        <f>IF(WWWW[[#This Row],['#_of_functional_handwashing_facilities_at_HH_level]]*6&gt;WWWW[[#This Row],[Total PoP ]],WWWW[[#This Row],[Total PoP ]],WWWW[[#This Row],['#_of_functional_handwashing_facilities_at_HH_level]]*6)</f>
        <v>0</v>
      </c>
      <c r="BM216" s="714">
        <f>IF(WWWW[[#This Row],['# people reached by regular dedicated hygiene promotion]]&gt;WWWW[[#This Row],['# People received regular supply of hygiene items]],WWWW[[#This Row],['# people reached by regular dedicated hygiene promotion]],WWWW[[#This Row],['# People received regular supply of hygiene items]])</f>
        <v>0</v>
      </c>
      <c r="BN216" s="713">
        <f>IF(WWWW[[#This Row],[HRP3]]/WWWW[[#This Row],[Total PoP ]]&gt;100%,100%,WWWW[[#This Row],[HRP3]]/WWWW[[#This Row],[Total PoP ]])</f>
        <v>0</v>
      </c>
      <c r="BO216" s="710">
        <f>1-WWWW[[#This Row],[Hygiene Coverage%]]</f>
        <v>1</v>
      </c>
      <c r="BP216" s="712">
        <f>WWWW[[#This Row],['# people reached by regular dedicated hygiene promotion]]/WWWW[[#This Row],[Total PoP ]]</f>
        <v>0</v>
      </c>
      <c r="BQ21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6" s="770">
        <f>WWWW[[#This Row],['#_of_affected_women_and_girls_receiving_a_sufficient_quantity_of_sanitary_pads]]</f>
        <v>0</v>
      </c>
      <c r="BS216" s="773">
        <f>IF(WWWW[[#This Row],['# People with access to soap]]&gt;WWWW[[#This Row],['# People with access to Sanity Pads]],WWWW[[#This Row],['# People with access to soap]],WWWW[[#This Row],['# People with access to Sanity Pads]])</f>
        <v>0</v>
      </c>
      <c r="BT216" s="772" t="str">
        <f>IF(OR(WWWW[[#This Row],['#of students in school]]="",WWWW[[#This Row],['#of students in school]]=0),"No","Yes")</f>
        <v>No</v>
      </c>
      <c r="BU216" s="705" t="str">
        <f>VLOOKUP(WWWW[[#This Row],[Village  Name]],SiteDB6[[Site Name]:[Location Type 1]],9,FALSE)</f>
        <v>Village</v>
      </c>
      <c r="BV216" s="705" t="str">
        <f>VLOOKUP(WWWW[[#This Row],[Village  Name]],SiteDB6[[Site Name]:[Type of Accommodation]],10,FALSE)</f>
        <v>Village</v>
      </c>
      <c r="BW216" s="705">
        <f>VLOOKUP(WWWW[[#This Row],[Village  Name]],SiteDB6[[Site Name]:[Ethnic or GCA/NGCA]],11,FALSE)</f>
        <v>0</v>
      </c>
      <c r="BX216" s="705">
        <f>VLOOKUP(WWWW[[#This Row],[Village  Name]],SiteDB6[[Site Name]:[Lat]],12,FALSE)</f>
        <v>0</v>
      </c>
      <c r="BY216" s="705">
        <f>VLOOKUP(WWWW[[#This Row],[Village  Name]],SiteDB6[[Site Name]:[Long]],13,FALSE)</f>
        <v>0</v>
      </c>
      <c r="BZ216" s="705">
        <f>VLOOKUP(WWWW[[#This Row],[Village  Name]],SiteDB6[[Site Name]:[Pcode]],3,FALSE)</f>
        <v>0</v>
      </c>
      <c r="CA216" s="705" t="str">
        <f>IF(C216="none","Notcovered","Covered")</f>
        <v>Covered</v>
      </c>
      <c r="CB216" s="715"/>
      <c r="CC216" s="765"/>
      <c r="CD216" s="766"/>
      <c r="CE216" s="766"/>
      <c r="CF216" s="763"/>
      <c r="CG216" s="766"/>
      <c r="CH216" s="767"/>
      <c r="CI216" s="767"/>
      <c r="CJ216" s="768"/>
      <c r="CK216" s="768"/>
      <c r="CL216" s="768"/>
      <c r="CM216" s="768"/>
      <c r="CN216" s="768"/>
      <c r="CO216" s="768"/>
      <c r="CP216" s="768"/>
      <c r="CQ216" s="768"/>
      <c r="CR216" s="768"/>
    </row>
    <row r="217" spans="1:96" s="764" customFormat="1">
      <c r="A217" s="774" t="s">
        <v>3199</v>
      </c>
      <c r="B217" s="703" t="s">
        <v>3232</v>
      </c>
      <c r="C217" s="704" t="s">
        <v>3232</v>
      </c>
      <c r="D217" s="704" t="s">
        <v>339</v>
      </c>
      <c r="E217" s="704" t="s">
        <v>36</v>
      </c>
      <c r="F217" s="704" t="s">
        <v>174</v>
      </c>
      <c r="G217" s="705" t="str">
        <f>VLOOKUP(WWWW[[#This Row],[Village  Name]],SiteDB6[[Site Name]:[Location Type]],8,FALSE)</f>
        <v>Village</v>
      </c>
      <c r="H217" s="704" t="s">
        <v>3248</v>
      </c>
      <c r="I217" s="706">
        <v>16</v>
      </c>
      <c r="J217" s="706">
        <v>95</v>
      </c>
      <c r="K217" s="707">
        <v>43831</v>
      </c>
      <c r="L217" s="708">
        <v>44926</v>
      </c>
      <c r="M217" s="706"/>
      <c r="N217" s="706"/>
      <c r="O217" s="773"/>
      <c r="P217" s="706"/>
      <c r="Q217" s="706"/>
      <c r="R217" s="706"/>
      <c r="S217" s="706"/>
      <c r="T217" s="706"/>
      <c r="U217" s="709"/>
      <c r="V217" s="706"/>
      <c r="W217" s="706"/>
      <c r="X217" s="706"/>
      <c r="Y217" s="706">
        <v>3</v>
      </c>
      <c r="Z217" s="706"/>
      <c r="AA217" s="706"/>
      <c r="AB217" s="706"/>
      <c r="AC217" s="709"/>
      <c r="AD217" s="706"/>
      <c r="AE217" s="706"/>
      <c r="AF217" s="706"/>
      <c r="AG217" s="706"/>
      <c r="AH217" s="706"/>
      <c r="AI217" s="706"/>
      <c r="AJ217" s="773"/>
      <c r="AK217" s="706"/>
      <c r="AL217" s="773"/>
      <c r="AM217" s="773"/>
      <c r="AN217" s="709"/>
      <c r="AO217" s="769"/>
      <c r="AP217" s="769"/>
      <c r="AQ217" s="773"/>
      <c r="AR217" s="773"/>
      <c r="AS217" s="773"/>
      <c r="AT217"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7" s="711">
        <f>WWWW[[#This Row],[%Equitable and continuous access to sufficient quantity of safe drinking water]]*WWWW[[#This Row],[Total PoP ]]</f>
        <v>0</v>
      </c>
      <c r="AV217"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7" s="711">
        <f>WWWW[[#This Row],[% Access to unimproved water points]]*WWWW[[#This Row],[Total PoP ]]</f>
        <v>0</v>
      </c>
      <c r="AX217"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7"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7" s="711">
        <f>WWWW[[#This Row],[HRP1]]/250</f>
        <v>0</v>
      </c>
      <c r="BA217" s="713">
        <f>1-WWWW[[#This Row],[% Equitable and continuous access to sufficient quantity of domestic water]]</f>
        <v>1</v>
      </c>
      <c r="BB217" s="711">
        <f>WWWW[[#This Row],[%equitable and continuous access to sufficient quantity of safe drinking and domestic water''s GAP]]*WWWW[[#This Row],[Total PoP ]]</f>
        <v>95</v>
      </c>
      <c r="BC217" s="714">
        <f>IF(WWWW[[#This Row],[Total required water points]]-WWWW[[#This Row],['#Water points coverage]]&lt;0,0,WWWW[[#This Row],[Total required water points]]-WWWW[[#This Row],['#Water points coverage]])</f>
        <v>1</v>
      </c>
      <c r="BD217" s="714">
        <f>ROUND(IF(WWWW[[#This Row],[Total PoP ]]&lt;250,1,WWWW[[#This Row],[Total PoP ]]/250),0)</f>
        <v>1</v>
      </c>
      <c r="BE21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17" s="711">
        <f>WWWW[[#This Row],[% people access to functioning Latrine]]*WWWW[[#This Row],[Total PoP ]]</f>
        <v>0</v>
      </c>
      <c r="BG217" s="714">
        <f>WWWW[[#This Row],['#_of_Functioning_latrines_in_school]]*50</f>
        <v>0</v>
      </c>
      <c r="BH217" s="714">
        <f>ROUND((WWWW[[#This Row],[Total PoP ]]/6),0)</f>
        <v>16</v>
      </c>
      <c r="BI217" s="714">
        <f>IF(WWWW[[#This Row],[Total required Latrines]]-(WWWW[[#This Row],['#_of_sanitary_fly-proof_HH_latrines]])&lt;0,0,WWWW[[#This Row],[Total required Latrines]]-(WWWW[[#This Row],['#_of_sanitary_fly-proof_HH_latrines]]))</f>
        <v>16</v>
      </c>
      <c r="BJ217" s="710">
        <f>1-WWWW[[#This Row],[% people access to functioning Latrine]]</f>
        <v>1</v>
      </c>
      <c r="BK217"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7" s="772">
        <f>IF(WWWW[[#This Row],['#_of_functional_handwashing_facilities_at_HH_level]]*6&gt;WWWW[[#This Row],[Total PoP ]],WWWW[[#This Row],[Total PoP ]],WWWW[[#This Row],['#_of_functional_handwashing_facilities_at_HH_level]]*6)</f>
        <v>0</v>
      </c>
      <c r="BM217" s="714">
        <f>IF(WWWW[[#This Row],['# people reached by regular dedicated hygiene promotion]]&gt;WWWW[[#This Row],['# People received regular supply of hygiene items]],WWWW[[#This Row],['# people reached by regular dedicated hygiene promotion]],WWWW[[#This Row],['# People received regular supply of hygiene items]])</f>
        <v>0</v>
      </c>
      <c r="BN217" s="713">
        <f>IF(WWWW[[#This Row],[HRP3]]/WWWW[[#This Row],[Total PoP ]]&gt;100%,100%,WWWW[[#This Row],[HRP3]]/WWWW[[#This Row],[Total PoP ]])</f>
        <v>0</v>
      </c>
      <c r="BO217" s="710">
        <f>1-WWWW[[#This Row],[Hygiene Coverage%]]</f>
        <v>1</v>
      </c>
      <c r="BP217" s="712">
        <f>WWWW[[#This Row],['# people reached by regular dedicated hygiene promotion]]/WWWW[[#This Row],[Total PoP ]]</f>
        <v>0</v>
      </c>
      <c r="BQ21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7" s="770">
        <f>WWWW[[#This Row],['#_of_affected_women_and_girls_receiving_a_sufficient_quantity_of_sanitary_pads]]</f>
        <v>0</v>
      </c>
      <c r="BS217" s="773">
        <f>IF(WWWW[[#This Row],['# People with access to soap]]&gt;WWWW[[#This Row],['# People with access to Sanity Pads]],WWWW[[#This Row],['# People with access to soap]],WWWW[[#This Row],['# People with access to Sanity Pads]])</f>
        <v>0</v>
      </c>
      <c r="BT217" s="772" t="str">
        <f>IF(OR(WWWW[[#This Row],['#of students in school]]="",WWWW[[#This Row],['#of students in school]]=0),"No","Yes")</f>
        <v>No</v>
      </c>
      <c r="BU217" s="705" t="str">
        <f>VLOOKUP(WWWW[[#This Row],[Village  Name]],SiteDB6[[Site Name]:[Location Type 1]],9,FALSE)</f>
        <v>Village</v>
      </c>
      <c r="BV217" s="705" t="str">
        <f>VLOOKUP(WWWW[[#This Row],[Village  Name]],SiteDB6[[Site Name]:[Type of Accommodation]],10,FALSE)</f>
        <v>Village</v>
      </c>
      <c r="BW217" s="705">
        <f>VLOOKUP(WWWW[[#This Row],[Village  Name]],SiteDB6[[Site Name]:[Ethnic or GCA/NGCA]],11,FALSE)</f>
        <v>0</v>
      </c>
      <c r="BX217" s="705">
        <f>VLOOKUP(WWWW[[#This Row],[Village  Name]],SiteDB6[[Site Name]:[Lat]],12,FALSE)</f>
        <v>0</v>
      </c>
      <c r="BY217" s="705">
        <f>VLOOKUP(WWWW[[#This Row],[Village  Name]],SiteDB6[[Site Name]:[Long]],13,FALSE)</f>
        <v>0</v>
      </c>
      <c r="BZ217" s="705">
        <f>VLOOKUP(WWWW[[#This Row],[Village  Name]],SiteDB6[[Site Name]:[Pcode]],3,FALSE)</f>
        <v>0</v>
      </c>
      <c r="CA217" s="705" t="str">
        <f t="shared" ref="CA217:CA229" si="13">IF(C217="none","Notcovered","Covered")</f>
        <v>Covered</v>
      </c>
      <c r="CB217" s="715"/>
      <c r="CC217" s="765"/>
      <c r="CD217" s="766"/>
      <c r="CE217" s="766"/>
      <c r="CF217" s="763"/>
      <c r="CG217" s="766"/>
      <c r="CH217" s="767"/>
      <c r="CI217" s="767"/>
      <c r="CJ217" s="768"/>
      <c r="CK217" s="768"/>
      <c r="CL217" s="768"/>
      <c r="CM217" s="768"/>
      <c r="CN217" s="768"/>
      <c r="CO217" s="768"/>
      <c r="CP217" s="768"/>
      <c r="CQ217" s="768"/>
      <c r="CR217" s="768"/>
    </row>
    <row r="218" spans="1:96" s="764" customFormat="1">
      <c r="A218" s="774" t="s">
        <v>3199</v>
      </c>
      <c r="B218" s="703" t="s">
        <v>3232</v>
      </c>
      <c r="C218" s="704" t="s">
        <v>3232</v>
      </c>
      <c r="D218" s="704" t="s">
        <v>339</v>
      </c>
      <c r="E218" s="704" t="s">
        <v>36</v>
      </c>
      <c r="F218" s="704" t="s">
        <v>174</v>
      </c>
      <c r="G218" s="705" t="str">
        <f>VLOOKUP(WWWW[[#This Row],[Village  Name]],SiteDB6[[Site Name]:[Location Type]],8,FALSE)</f>
        <v>Village</v>
      </c>
      <c r="H218" s="704" t="s">
        <v>3249</v>
      </c>
      <c r="I218" s="706">
        <v>32</v>
      </c>
      <c r="J218" s="706">
        <v>189</v>
      </c>
      <c r="K218" s="707">
        <v>43831</v>
      </c>
      <c r="L218" s="708">
        <v>44926</v>
      </c>
      <c r="M218" s="706"/>
      <c r="N218" s="706"/>
      <c r="O218" s="773"/>
      <c r="P218" s="706"/>
      <c r="Q218" s="706"/>
      <c r="R218" s="706"/>
      <c r="S218" s="706"/>
      <c r="T218" s="706"/>
      <c r="U218" s="709"/>
      <c r="V218" s="706"/>
      <c r="W218" s="706"/>
      <c r="X218" s="706"/>
      <c r="Y218" s="706">
        <v>2</v>
      </c>
      <c r="Z218" s="706"/>
      <c r="AA218" s="706"/>
      <c r="AB218" s="706"/>
      <c r="AC218" s="709"/>
      <c r="AD218" s="706"/>
      <c r="AE218" s="706"/>
      <c r="AF218" s="706"/>
      <c r="AG218" s="706"/>
      <c r="AH218" s="706"/>
      <c r="AI218" s="706"/>
      <c r="AJ218" s="773"/>
      <c r="AK218" s="706"/>
      <c r="AL218" s="773"/>
      <c r="AM218" s="773"/>
      <c r="AN218" s="709"/>
      <c r="AO218" s="769"/>
      <c r="AP218" s="769"/>
      <c r="AQ218" s="773"/>
      <c r="AR218" s="773"/>
      <c r="AS218" s="773"/>
      <c r="AT218"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8" s="711">
        <f>WWWW[[#This Row],[%Equitable and continuous access to sufficient quantity of safe drinking water]]*WWWW[[#This Row],[Total PoP ]]</f>
        <v>0</v>
      </c>
      <c r="AV218"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8" s="711">
        <f>WWWW[[#This Row],[% Access to unimproved water points]]*WWWW[[#This Row],[Total PoP ]]</f>
        <v>0</v>
      </c>
      <c r="AX218"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8"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8" s="711">
        <f>WWWW[[#This Row],[HRP1]]/250</f>
        <v>0</v>
      </c>
      <c r="BA218" s="713">
        <f>1-WWWW[[#This Row],[% Equitable and continuous access to sufficient quantity of domestic water]]</f>
        <v>1</v>
      </c>
      <c r="BB218" s="711">
        <f>WWWW[[#This Row],[%equitable and continuous access to sufficient quantity of safe drinking and domestic water''s GAP]]*WWWW[[#This Row],[Total PoP ]]</f>
        <v>189</v>
      </c>
      <c r="BC218" s="714">
        <f>IF(WWWW[[#This Row],[Total required water points]]-WWWW[[#This Row],['#Water points coverage]]&lt;0,0,WWWW[[#This Row],[Total required water points]]-WWWW[[#This Row],['#Water points coverage]])</f>
        <v>1</v>
      </c>
      <c r="BD218" s="714">
        <f>ROUND(IF(WWWW[[#This Row],[Total PoP ]]&lt;250,1,WWWW[[#This Row],[Total PoP ]]/250),0)</f>
        <v>1</v>
      </c>
      <c r="BE21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18" s="711">
        <f>WWWW[[#This Row],[% people access to functioning Latrine]]*WWWW[[#This Row],[Total PoP ]]</f>
        <v>0</v>
      </c>
      <c r="BG218" s="714">
        <f>WWWW[[#This Row],['#_of_Functioning_latrines_in_school]]*50</f>
        <v>0</v>
      </c>
      <c r="BH218" s="714">
        <f>ROUND((WWWW[[#This Row],[Total PoP ]]/6),0)</f>
        <v>32</v>
      </c>
      <c r="BI218" s="714">
        <f>IF(WWWW[[#This Row],[Total required Latrines]]-(WWWW[[#This Row],['#_of_sanitary_fly-proof_HH_latrines]])&lt;0,0,WWWW[[#This Row],[Total required Latrines]]-(WWWW[[#This Row],['#_of_sanitary_fly-proof_HH_latrines]]))</f>
        <v>32</v>
      </c>
      <c r="BJ218" s="710">
        <f>1-WWWW[[#This Row],[% people access to functioning Latrine]]</f>
        <v>1</v>
      </c>
      <c r="BK218"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8" s="772">
        <f>IF(WWWW[[#This Row],['#_of_functional_handwashing_facilities_at_HH_level]]*6&gt;WWWW[[#This Row],[Total PoP ]],WWWW[[#This Row],[Total PoP ]],WWWW[[#This Row],['#_of_functional_handwashing_facilities_at_HH_level]]*6)</f>
        <v>0</v>
      </c>
      <c r="BM218" s="714">
        <f>IF(WWWW[[#This Row],['# people reached by regular dedicated hygiene promotion]]&gt;WWWW[[#This Row],['# People received regular supply of hygiene items]],WWWW[[#This Row],['# people reached by regular dedicated hygiene promotion]],WWWW[[#This Row],['# People received regular supply of hygiene items]])</f>
        <v>0</v>
      </c>
      <c r="BN218" s="713">
        <f>IF(WWWW[[#This Row],[HRP3]]/WWWW[[#This Row],[Total PoP ]]&gt;100%,100%,WWWW[[#This Row],[HRP3]]/WWWW[[#This Row],[Total PoP ]])</f>
        <v>0</v>
      </c>
      <c r="BO218" s="710">
        <f>1-WWWW[[#This Row],[Hygiene Coverage%]]</f>
        <v>1</v>
      </c>
      <c r="BP218" s="712">
        <f>WWWW[[#This Row],['# people reached by regular dedicated hygiene promotion]]/WWWW[[#This Row],[Total PoP ]]</f>
        <v>0</v>
      </c>
      <c r="BQ21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8" s="770">
        <f>WWWW[[#This Row],['#_of_affected_women_and_girls_receiving_a_sufficient_quantity_of_sanitary_pads]]</f>
        <v>0</v>
      </c>
      <c r="BS218" s="773">
        <f>IF(WWWW[[#This Row],['# People with access to soap]]&gt;WWWW[[#This Row],['# People with access to Sanity Pads]],WWWW[[#This Row],['# People with access to soap]],WWWW[[#This Row],['# People with access to Sanity Pads]])</f>
        <v>0</v>
      </c>
      <c r="BT218" s="772" t="str">
        <f>IF(OR(WWWW[[#This Row],['#of students in school]]="",WWWW[[#This Row],['#of students in school]]=0),"No","Yes")</f>
        <v>No</v>
      </c>
      <c r="BU218" s="705" t="str">
        <f>VLOOKUP(WWWW[[#This Row],[Village  Name]],SiteDB6[[Site Name]:[Location Type 1]],9,FALSE)</f>
        <v>Village</v>
      </c>
      <c r="BV218" s="705" t="str">
        <f>VLOOKUP(WWWW[[#This Row],[Village  Name]],SiteDB6[[Site Name]:[Type of Accommodation]],10,FALSE)</f>
        <v>Village</v>
      </c>
      <c r="BW218" s="705">
        <f>VLOOKUP(WWWW[[#This Row],[Village  Name]],SiteDB6[[Site Name]:[Ethnic or GCA/NGCA]],11,FALSE)</f>
        <v>0</v>
      </c>
      <c r="BX218" s="705">
        <f>VLOOKUP(WWWW[[#This Row],[Village  Name]],SiteDB6[[Site Name]:[Lat]],12,FALSE)</f>
        <v>0</v>
      </c>
      <c r="BY218" s="705">
        <f>VLOOKUP(WWWW[[#This Row],[Village  Name]],SiteDB6[[Site Name]:[Long]],13,FALSE)</f>
        <v>0</v>
      </c>
      <c r="BZ218" s="705">
        <f>VLOOKUP(WWWW[[#This Row],[Village  Name]],SiteDB6[[Site Name]:[Pcode]],3,FALSE)</f>
        <v>0</v>
      </c>
      <c r="CA218" s="705" t="str">
        <f t="shared" si="13"/>
        <v>Covered</v>
      </c>
      <c r="CB218" s="715"/>
      <c r="CC218" s="765"/>
      <c r="CD218" s="766"/>
      <c r="CE218" s="766"/>
      <c r="CF218" s="763"/>
      <c r="CG218" s="766"/>
      <c r="CH218" s="767"/>
      <c r="CI218" s="767"/>
      <c r="CJ218" s="768"/>
      <c r="CK218" s="768"/>
      <c r="CL218" s="768"/>
      <c r="CM218" s="768"/>
      <c r="CN218" s="768"/>
      <c r="CO218" s="768"/>
      <c r="CP218" s="768"/>
      <c r="CQ218" s="768"/>
      <c r="CR218" s="768"/>
    </row>
    <row r="219" spans="1:96" s="764" customFormat="1">
      <c r="A219" s="774" t="s">
        <v>3199</v>
      </c>
      <c r="B219" s="703" t="s">
        <v>3232</v>
      </c>
      <c r="C219" s="704" t="s">
        <v>3232</v>
      </c>
      <c r="D219" s="704" t="s">
        <v>339</v>
      </c>
      <c r="E219" s="704" t="s">
        <v>36</v>
      </c>
      <c r="F219" s="704" t="s">
        <v>174</v>
      </c>
      <c r="G219" s="705" t="str">
        <f>VLOOKUP(WWWW[[#This Row],[Village  Name]],SiteDB6[[Site Name]:[Location Type]],8,FALSE)</f>
        <v>Village</v>
      </c>
      <c r="H219" s="704" t="s">
        <v>3250</v>
      </c>
      <c r="I219" s="706">
        <v>54</v>
      </c>
      <c r="J219" s="706">
        <v>361</v>
      </c>
      <c r="K219" s="707">
        <v>43831</v>
      </c>
      <c r="L219" s="708">
        <v>44926</v>
      </c>
      <c r="M219" s="706"/>
      <c r="N219" s="706"/>
      <c r="O219" s="773"/>
      <c r="P219" s="706"/>
      <c r="Q219" s="706"/>
      <c r="R219" s="706"/>
      <c r="S219" s="706"/>
      <c r="T219" s="706"/>
      <c r="U219" s="709"/>
      <c r="V219" s="706"/>
      <c r="W219" s="706"/>
      <c r="X219" s="706"/>
      <c r="Y219" s="706">
        <v>5</v>
      </c>
      <c r="Z219" s="706"/>
      <c r="AA219" s="706"/>
      <c r="AB219" s="706"/>
      <c r="AC219" s="709"/>
      <c r="AD219" s="706"/>
      <c r="AE219" s="706"/>
      <c r="AF219" s="706"/>
      <c r="AG219" s="706"/>
      <c r="AH219" s="706"/>
      <c r="AI219" s="706"/>
      <c r="AJ219" s="773"/>
      <c r="AK219" s="706"/>
      <c r="AL219" s="773"/>
      <c r="AM219" s="773"/>
      <c r="AN219" s="709"/>
      <c r="AO219" s="769"/>
      <c r="AP219" s="769"/>
      <c r="AQ219" s="773"/>
      <c r="AR219" s="773"/>
      <c r="AS219" s="773"/>
      <c r="AT219"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19" s="711">
        <f>WWWW[[#This Row],[%Equitable and continuous access to sufficient quantity of safe drinking water]]*WWWW[[#This Row],[Total PoP ]]</f>
        <v>0</v>
      </c>
      <c r="AV219"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19" s="711">
        <f>WWWW[[#This Row],[% Access to unimproved water points]]*WWWW[[#This Row],[Total PoP ]]</f>
        <v>0</v>
      </c>
      <c r="AX219"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19"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19" s="711">
        <f>WWWW[[#This Row],[HRP1]]/250</f>
        <v>0</v>
      </c>
      <c r="BA219" s="713">
        <f>1-WWWW[[#This Row],[% Equitable and continuous access to sufficient quantity of domestic water]]</f>
        <v>1</v>
      </c>
      <c r="BB219" s="711">
        <f>WWWW[[#This Row],[%equitable and continuous access to sufficient quantity of safe drinking and domestic water''s GAP]]*WWWW[[#This Row],[Total PoP ]]</f>
        <v>361</v>
      </c>
      <c r="BC219" s="714">
        <f>IF(WWWW[[#This Row],[Total required water points]]-WWWW[[#This Row],['#Water points coverage]]&lt;0,0,WWWW[[#This Row],[Total required water points]]-WWWW[[#This Row],['#Water points coverage]])</f>
        <v>1</v>
      </c>
      <c r="BD219" s="714">
        <f>ROUND(IF(WWWW[[#This Row],[Total PoP ]]&lt;250,1,WWWW[[#This Row],[Total PoP ]]/250),0)</f>
        <v>1</v>
      </c>
      <c r="BE21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19" s="711">
        <f>WWWW[[#This Row],[% people access to functioning Latrine]]*WWWW[[#This Row],[Total PoP ]]</f>
        <v>0</v>
      </c>
      <c r="BG219" s="714">
        <f>WWWW[[#This Row],['#_of_Functioning_latrines_in_school]]*50</f>
        <v>0</v>
      </c>
      <c r="BH219" s="714">
        <f>ROUND((WWWW[[#This Row],[Total PoP ]]/6),0)</f>
        <v>60</v>
      </c>
      <c r="BI219" s="714">
        <f>IF(WWWW[[#This Row],[Total required Latrines]]-(WWWW[[#This Row],['#_of_sanitary_fly-proof_HH_latrines]])&lt;0,0,WWWW[[#This Row],[Total required Latrines]]-(WWWW[[#This Row],['#_of_sanitary_fly-proof_HH_latrines]]))</f>
        <v>60</v>
      </c>
      <c r="BJ219" s="710">
        <f>1-WWWW[[#This Row],[% people access to functioning Latrine]]</f>
        <v>1</v>
      </c>
      <c r="BK219"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19" s="772">
        <f>IF(WWWW[[#This Row],['#_of_functional_handwashing_facilities_at_HH_level]]*6&gt;WWWW[[#This Row],[Total PoP ]],WWWW[[#This Row],[Total PoP ]],WWWW[[#This Row],['#_of_functional_handwashing_facilities_at_HH_level]]*6)</f>
        <v>0</v>
      </c>
      <c r="BM219" s="714">
        <f>IF(WWWW[[#This Row],['# people reached by regular dedicated hygiene promotion]]&gt;WWWW[[#This Row],['# People received regular supply of hygiene items]],WWWW[[#This Row],['# people reached by regular dedicated hygiene promotion]],WWWW[[#This Row],['# People received regular supply of hygiene items]])</f>
        <v>0</v>
      </c>
      <c r="BN219" s="713">
        <f>IF(WWWW[[#This Row],[HRP3]]/WWWW[[#This Row],[Total PoP ]]&gt;100%,100%,WWWW[[#This Row],[HRP3]]/WWWW[[#This Row],[Total PoP ]])</f>
        <v>0</v>
      </c>
      <c r="BO219" s="710">
        <f>1-WWWW[[#This Row],[Hygiene Coverage%]]</f>
        <v>1</v>
      </c>
      <c r="BP219" s="712">
        <f>WWWW[[#This Row],['# people reached by regular dedicated hygiene promotion]]/WWWW[[#This Row],[Total PoP ]]</f>
        <v>0</v>
      </c>
      <c r="BQ21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19" s="770">
        <f>WWWW[[#This Row],['#_of_affected_women_and_girls_receiving_a_sufficient_quantity_of_sanitary_pads]]</f>
        <v>0</v>
      </c>
      <c r="BS219" s="773">
        <f>IF(WWWW[[#This Row],['# People with access to soap]]&gt;WWWW[[#This Row],['# People with access to Sanity Pads]],WWWW[[#This Row],['# People with access to soap]],WWWW[[#This Row],['# People with access to Sanity Pads]])</f>
        <v>0</v>
      </c>
      <c r="BT219" s="772" t="str">
        <f>IF(OR(WWWW[[#This Row],['#of students in school]]="",WWWW[[#This Row],['#of students in school]]=0),"No","Yes")</f>
        <v>No</v>
      </c>
      <c r="BU219" s="705" t="str">
        <f>VLOOKUP(WWWW[[#This Row],[Village  Name]],SiteDB6[[Site Name]:[Location Type 1]],9,FALSE)</f>
        <v>Village</v>
      </c>
      <c r="BV219" s="705" t="str">
        <f>VLOOKUP(WWWW[[#This Row],[Village  Name]],SiteDB6[[Site Name]:[Type of Accommodation]],10,FALSE)</f>
        <v>Village</v>
      </c>
      <c r="BW219" s="705">
        <f>VLOOKUP(WWWW[[#This Row],[Village  Name]],SiteDB6[[Site Name]:[Ethnic or GCA/NGCA]],11,FALSE)</f>
        <v>0</v>
      </c>
      <c r="BX219" s="705">
        <f>VLOOKUP(WWWW[[#This Row],[Village  Name]],SiteDB6[[Site Name]:[Lat]],12,FALSE)</f>
        <v>0</v>
      </c>
      <c r="BY219" s="705">
        <f>VLOOKUP(WWWW[[#This Row],[Village  Name]],SiteDB6[[Site Name]:[Long]],13,FALSE)</f>
        <v>0</v>
      </c>
      <c r="BZ219" s="705">
        <f>VLOOKUP(WWWW[[#This Row],[Village  Name]],SiteDB6[[Site Name]:[Pcode]],3,FALSE)</f>
        <v>0</v>
      </c>
      <c r="CA219" s="705" t="str">
        <f t="shared" si="13"/>
        <v>Covered</v>
      </c>
      <c r="CB219" s="715"/>
      <c r="CC219" s="765"/>
      <c r="CD219" s="766"/>
      <c r="CE219" s="766"/>
      <c r="CF219" s="763"/>
      <c r="CG219" s="766"/>
      <c r="CH219" s="767"/>
      <c r="CI219" s="767"/>
      <c r="CJ219" s="768"/>
      <c r="CK219" s="768"/>
      <c r="CL219" s="768"/>
      <c r="CM219" s="768"/>
      <c r="CN219" s="768"/>
      <c r="CO219" s="768"/>
      <c r="CP219" s="768"/>
      <c r="CQ219" s="768"/>
      <c r="CR219" s="768"/>
    </row>
    <row r="220" spans="1:96" s="764" customFormat="1">
      <c r="A220" s="774" t="s">
        <v>3199</v>
      </c>
      <c r="B220" s="703" t="s">
        <v>3232</v>
      </c>
      <c r="C220" s="704" t="s">
        <v>3232</v>
      </c>
      <c r="D220" s="704" t="s">
        <v>339</v>
      </c>
      <c r="E220" s="704" t="s">
        <v>36</v>
      </c>
      <c r="F220" s="704" t="s">
        <v>174</v>
      </c>
      <c r="G220" s="705" t="str">
        <f>VLOOKUP(WWWW[[#This Row],[Village  Name]],SiteDB6[[Site Name]:[Location Type]],8,FALSE)</f>
        <v>Village</v>
      </c>
      <c r="H220" s="704" t="s">
        <v>3251</v>
      </c>
      <c r="I220" s="706">
        <v>33</v>
      </c>
      <c r="J220" s="706">
        <v>136</v>
      </c>
      <c r="K220" s="707">
        <v>43831</v>
      </c>
      <c r="L220" s="708">
        <v>44926</v>
      </c>
      <c r="M220" s="706"/>
      <c r="N220" s="706"/>
      <c r="O220" s="773"/>
      <c r="P220" s="706"/>
      <c r="Q220" s="706"/>
      <c r="R220" s="706"/>
      <c r="S220" s="706"/>
      <c r="T220" s="706"/>
      <c r="U220" s="709"/>
      <c r="V220" s="706"/>
      <c r="W220" s="706"/>
      <c r="X220" s="706"/>
      <c r="Y220" s="706">
        <v>3</v>
      </c>
      <c r="Z220" s="706"/>
      <c r="AA220" s="706"/>
      <c r="AB220" s="706"/>
      <c r="AC220" s="709"/>
      <c r="AD220" s="706"/>
      <c r="AE220" s="706"/>
      <c r="AF220" s="706"/>
      <c r="AG220" s="706"/>
      <c r="AH220" s="706"/>
      <c r="AI220" s="706"/>
      <c r="AJ220" s="773"/>
      <c r="AK220" s="706"/>
      <c r="AL220" s="773"/>
      <c r="AM220" s="773"/>
      <c r="AN220" s="709"/>
      <c r="AO220" s="769"/>
      <c r="AP220" s="769"/>
      <c r="AQ220" s="773"/>
      <c r="AR220" s="773"/>
      <c r="AS220" s="773"/>
      <c r="AT220"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0" s="711">
        <f>WWWW[[#This Row],[%Equitable and continuous access to sufficient quantity of safe drinking water]]*WWWW[[#This Row],[Total PoP ]]</f>
        <v>0</v>
      </c>
      <c r="AV220"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0" s="711">
        <f>WWWW[[#This Row],[% Access to unimproved water points]]*WWWW[[#This Row],[Total PoP ]]</f>
        <v>0</v>
      </c>
      <c r="AX220"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0"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0" s="711">
        <f>WWWW[[#This Row],[HRP1]]/250</f>
        <v>0</v>
      </c>
      <c r="BA220" s="713">
        <f>1-WWWW[[#This Row],[% Equitable and continuous access to sufficient quantity of domestic water]]</f>
        <v>1</v>
      </c>
      <c r="BB220" s="711">
        <f>WWWW[[#This Row],[%equitable and continuous access to sufficient quantity of safe drinking and domestic water''s GAP]]*WWWW[[#This Row],[Total PoP ]]</f>
        <v>136</v>
      </c>
      <c r="BC220" s="714">
        <f>IF(WWWW[[#This Row],[Total required water points]]-WWWW[[#This Row],['#Water points coverage]]&lt;0,0,WWWW[[#This Row],[Total required water points]]-WWWW[[#This Row],['#Water points coverage]])</f>
        <v>1</v>
      </c>
      <c r="BD220" s="714">
        <f>ROUND(IF(WWWW[[#This Row],[Total PoP ]]&lt;250,1,WWWW[[#This Row],[Total PoP ]]/250),0)</f>
        <v>1</v>
      </c>
      <c r="BE22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20" s="711">
        <f>WWWW[[#This Row],[% people access to functioning Latrine]]*WWWW[[#This Row],[Total PoP ]]</f>
        <v>0</v>
      </c>
      <c r="BG220" s="714">
        <f>WWWW[[#This Row],['#_of_Functioning_latrines_in_school]]*50</f>
        <v>0</v>
      </c>
      <c r="BH220" s="714">
        <f>ROUND((WWWW[[#This Row],[Total PoP ]]/6),0)</f>
        <v>23</v>
      </c>
      <c r="BI220" s="714">
        <f>IF(WWWW[[#This Row],[Total required Latrines]]-(WWWW[[#This Row],['#_of_sanitary_fly-proof_HH_latrines]])&lt;0,0,WWWW[[#This Row],[Total required Latrines]]-(WWWW[[#This Row],['#_of_sanitary_fly-proof_HH_latrines]]))</f>
        <v>23</v>
      </c>
      <c r="BJ220" s="710">
        <f>1-WWWW[[#This Row],[% people access to functioning Latrine]]</f>
        <v>1</v>
      </c>
      <c r="BK220"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0" s="772">
        <f>IF(WWWW[[#This Row],['#_of_functional_handwashing_facilities_at_HH_level]]*6&gt;WWWW[[#This Row],[Total PoP ]],WWWW[[#This Row],[Total PoP ]],WWWW[[#This Row],['#_of_functional_handwashing_facilities_at_HH_level]]*6)</f>
        <v>0</v>
      </c>
      <c r="BM220" s="714">
        <f>IF(WWWW[[#This Row],['# people reached by regular dedicated hygiene promotion]]&gt;WWWW[[#This Row],['# People received regular supply of hygiene items]],WWWW[[#This Row],['# people reached by regular dedicated hygiene promotion]],WWWW[[#This Row],['# People received regular supply of hygiene items]])</f>
        <v>0</v>
      </c>
      <c r="BN220" s="713">
        <f>IF(WWWW[[#This Row],[HRP3]]/WWWW[[#This Row],[Total PoP ]]&gt;100%,100%,WWWW[[#This Row],[HRP3]]/WWWW[[#This Row],[Total PoP ]])</f>
        <v>0</v>
      </c>
      <c r="BO220" s="710">
        <f>1-WWWW[[#This Row],[Hygiene Coverage%]]</f>
        <v>1</v>
      </c>
      <c r="BP220" s="712">
        <f>WWWW[[#This Row],['# people reached by regular dedicated hygiene promotion]]/WWWW[[#This Row],[Total PoP ]]</f>
        <v>0</v>
      </c>
      <c r="BQ22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0" s="770">
        <f>WWWW[[#This Row],['#_of_affected_women_and_girls_receiving_a_sufficient_quantity_of_sanitary_pads]]</f>
        <v>0</v>
      </c>
      <c r="BS220" s="773">
        <f>IF(WWWW[[#This Row],['# People with access to soap]]&gt;WWWW[[#This Row],['# People with access to Sanity Pads]],WWWW[[#This Row],['# People with access to soap]],WWWW[[#This Row],['# People with access to Sanity Pads]])</f>
        <v>0</v>
      </c>
      <c r="BT220" s="772" t="str">
        <f>IF(OR(WWWW[[#This Row],['#of students in school]]="",WWWW[[#This Row],['#of students in school]]=0),"No","Yes")</f>
        <v>No</v>
      </c>
      <c r="BU220" s="705" t="str">
        <f>VLOOKUP(WWWW[[#This Row],[Village  Name]],SiteDB6[[Site Name]:[Location Type 1]],9,FALSE)</f>
        <v>Village</v>
      </c>
      <c r="BV220" s="705" t="str">
        <f>VLOOKUP(WWWW[[#This Row],[Village  Name]],SiteDB6[[Site Name]:[Type of Accommodation]],10,FALSE)</f>
        <v>Village</v>
      </c>
      <c r="BW220" s="705">
        <f>VLOOKUP(WWWW[[#This Row],[Village  Name]],SiteDB6[[Site Name]:[Ethnic or GCA/NGCA]],11,FALSE)</f>
        <v>0</v>
      </c>
      <c r="BX220" s="705">
        <f>VLOOKUP(WWWW[[#This Row],[Village  Name]],SiteDB6[[Site Name]:[Lat]],12,FALSE)</f>
        <v>0</v>
      </c>
      <c r="BY220" s="705">
        <f>VLOOKUP(WWWW[[#This Row],[Village  Name]],SiteDB6[[Site Name]:[Long]],13,FALSE)</f>
        <v>0</v>
      </c>
      <c r="BZ220" s="705">
        <f>VLOOKUP(WWWW[[#This Row],[Village  Name]],SiteDB6[[Site Name]:[Pcode]],3,FALSE)</f>
        <v>0</v>
      </c>
      <c r="CA220" s="705" t="str">
        <f t="shared" si="13"/>
        <v>Covered</v>
      </c>
      <c r="CB220" s="715"/>
      <c r="CC220" s="765"/>
      <c r="CD220" s="766"/>
      <c r="CE220" s="766"/>
      <c r="CF220" s="763"/>
      <c r="CG220" s="766"/>
      <c r="CH220" s="767"/>
      <c r="CI220" s="767"/>
      <c r="CJ220" s="768"/>
      <c r="CK220" s="768"/>
      <c r="CL220" s="768"/>
      <c r="CM220" s="768"/>
      <c r="CN220" s="768"/>
      <c r="CO220" s="768"/>
      <c r="CP220" s="768"/>
      <c r="CQ220" s="768"/>
      <c r="CR220" s="768"/>
    </row>
    <row r="221" spans="1:96" s="764" customFormat="1">
      <c r="A221" s="774" t="s">
        <v>3199</v>
      </c>
      <c r="B221" s="703" t="s">
        <v>3232</v>
      </c>
      <c r="C221" s="704" t="s">
        <v>3232</v>
      </c>
      <c r="D221" s="704" t="s">
        <v>339</v>
      </c>
      <c r="E221" s="704" t="s">
        <v>36</v>
      </c>
      <c r="F221" s="704" t="s">
        <v>174</v>
      </c>
      <c r="G221" s="705" t="str">
        <f>VLOOKUP(WWWW[[#This Row],[Village  Name]],SiteDB6[[Site Name]:[Location Type]],8,FALSE)</f>
        <v>Village</v>
      </c>
      <c r="H221" s="704" t="s">
        <v>3252</v>
      </c>
      <c r="I221" s="706">
        <v>33</v>
      </c>
      <c r="J221" s="706">
        <v>182</v>
      </c>
      <c r="K221" s="707">
        <v>43831</v>
      </c>
      <c r="L221" s="708">
        <v>44926</v>
      </c>
      <c r="M221" s="706"/>
      <c r="N221" s="706"/>
      <c r="O221" s="773"/>
      <c r="P221" s="706"/>
      <c r="Q221" s="706"/>
      <c r="R221" s="706"/>
      <c r="S221" s="706"/>
      <c r="T221" s="706"/>
      <c r="U221" s="709"/>
      <c r="V221" s="706"/>
      <c r="W221" s="706"/>
      <c r="X221" s="706"/>
      <c r="Y221" s="706">
        <v>11</v>
      </c>
      <c r="Z221" s="706"/>
      <c r="AA221" s="706"/>
      <c r="AB221" s="706"/>
      <c r="AC221" s="709"/>
      <c r="AD221" s="706"/>
      <c r="AE221" s="706"/>
      <c r="AF221" s="706"/>
      <c r="AG221" s="706"/>
      <c r="AH221" s="706"/>
      <c r="AI221" s="706"/>
      <c r="AJ221" s="773"/>
      <c r="AK221" s="706"/>
      <c r="AL221" s="773"/>
      <c r="AM221" s="773"/>
      <c r="AN221" s="709"/>
      <c r="AO221" s="769"/>
      <c r="AP221" s="769"/>
      <c r="AQ221" s="773"/>
      <c r="AR221" s="773"/>
      <c r="AS221" s="773"/>
      <c r="AT221"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1" s="711">
        <f>WWWW[[#This Row],[%Equitable and continuous access to sufficient quantity of safe drinking water]]*WWWW[[#This Row],[Total PoP ]]</f>
        <v>0</v>
      </c>
      <c r="AV221"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1" s="711">
        <f>WWWW[[#This Row],[% Access to unimproved water points]]*WWWW[[#This Row],[Total PoP ]]</f>
        <v>0</v>
      </c>
      <c r="AX221"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1"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1" s="711">
        <f>WWWW[[#This Row],[HRP1]]/250</f>
        <v>0</v>
      </c>
      <c r="BA221" s="713">
        <f>1-WWWW[[#This Row],[% Equitable and continuous access to sufficient quantity of domestic water]]</f>
        <v>1</v>
      </c>
      <c r="BB221" s="711">
        <f>WWWW[[#This Row],[%equitable and continuous access to sufficient quantity of safe drinking and domestic water''s GAP]]*WWWW[[#This Row],[Total PoP ]]</f>
        <v>182</v>
      </c>
      <c r="BC221" s="714">
        <f>IF(WWWW[[#This Row],[Total required water points]]-WWWW[[#This Row],['#Water points coverage]]&lt;0,0,WWWW[[#This Row],[Total required water points]]-WWWW[[#This Row],['#Water points coverage]])</f>
        <v>1</v>
      </c>
      <c r="BD221" s="714">
        <f>ROUND(IF(WWWW[[#This Row],[Total PoP ]]&lt;250,1,WWWW[[#This Row],[Total PoP ]]/250),0)</f>
        <v>1</v>
      </c>
      <c r="BE22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21" s="711">
        <f>WWWW[[#This Row],[% people access to functioning Latrine]]*WWWW[[#This Row],[Total PoP ]]</f>
        <v>0</v>
      </c>
      <c r="BG221" s="714">
        <f>WWWW[[#This Row],['#_of_Functioning_latrines_in_school]]*50</f>
        <v>0</v>
      </c>
      <c r="BH221" s="714">
        <f>ROUND((WWWW[[#This Row],[Total PoP ]]/6),0)</f>
        <v>30</v>
      </c>
      <c r="BI221" s="714">
        <f>IF(WWWW[[#This Row],[Total required Latrines]]-(WWWW[[#This Row],['#_of_sanitary_fly-proof_HH_latrines]])&lt;0,0,WWWW[[#This Row],[Total required Latrines]]-(WWWW[[#This Row],['#_of_sanitary_fly-proof_HH_latrines]]))</f>
        <v>30</v>
      </c>
      <c r="BJ221" s="710">
        <f>1-WWWW[[#This Row],[% people access to functioning Latrine]]</f>
        <v>1</v>
      </c>
      <c r="BK221"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1" s="772">
        <f>IF(WWWW[[#This Row],['#_of_functional_handwashing_facilities_at_HH_level]]*6&gt;WWWW[[#This Row],[Total PoP ]],WWWW[[#This Row],[Total PoP ]],WWWW[[#This Row],['#_of_functional_handwashing_facilities_at_HH_level]]*6)</f>
        <v>0</v>
      </c>
      <c r="BM221" s="714">
        <f>IF(WWWW[[#This Row],['# people reached by regular dedicated hygiene promotion]]&gt;WWWW[[#This Row],['# People received regular supply of hygiene items]],WWWW[[#This Row],['# people reached by regular dedicated hygiene promotion]],WWWW[[#This Row],['# People received regular supply of hygiene items]])</f>
        <v>0</v>
      </c>
      <c r="BN221" s="713">
        <f>IF(WWWW[[#This Row],[HRP3]]/WWWW[[#This Row],[Total PoP ]]&gt;100%,100%,WWWW[[#This Row],[HRP3]]/WWWW[[#This Row],[Total PoP ]])</f>
        <v>0</v>
      </c>
      <c r="BO221" s="710">
        <f>1-WWWW[[#This Row],[Hygiene Coverage%]]</f>
        <v>1</v>
      </c>
      <c r="BP221" s="712">
        <f>WWWW[[#This Row],['# people reached by regular dedicated hygiene promotion]]/WWWW[[#This Row],[Total PoP ]]</f>
        <v>0</v>
      </c>
      <c r="BQ22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1" s="770">
        <f>WWWW[[#This Row],['#_of_affected_women_and_girls_receiving_a_sufficient_quantity_of_sanitary_pads]]</f>
        <v>0</v>
      </c>
      <c r="BS221" s="773">
        <f>IF(WWWW[[#This Row],['# People with access to soap]]&gt;WWWW[[#This Row],['# People with access to Sanity Pads]],WWWW[[#This Row],['# People with access to soap]],WWWW[[#This Row],['# People with access to Sanity Pads]])</f>
        <v>0</v>
      </c>
      <c r="BT221" s="772" t="str">
        <f>IF(OR(WWWW[[#This Row],['#of students in school]]="",WWWW[[#This Row],['#of students in school]]=0),"No","Yes")</f>
        <v>No</v>
      </c>
      <c r="BU221" s="705" t="str">
        <f>VLOOKUP(WWWW[[#This Row],[Village  Name]],SiteDB6[[Site Name]:[Location Type 1]],9,FALSE)</f>
        <v>Village</v>
      </c>
      <c r="BV221" s="705" t="str">
        <f>VLOOKUP(WWWW[[#This Row],[Village  Name]],SiteDB6[[Site Name]:[Type of Accommodation]],10,FALSE)</f>
        <v>Village</v>
      </c>
      <c r="BW221" s="705">
        <f>VLOOKUP(WWWW[[#This Row],[Village  Name]],SiteDB6[[Site Name]:[Ethnic or GCA/NGCA]],11,FALSE)</f>
        <v>0</v>
      </c>
      <c r="BX221" s="705">
        <f>VLOOKUP(WWWW[[#This Row],[Village  Name]],SiteDB6[[Site Name]:[Lat]],12,FALSE)</f>
        <v>0</v>
      </c>
      <c r="BY221" s="705">
        <f>VLOOKUP(WWWW[[#This Row],[Village  Name]],SiteDB6[[Site Name]:[Long]],13,FALSE)</f>
        <v>0</v>
      </c>
      <c r="BZ221" s="705">
        <f>VLOOKUP(WWWW[[#This Row],[Village  Name]],SiteDB6[[Site Name]:[Pcode]],3,FALSE)</f>
        <v>0</v>
      </c>
      <c r="CA221" s="705" t="str">
        <f t="shared" si="13"/>
        <v>Covered</v>
      </c>
      <c r="CB221" s="715"/>
      <c r="CC221" s="765"/>
      <c r="CD221" s="766"/>
      <c r="CE221" s="766"/>
      <c r="CF221" s="763"/>
      <c r="CG221" s="766"/>
      <c r="CH221" s="767"/>
      <c r="CI221" s="767"/>
      <c r="CJ221" s="768"/>
      <c r="CK221" s="768"/>
      <c r="CL221" s="768"/>
      <c r="CM221" s="768"/>
      <c r="CN221" s="768"/>
      <c r="CO221" s="768"/>
      <c r="CP221" s="768"/>
      <c r="CQ221" s="768"/>
      <c r="CR221" s="768"/>
    </row>
    <row r="222" spans="1:96" s="764" customFormat="1">
      <c r="A222" s="774" t="s">
        <v>3199</v>
      </c>
      <c r="B222" s="703" t="s">
        <v>3232</v>
      </c>
      <c r="C222" s="704" t="s">
        <v>3232</v>
      </c>
      <c r="D222" s="704" t="s">
        <v>339</v>
      </c>
      <c r="E222" s="704" t="s">
        <v>36</v>
      </c>
      <c r="F222" s="704" t="s">
        <v>174</v>
      </c>
      <c r="G222" s="705" t="str">
        <f>VLOOKUP(WWWW[[#This Row],[Village  Name]],SiteDB6[[Site Name]:[Location Type]],8,FALSE)</f>
        <v>Village</v>
      </c>
      <c r="H222" s="704" t="s">
        <v>3253</v>
      </c>
      <c r="I222" s="706">
        <v>20</v>
      </c>
      <c r="J222" s="706">
        <v>124</v>
      </c>
      <c r="K222" s="707">
        <v>43831</v>
      </c>
      <c r="L222" s="708">
        <v>44926</v>
      </c>
      <c r="M222" s="706"/>
      <c r="N222" s="706"/>
      <c r="O222" s="773"/>
      <c r="P222" s="706"/>
      <c r="Q222" s="706"/>
      <c r="R222" s="706"/>
      <c r="S222" s="706"/>
      <c r="T222" s="706"/>
      <c r="U222" s="709"/>
      <c r="V222" s="706"/>
      <c r="W222" s="706"/>
      <c r="X222" s="706"/>
      <c r="Y222" s="706">
        <v>4</v>
      </c>
      <c r="Z222" s="706"/>
      <c r="AA222" s="706"/>
      <c r="AB222" s="706"/>
      <c r="AC222" s="709"/>
      <c r="AD222" s="706"/>
      <c r="AE222" s="706"/>
      <c r="AF222" s="706"/>
      <c r="AG222" s="706"/>
      <c r="AH222" s="706"/>
      <c r="AI222" s="706"/>
      <c r="AJ222" s="773"/>
      <c r="AK222" s="706"/>
      <c r="AL222" s="773"/>
      <c r="AM222" s="773"/>
      <c r="AN222" s="709"/>
      <c r="AO222" s="769"/>
      <c r="AP222" s="769"/>
      <c r="AQ222" s="773"/>
      <c r="AR222" s="773"/>
      <c r="AS222" s="773"/>
      <c r="AT222"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2" s="711">
        <f>WWWW[[#This Row],[%Equitable and continuous access to sufficient quantity of safe drinking water]]*WWWW[[#This Row],[Total PoP ]]</f>
        <v>0</v>
      </c>
      <c r="AV222"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2" s="711">
        <f>WWWW[[#This Row],[% Access to unimproved water points]]*WWWW[[#This Row],[Total PoP ]]</f>
        <v>0</v>
      </c>
      <c r="AX222"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2"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2" s="711">
        <f>WWWW[[#This Row],[HRP1]]/250</f>
        <v>0</v>
      </c>
      <c r="BA222" s="713">
        <f>1-WWWW[[#This Row],[% Equitable and continuous access to sufficient quantity of domestic water]]</f>
        <v>1</v>
      </c>
      <c r="BB222" s="711">
        <f>WWWW[[#This Row],[%equitable and continuous access to sufficient quantity of safe drinking and domestic water''s GAP]]*WWWW[[#This Row],[Total PoP ]]</f>
        <v>124</v>
      </c>
      <c r="BC222" s="714">
        <f>IF(WWWW[[#This Row],[Total required water points]]-WWWW[[#This Row],['#Water points coverage]]&lt;0,0,WWWW[[#This Row],[Total required water points]]-WWWW[[#This Row],['#Water points coverage]])</f>
        <v>1</v>
      </c>
      <c r="BD222" s="714">
        <f>ROUND(IF(WWWW[[#This Row],[Total PoP ]]&lt;250,1,WWWW[[#This Row],[Total PoP ]]/250),0)</f>
        <v>1</v>
      </c>
      <c r="BE22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22" s="711">
        <f>WWWW[[#This Row],[% people access to functioning Latrine]]*WWWW[[#This Row],[Total PoP ]]</f>
        <v>0</v>
      </c>
      <c r="BG222" s="714">
        <f>WWWW[[#This Row],['#_of_Functioning_latrines_in_school]]*50</f>
        <v>0</v>
      </c>
      <c r="BH222" s="714">
        <f>ROUND((WWWW[[#This Row],[Total PoP ]]/6),0)</f>
        <v>21</v>
      </c>
      <c r="BI222" s="714">
        <f>IF(WWWW[[#This Row],[Total required Latrines]]-(WWWW[[#This Row],['#_of_sanitary_fly-proof_HH_latrines]])&lt;0,0,WWWW[[#This Row],[Total required Latrines]]-(WWWW[[#This Row],['#_of_sanitary_fly-proof_HH_latrines]]))</f>
        <v>21</v>
      </c>
      <c r="BJ222" s="710">
        <f>1-WWWW[[#This Row],[% people access to functioning Latrine]]</f>
        <v>1</v>
      </c>
      <c r="BK222"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2" s="772">
        <f>IF(WWWW[[#This Row],['#_of_functional_handwashing_facilities_at_HH_level]]*6&gt;WWWW[[#This Row],[Total PoP ]],WWWW[[#This Row],[Total PoP ]],WWWW[[#This Row],['#_of_functional_handwashing_facilities_at_HH_level]]*6)</f>
        <v>0</v>
      </c>
      <c r="BM222" s="714">
        <f>IF(WWWW[[#This Row],['# people reached by regular dedicated hygiene promotion]]&gt;WWWW[[#This Row],['# People received regular supply of hygiene items]],WWWW[[#This Row],['# people reached by regular dedicated hygiene promotion]],WWWW[[#This Row],['# People received regular supply of hygiene items]])</f>
        <v>0</v>
      </c>
      <c r="BN222" s="713">
        <f>IF(WWWW[[#This Row],[HRP3]]/WWWW[[#This Row],[Total PoP ]]&gt;100%,100%,WWWW[[#This Row],[HRP3]]/WWWW[[#This Row],[Total PoP ]])</f>
        <v>0</v>
      </c>
      <c r="BO222" s="710">
        <f>1-WWWW[[#This Row],[Hygiene Coverage%]]</f>
        <v>1</v>
      </c>
      <c r="BP222" s="712">
        <f>WWWW[[#This Row],['# people reached by regular dedicated hygiene promotion]]/WWWW[[#This Row],[Total PoP ]]</f>
        <v>0</v>
      </c>
      <c r="BQ22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2" s="770">
        <f>WWWW[[#This Row],['#_of_affected_women_and_girls_receiving_a_sufficient_quantity_of_sanitary_pads]]</f>
        <v>0</v>
      </c>
      <c r="BS222" s="773">
        <f>IF(WWWW[[#This Row],['# People with access to soap]]&gt;WWWW[[#This Row],['# People with access to Sanity Pads]],WWWW[[#This Row],['# People with access to soap]],WWWW[[#This Row],['# People with access to Sanity Pads]])</f>
        <v>0</v>
      </c>
      <c r="BT222" s="772" t="str">
        <f>IF(OR(WWWW[[#This Row],['#of students in school]]="",WWWW[[#This Row],['#of students in school]]=0),"No","Yes")</f>
        <v>No</v>
      </c>
      <c r="BU222" s="705" t="str">
        <f>VLOOKUP(WWWW[[#This Row],[Village  Name]],SiteDB6[[Site Name]:[Location Type 1]],9,FALSE)</f>
        <v>Village</v>
      </c>
      <c r="BV222" s="705" t="str">
        <f>VLOOKUP(WWWW[[#This Row],[Village  Name]],SiteDB6[[Site Name]:[Type of Accommodation]],10,FALSE)</f>
        <v>Village</v>
      </c>
      <c r="BW222" s="705">
        <f>VLOOKUP(WWWW[[#This Row],[Village  Name]],SiteDB6[[Site Name]:[Ethnic or GCA/NGCA]],11,FALSE)</f>
        <v>0</v>
      </c>
      <c r="BX222" s="705">
        <f>VLOOKUP(WWWW[[#This Row],[Village  Name]],SiteDB6[[Site Name]:[Lat]],12,FALSE)</f>
        <v>0</v>
      </c>
      <c r="BY222" s="705">
        <f>VLOOKUP(WWWW[[#This Row],[Village  Name]],SiteDB6[[Site Name]:[Long]],13,FALSE)</f>
        <v>0</v>
      </c>
      <c r="BZ222" s="705">
        <f>VLOOKUP(WWWW[[#This Row],[Village  Name]],SiteDB6[[Site Name]:[Pcode]],3,FALSE)</f>
        <v>0</v>
      </c>
      <c r="CA222" s="705" t="str">
        <f t="shared" si="13"/>
        <v>Covered</v>
      </c>
      <c r="CB222" s="715"/>
      <c r="CC222" s="765"/>
      <c r="CD222" s="766"/>
      <c r="CE222" s="766"/>
      <c r="CF222" s="763"/>
      <c r="CG222" s="766"/>
      <c r="CH222" s="767"/>
      <c r="CI222" s="767"/>
      <c r="CJ222" s="768"/>
      <c r="CK222" s="768"/>
      <c r="CL222" s="768"/>
      <c r="CM222" s="768"/>
      <c r="CN222" s="768"/>
      <c r="CO222" s="768"/>
      <c r="CP222" s="768"/>
      <c r="CQ222" s="768"/>
      <c r="CR222" s="768"/>
    </row>
    <row r="223" spans="1:96" s="764" customFormat="1">
      <c r="A223" s="774" t="s">
        <v>3199</v>
      </c>
      <c r="B223" s="703" t="s">
        <v>3232</v>
      </c>
      <c r="C223" s="704" t="s">
        <v>3232</v>
      </c>
      <c r="D223" s="704" t="s">
        <v>339</v>
      </c>
      <c r="E223" s="704" t="s">
        <v>36</v>
      </c>
      <c r="F223" s="704" t="s">
        <v>174</v>
      </c>
      <c r="G223" s="705" t="str">
        <f>VLOOKUP(WWWW[[#This Row],[Village  Name]],SiteDB6[[Site Name]:[Location Type]],8,FALSE)</f>
        <v>Village</v>
      </c>
      <c r="H223" s="704" t="s">
        <v>3254</v>
      </c>
      <c r="I223" s="706">
        <v>20</v>
      </c>
      <c r="J223" s="706">
        <v>136</v>
      </c>
      <c r="K223" s="707">
        <v>43831</v>
      </c>
      <c r="L223" s="708">
        <v>44926</v>
      </c>
      <c r="M223" s="706"/>
      <c r="N223" s="706"/>
      <c r="O223" s="773"/>
      <c r="P223" s="706"/>
      <c r="Q223" s="706"/>
      <c r="R223" s="706"/>
      <c r="S223" s="706"/>
      <c r="T223" s="706"/>
      <c r="U223" s="709"/>
      <c r="V223" s="706"/>
      <c r="W223" s="706"/>
      <c r="X223" s="706"/>
      <c r="Y223" s="706">
        <v>2</v>
      </c>
      <c r="Z223" s="706"/>
      <c r="AA223" s="706"/>
      <c r="AB223" s="706"/>
      <c r="AC223" s="709"/>
      <c r="AD223" s="706"/>
      <c r="AE223" s="706"/>
      <c r="AF223" s="706"/>
      <c r="AG223" s="706"/>
      <c r="AH223" s="706"/>
      <c r="AI223" s="706"/>
      <c r="AJ223" s="773"/>
      <c r="AK223" s="706"/>
      <c r="AL223" s="773"/>
      <c r="AM223" s="773"/>
      <c r="AN223" s="709"/>
      <c r="AO223" s="769"/>
      <c r="AP223" s="769"/>
      <c r="AQ223" s="773"/>
      <c r="AR223" s="773"/>
      <c r="AS223" s="773"/>
      <c r="AT223"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3" s="711">
        <f>WWWW[[#This Row],[%Equitable and continuous access to sufficient quantity of safe drinking water]]*WWWW[[#This Row],[Total PoP ]]</f>
        <v>0</v>
      </c>
      <c r="AV223"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3" s="711">
        <f>WWWW[[#This Row],[% Access to unimproved water points]]*WWWW[[#This Row],[Total PoP ]]</f>
        <v>0</v>
      </c>
      <c r="AX223"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3"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3" s="711">
        <f>WWWW[[#This Row],[HRP1]]/250</f>
        <v>0</v>
      </c>
      <c r="BA223" s="713">
        <f>1-WWWW[[#This Row],[% Equitable and continuous access to sufficient quantity of domestic water]]</f>
        <v>1</v>
      </c>
      <c r="BB223" s="711">
        <f>WWWW[[#This Row],[%equitable and continuous access to sufficient quantity of safe drinking and domestic water''s GAP]]*WWWW[[#This Row],[Total PoP ]]</f>
        <v>136</v>
      </c>
      <c r="BC223" s="714">
        <f>IF(WWWW[[#This Row],[Total required water points]]-WWWW[[#This Row],['#Water points coverage]]&lt;0,0,WWWW[[#This Row],[Total required water points]]-WWWW[[#This Row],['#Water points coverage]])</f>
        <v>1</v>
      </c>
      <c r="BD223" s="714">
        <f>ROUND(IF(WWWW[[#This Row],[Total PoP ]]&lt;250,1,WWWW[[#This Row],[Total PoP ]]/250),0)</f>
        <v>1</v>
      </c>
      <c r="BE22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23" s="711">
        <f>WWWW[[#This Row],[% people access to functioning Latrine]]*WWWW[[#This Row],[Total PoP ]]</f>
        <v>0</v>
      </c>
      <c r="BG223" s="714">
        <f>WWWW[[#This Row],['#_of_Functioning_latrines_in_school]]*50</f>
        <v>0</v>
      </c>
      <c r="BH223" s="714">
        <f>ROUND((WWWW[[#This Row],[Total PoP ]]/6),0)</f>
        <v>23</v>
      </c>
      <c r="BI223" s="714">
        <f>IF(WWWW[[#This Row],[Total required Latrines]]-(WWWW[[#This Row],['#_of_sanitary_fly-proof_HH_latrines]])&lt;0,0,WWWW[[#This Row],[Total required Latrines]]-(WWWW[[#This Row],['#_of_sanitary_fly-proof_HH_latrines]]))</f>
        <v>23</v>
      </c>
      <c r="BJ223" s="710">
        <f>1-WWWW[[#This Row],[% people access to functioning Latrine]]</f>
        <v>1</v>
      </c>
      <c r="BK223"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3" s="772">
        <f>IF(WWWW[[#This Row],['#_of_functional_handwashing_facilities_at_HH_level]]*6&gt;WWWW[[#This Row],[Total PoP ]],WWWW[[#This Row],[Total PoP ]],WWWW[[#This Row],['#_of_functional_handwashing_facilities_at_HH_level]]*6)</f>
        <v>0</v>
      </c>
      <c r="BM223" s="714">
        <f>IF(WWWW[[#This Row],['# people reached by regular dedicated hygiene promotion]]&gt;WWWW[[#This Row],['# People received regular supply of hygiene items]],WWWW[[#This Row],['# people reached by regular dedicated hygiene promotion]],WWWW[[#This Row],['# People received regular supply of hygiene items]])</f>
        <v>0</v>
      </c>
      <c r="BN223" s="713">
        <f>IF(WWWW[[#This Row],[HRP3]]/WWWW[[#This Row],[Total PoP ]]&gt;100%,100%,WWWW[[#This Row],[HRP3]]/WWWW[[#This Row],[Total PoP ]])</f>
        <v>0</v>
      </c>
      <c r="BO223" s="710">
        <f>1-WWWW[[#This Row],[Hygiene Coverage%]]</f>
        <v>1</v>
      </c>
      <c r="BP223" s="712">
        <f>WWWW[[#This Row],['# people reached by regular dedicated hygiene promotion]]/WWWW[[#This Row],[Total PoP ]]</f>
        <v>0</v>
      </c>
      <c r="BQ22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3" s="770">
        <f>WWWW[[#This Row],['#_of_affected_women_and_girls_receiving_a_sufficient_quantity_of_sanitary_pads]]</f>
        <v>0</v>
      </c>
      <c r="BS223" s="773">
        <f>IF(WWWW[[#This Row],['# People with access to soap]]&gt;WWWW[[#This Row],['# People with access to Sanity Pads]],WWWW[[#This Row],['# People with access to soap]],WWWW[[#This Row],['# People with access to Sanity Pads]])</f>
        <v>0</v>
      </c>
      <c r="BT223" s="772" t="str">
        <f>IF(OR(WWWW[[#This Row],['#of students in school]]="",WWWW[[#This Row],['#of students in school]]=0),"No","Yes")</f>
        <v>No</v>
      </c>
      <c r="BU223" s="705" t="str">
        <f>VLOOKUP(WWWW[[#This Row],[Village  Name]],SiteDB6[[Site Name]:[Location Type 1]],9,FALSE)</f>
        <v>Village</v>
      </c>
      <c r="BV223" s="705" t="str">
        <f>VLOOKUP(WWWW[[#This Row],[Village  Name]],SiteDB6[[Site Name]:[Type of Accommodation]],10,FALSE)</f>
        <v>Village</v>
      </c>
      <c r="BW223" s="705">
        <f>VLOOKUP(WWWW[[#This Row],[Village  Name]],SiteDB6[[Site Name]:[Ethnic or GCA/NGCA]],11,FALSE)</f>
        <v>0</v>
      </c>
      <c r="BX223" s="705">
        <f>VLOOKUP(WWWW[[#This Row],[Village  Name]],SiteDB6[[Site Name]:[Lat]],12,FALSE)</f>
        <v>0</v>
      </c>
      <c r="BY223" s="705">
        <f>VLOOKUP(WWWW[[#This Row],[Village  Name]],SiteDB6[[Site Name]:[Long]],13,FALSE)</f>
        <v>0</v>
      </c>
      <c r="BZ223" s="705">
        <f>VLOOKUP(WWWW[[#This Row],[Village  Name]],SiteDB6[[Site Name]:[Pcode]],3,FALSE)</f>
        <v>0</v>
      </c>
      <c r="CA223" s="705" t="str">
        <f t="shared" si="13"/>
        <v>Covered</v>
      </c>
      <c r="CB223" s="715"/>
      <c r="CC223" s="765"/>
      <c r="CD223" s="766"/>
      <c r="CE223" s="766"/>
      <c r="CF223" s="763"/>
      <c r="CG223" s="766"/>
      <c r="CH223" s="767"/>
      <c r="CI223" s="767"/>
      <c r="CJ223" s="768"/>
      <c r="CK223" s="768"/>
      <c r="CL223" s="768"/>
      <c r="CM223" s="768"/>
      <c r="CN223" s="768"/>
      <c r="CO223" s="768"/>
      <c r="CP223" s="768"/>
      <c r="CQ223" s="768"/>
      <c r="CR223" s="768"/>
    </row>
    <row r="224" spans="1:96" s="764" customFormat="1">
      <c r="A224" s="774" t="s">
        <v>3199</v>
      </c>
      <c r="B224" s="703" t="s">
        <v>3232</v>
      </c>
      <c r="C224" s="704" t="s">
        <v>3232</v>
      </c>
      <c r="D224" s="704" t="s">
        <v>339</v>
      </c>
      <c r="E224" s="704" t="s">
        <v>36</v>
      </c>
      <c r="F224" s="704" t="s">
        <v>174</v>
      </c>
      <c r="G224" s="705" t="str">
        <f>VLOOKUP(WWWW[[#This Row],[Village  Name]],SiteDB6[[Site Name]:[Location Type]],8,FALSE)</f>
        <v>Village</v>
      </c>
      <c r="H224" s="704" t="s">
        <v>3255</v>
      </c>
      <c r="I224" s="706">
        <v>38</v>
      </c>
      <c r="J224" s="706">
        <v>219</v>
      </c>
      <c r="K224" s="707">
        <v>43831</v>
      </c>
      <c r="L224" s="708">
        <v>44926</v>
      </c>
      <c r="M224" s="706"/>
      <c r="N224" s="706"/>
      <c r="O224" s="773"/>
      <c r="P224" s="706"/>
      <c r="Q224" s="706"/>
      <c r="R224" s="706"/>
      <c r="S224" s="706"/>
      <c r="T224" s="706"/>
      <c r="U224" s="709"/>
      <c r="V224" s="706"/>
      <c r="W224" s="706"/>
      <c r="X224" s="706"/>
      <c r="Y224" s="706">
        <v>3</v>
      </c>
      <c r="Z224" s="706"/>
      <c r="AA224" s="706"/>
      <c r="AB224" s="706"/>
      <c r="AC224" s="709"/>
      <c r="AD224" s="706"/>
      <c r="AE224" s="706"/>
      <c r="AF224" s="706"/>
      <c r="AG224" s="706"/>
      <c r="AH224" s="706"/>
      <c r="AI224" s="706"/>
      <c r="AJ224" s="773"/>
      <c r="AK224" s="706"/>
      <c r="AL224" s="773"/>
      <c r="AM224" s="773"/>
      <c r="AN224" s="709"/>
      <c r="AO224" s="769"/>
      <c r="AP224" s="769"/>
      <c r="AQ224" s="773"/>
      <c r="AR224" s="773"/>
      <c r="AS224" s="773"/>
      <c r="AT224"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4" s="711">
        <f>WWWW[[#This Row],[%Equitable and continuous access to sufficient quantity of safe drinking water]]*WWWW[[#This Row],[Total PoP ]]</f>
        <v>0</v>
      </c>
      <c r="AV224"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4" s="711">
        <f>WWWW[[#This Row],[% Access to unimproved water points]]*WWWW[[#This Row],[Total PoP ]]</f>
        <v>0</v>
      </c>
      <c r="AX224"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4"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4" s="711">
        <f>WWWW[[#This Row],[HRP1]]/250</f>
        <v>0</v>
      </c>
      <c r="BA224" s="713">
        <f>1-WWWW[[#This Row],[% Equitable and continuous access to sufficient quantity of domestic water]]</f>
        <v>1</v>
      </c>
      <c r="BB224" s="711">
        <f>WWWW[[#This Row],[%equitable and continuous access to sufficient quantity of safe drinking and domestic water''s GAP]]*WWWW[[#This Row],[Total PoP ]]</f>
        <v>219</v>
      </c>
      <c r="BC224" s="714">
        <f>IF(WWWW[[#This Row],[Total required water points]]-WWWW[[#This Row],['#Water points coverage]]&lt;0,0,WWWW[[#This Row],[Total required water points]]-WWWW[[#This Row],['#Water points coverage]])</f>
        <v>1</v>
      </c>
      <c r="BD224" s="714">
        <f>ROUND(IF(WWWW[[#This Row],[Total PoP ]]&lt;250,1,WWWW[[#This Row],[Total PoP ]]/250),0)</f>
        <v>1</v>
      </c>
      <c r="BE22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24" s="711">
        <f>WWWW[[#This Row],[% people access to functioning Latrine]]*WWWW[[#This Row],[Total PoP ]]</f>
        <v>0</v>
      </c>
      <c r="BG224" s="714">
        <f>WWWW[[#This Row],['#_of_Functioning_latrines_in_school]]*50</f>
        <v>0</v>
      </c>
      <c r="BH224" s="714">
        <f>ROUND((WWWW[[#This Row],[Total PoP ]]/6),0)</f>
        <v>37</v>
      </c>
      <c r="BI224" s="714">
        <f>IF(WWWW[[#This Row],[Total required Latrines]]-(WWWW[[#This Row],['#_of_sanitary_fly-proof_HH_latrines]])&lt;0,0,WWWW[[#This Row],[Total required Latrines]]-(WWWW[[#This Row],['#_of_sanitary_fly-proof_HH_latrines]]))</f>
        <v>37</v>
      </c>
      <c r="BJ224" s="710">
        <f>1-WWWW[[#This Row],[% people access to functioning Latrine]]</f>
        <v>1</v>
      </c>
      <c r="BK224"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4" s="772">
        <f>IF(WWWW[[#This Row],['#_of_functional_handwashing_facilities_at_HH_level]]*6&gt;WWWW[[#This Row],[Total PoP ]],WWWW[[#This Row],[Total PoP ]],WWWW[[#This Row],['#_of_functional_handwashing_facilities_at_HH_level]]*6)</f>
        <v>0</v>
      </c>
      <c r="BM224" s="714">
        <f>IF(WWWW[[#This Row],['# people reached by regular dedicated hygiene promotion]]&gt;WWWW[[#This Row],['# People received regular supply of hygiene items]],WWWW[[#This Row],['# people reached by regular dedicated hygiene promotion]],WWWW[[#This Row],['# People received regular supply of hygiene items]])</f>
        <v>0</v>
      </c>
      <c r="BN224" s="713">
        <f>IF(WWWW[[#This Row],[HRP3]]/WWWW[[#This Row],[Total PoP ]]&gt;100%,100%,WWWW[[#This Row],[HRP3]]/WWWW[[#This Row],[Total PoP ]])</f>
        <v>0</v>
      </c>
      <c r="BO224" s="710">
        <f>1-WWWW[[#This Row],[Hygiene Coverage%]]</f>
        <v>1</v>
      </c>
      <c r="BP224" s="712">
        <f>WWWW[[#This Row],['# people reached by regular dedicated hygiene promotion]]/WWWW[[#This Row],[Total PoP ]]</f>
        <v>0</v>
      </c>
      <c r="BQ22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4" s="770">
        <f>WWWW[[#This Row],['#_of_affected_women_and_girls_receiving_a_sufficient_quantity_of_sanitary_pads]]</f>
        <v>0</v>
      </c>
      <c r="BS224" s="773">
        <f>IF(WWWW[[#This Row],['# People with access to soap]]&gt;WWWW[[#This Row],['# People with access to Sanity Pads]],WWWW[[#This Row],['# People with access to soap]],WWWW[[#This Row],['# People with access to Sanity Pads]])</f>
        <v>0</v>
      </c>
      <c r="BT224" s="772" t="str">
        <f>IF(OR(WWWW[[#This Row],['#of students in school]]="",WWWW[[#This Row],['#of students in school]]=0),"No","Yes")</f>
        <v>No</v>
      </c>
      <c r="BU224" s="705" t="str">
        <f>VLOOKUP(WWWW[[#This Row],[Village  Name]],SiteDB6[[Site Name]:[Location Type 1]],9,FALSE)</f>
        <v>Village</v>
      </c>
      <c r="BV224" s="705" t="str">
        <f>VLOOKUP(WWWW[[#This Row],[Village  Name]],SiteDB6[[Site Name]:[Type of Accommodation]],10,FALSE)</f>
        <v>Village</v>
      </c>
      <c r="BW224" s="705">
        <f>VLOOKUP(WWWW[[#This Row],[Village  Name]],SiteDB6[[Site Name]:[Ethnic or GCA/NGCA]],11,FALSE)</f>
        <v>0</v>
      </c>
      <c r="BX224" s="705">
        <f>VLOOKUP(WWWW[[#This Row],[Village  Name]],SiteDB6[[Site Name]:[Lat]],12,FALSE)</f>
        <v>0</v>
      </c>
      <c r="BY224" s="705">
        <f>VLOOKUP(WWWW[[#This Row],[Village  Name]],SiteDB6[[Site Name]:[Long]],13,FALSE)</f>
        <v>0</v>
      </c>
      <c r="BZ224" s="705">
        <f>VLOOKUP(WWWW[[#This Row],[Village  Name]],SiteDB6[[Site Name]:[Pcode]],3,FALSE)</f>
        <v>0</v>
      </c>
      <c r="CA224" s="705" t="str">
        <f t="shared" si="13"/>
        <v>Covered</v>
      </c>
      <c r="CB224" s="715"/>
      <c r="CC224" s="765"/>
      <c r="CD224" s="766"/>
      <c r="CE224" s="766"/>
      <c r="CF224" s="763"/>
      <c r="CG224" s="766"/>
      <c r="CH224" s="767"/>
      <c r="CI224" s="767"/>
      <c r="CJ224" s="768"/>
      <c r="CK224" s="768"/>
      <c r="CL224" s="768"/>
      <c r="CM224" s="768"/>
      <c r="CN224" s="768"/>
      <c r="CO224" s="768"/>
      <c r="CP224" s="768"/>
      <c r="CQ224" s="768"/>
      <c r="CR224" s="768"/>
    </row>
    <row r="225" spans="1:96" s="764" customFormat="1">
      <c r="A225" s="774" t="s">
        <v>3199</v>
      </c>
      <c r="B225" s="703" t="s">
        <v>3232</v>
      </c>
      <c r="C225" s="704" t="s">
        <v>3232</v>
      </c>
      <c r="D225" s="704" t="s">
        <v>339</v>
      </c>
      <c r="E225" s="704" t="s">
        <v>36</v>
      </c>
      <c r="F225" s="704" t="s">
        <v>174</v>
      </c>
      <c r="G225" s="705" t="str">
        <f>VLOOKUP(WWWW[[#This Row],[Village  Name]],SiteDB6[[Site Name]:[Location Type]],8,FALSE)</f>
        <v>Village</v>
      </c>
      <c r="H225" s="704" t="s">
        <v>3256</v>
      </c>
      <c r="I225" s="706">
        <v>17</v>
      </c>
      <c r="J225" s="706">
        <v>93</v>
      </c>
      <c r="K225" s="707">
        <v>43831</v>
      </c>
      <c r="L225" s="708">
        <v>44926</v>
      </c>
      <c r="M225" s="706"/>
      <c r="N225" s="706"/>
      <c r="O225" s="773"/>
      <c r="P225" s="706"/>
      <c r="Q225" s="706"/>
      <c r="R225" s="706"/>
      <c r="S225" s="706"/>
      <c r="T225" s="706"/>
      <c r="U225" s="709"/>
      <c r="V225" s="706"/>
      <c r="W225" s="706"/>
      <c r="X225" s="706"/>
      <c r="Y225" s="706">
        <v>0</v>
      </c>
      <c r="Z225" s="706"/>
      <c r="AA225" s="706"/>
      <c r="AB225" s="706"/>
      <c r="AC225" s="709"/>
      <c r="AD225" s="706"/>
      <c r="AE225" s="706"/>
      <c r="AF225" s="706"/>
      <c r="AG225" s="706"/>
      <c r="AH225" s="706"/>
      <c r="AI225" s="706"/>
      <c r="AJ225" s="773"/>
      <c r="AK225" s="706"/>
      <c r="AL225" s="773"/>
      <c r="AM225" s="773"/>
      <c r="AN225" s="709"/>
      <c r="AO225" s="769"/>
      <c r="AP225" s="769"/>
      <c r="AQ225" s="773"/>
      <c r="AR225" s="773"/>
      <c r="AS225" s="773"/>
      <c r="AT225"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5" s="711">
        <f>WWWW[[#This Row],[%Equitable and continuous access to sufficient quantity of safe drinking water]]*WWWW[[#This Row],[Total PoP ]]</f>
        <v>0</v>
      </c>
      <c r="AV225"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5" s="711">
        <f>WWWW[[#This Row],[% Access to unimproved water points]]*WWWW[[#This Row],[Total PoP ]]</f>
        <v>0</v>
      </c>
      <c r="AX225"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5"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5" s="711">
        <f>WWWW[[#This Row],[HRP1]]/250</f>
        <v>0</v>
      </c>
      <c r="BA225" s="713">
        <f>1-WWWW[[#This Row],[% Equitable and continuous access to sufficient quantity of domestic water]]</f>
        <v>1</v>
      </c>
      <c r="BB225" s="711">
        <f>WWWW[[#This Row],[%equitable and continuous access to sufficient quantity of safe drinking and domestic water''s GAP]]*WWWW[[#This Row],[Total PoP ]]</f>
        <v>93</v>
      </c>
      <c r="BC225" s="714">
        <f>IF(WWWW[[#This Row],[Total required water points]]-WWWW[[#This Row],['#Water points coverage]]&lt;0,0,WWWW[[#This Row],[Total required water points]]-WWWW[[#This Row],['#Water points coverage]])</f>
        <v>1</v>
      </c>
      <c r="BD225" s="714">
        <f>ROUND(IF(WWWW[[#This Row],[Total PoP ]]&lt;250,1,WWWW[[#This Row],[Total PoP ]]/250),0)</f>
        <v>1</v>
      </c>
      <c r="BE22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25" s="711">
        <f>WWWW[[#This Row],[% people access to functioning Latrine]]*WWWW[[#This Row],[Total PoP ]]</f>
        <v>0</v>
      </c>
      <c r="BG225" s="714">
        <f>WWWW[[#This Row],['#_of_Functioning_latrines_in_school]]*50</f>
        <v>0</v>
      </c>
      <c r="BH225" s="714">
        <f>ROUND((WWWW[[#This Row],[Total PoP ]]/6),0)</f>
        <v>16</v>
      </c>
      <c r="BI225" s="714">
        <f>IF(WWWW[[#This Row],[Total required Latrines]]-(WWWW[[#This Row],['#_of_sanitary_fly-proof_HH_latrines]])&lt;0,0,WWWW[[#This Row],[Total required Latrines]]-(WWWW[[#This Row],['#_of_sanitary_fly-proof_HH_latrines]]))</f>
        <v>16</v>
      </c>
      <c r="BJ225" s="710">
        <f>1-WWWW[[#This Row],[% people access to functioning Latrine]]</f>
        <v>1</v>
      </c>
      <c r="BK225"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5" s="772">
        <f>IF(WWWW[[#This Row],['#_of_functional_handwashing_facilities_at_HH_level]]*6&gt;WWWW[[#This Row],[Total PoP ]],WWWW[[#This Row],[Total PoP ]],WWWW[[#This Row],['#_of_functional_handwashing_facilities_at_HH_level]]*6)</f>
        <v>0</v>
      </c>
      <c r="BM225" s="714">
        <f>IF(WWWW[[#This Row],['# people reached by regular dedicated hygiene promotion]]&gt;WWWW[[#This Row],['# People received regular supply of hygiene items]],WWWW[[#This Row],['# people reached by regular dedicated hygiene promotion]],WWWW[[#This Row],['# People received regular supply of hygiene items]])</f>
        <v>0</v>
      </c>
      <c r="BN225" s="713">
        <f>IF(WWWW[[#This Row],[HRP3]]/WWWW[[#This Row],[Total PoP ]]&gt;100%,100%,WWWW[[#This Row],[HRP3]]/WWWW[[#This Row],[Total PoP ]])</f>
        <v>0</v>
      </c>
      <c r="BO225" s="710">
        <f>1-WWWW[[#This Row],[Hygiene Coverage%]]</f>
        <v>1</v>
      </c>
      <c r="BP225" s="712">
        <f>WWWW[[#This Row],['# people reached by regular dedicated hygiene promotion]]/WWWW[[#This Row],[Total PoP ]]</f>
        <v>0</v>
      </c>
      <c r="BQ22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5" s="770">
        <f>WWWW[[#This Row],['#_of_affected_women_and_girls_receiving_a_sufficient_quantity_of_sanitary_pads]]</f>
        <v>0</v>
      </c>
      <c r="BS225" s="773">
        <f>IF(WWWW[[#This Row],['# People with access to soap]]&gt;WWWW[[#This Row],['# People with access to Sanity Pads]],WWWW[[#This Row],['# People with access to soap]],WWWW[[#This Row],['# People with access to Sanity Pads]])</f>
        <v>0</v>
      </c>
      <c r="BT225" s="772" t="str">
        <f>IF(OR(WWWW[[#This Row],['#of students in school]]="",WWWW[[#This Row],['#of students in school]]=0),"No","Yes")</f>
        <v>No</v>
      </c>
      <c r="BU225" s="705" t="str">
        <f>VLOOKUP(WWWW[[#This Row],[Village  Name]],SiteDB6[[Site Name]:[Location Type 1]],9,FALSE)</f>
        <v>Village</v>
      </c>
      <c r="BV225" s="705" t="str">
        <f>VLOOKUP(WWWW[[#This Row],[Village  Name]],SiteDB6[[Site Name]:[Type of Accommodation]],10,FALSE)</f>
        <v>Village</v>
      </c>
      <c r="BW225" s="705">
        <f>VLOOKUP(WWWW[[#This Row],[Village  Name]],SiteDB6[[Site Name]:[Ethnic or GCA/NGCA]],11,FALSE)</f>
        <v>0</v>
      </c>
      <c r="BX225" s="705">
        <f>VLOOKUP(WWWW[[#This Row],[Village  Name]],SiteDB6[[Site Name]:[Lat]],12,FALSE)</f>
        <v>0</v>
      </c>
      <c r="BY225" s="705">
        <f>VLOOKUP(WWWW[[#This Row],[Village  Name]],SiteDB6[[Site Name]:[Long]],13,FALSE)</f>
        <v>0</v>
      </c>
      <c r="BZ225" s="705">
        <f>VLOOKUP(WWWW[[#This Row],[Village  Name]],SiteDB6[[Site Name]:[Pcode]],3,FALSE)</f>
        <v>0</v>
      </c>
      <c r="CA225" s="705" t="str">
        <f t="shared" si="13"/>
        <v>Covered</v>
      </c>
      <c r="CB225" s="715"/>
      <c r="CC225" s="765"/>
      <c r="CD225" s="766"/>
      <c r="CE225" s="766"/>
      <c r="CF225" s="763"/>
      <c r="CG225" s="766"/>
      <c r="CH225" s="767"/>
      <c r="CI225" s="767"/>
      <c r="CJ225" s="768"/>
      <c r="CK225" s="768"/>
      <c r="CL225" s="768"/>
      <c r="CM225" s="768"/>
      <c r="CN225" s="768"/>
      <c r="CO225" s="768"/>
      <c r="CP225" s="768"/>
      <c r="CQ225" s="768"/>
      <c r="CR225" s="768"/>
    </row>
    <row r="226" spans="1:96" s="764" customFormat="1">
      <c r="A226" s="774" t="s">
        <v>3199</v>
      </c>
      <c r="B226" s="703" t="s">
        <v>3232</v>
      </c>
      <c r="C226" s="704" t="s">
        <v>3232</v>
      </c>
      <c r="D226" s="704" t="s">
        <v>339</v>
      </c>
      <c r="E226" s="704" t="s">
        <v>36</v>
      </c>
      <c r="F226" s="704" t="s">
        <v>174</v>
      </c>
      <c r="G226" s="705" t="str">
        <f>VLOOKUP(WWWW[[#This Row],[Village  Name]],SiteDB6[[Site Name]:[Location Type]],8,FALSE)</f>
        <v>Village</v>
      </c>
      <c r="H226" s="704" t="s">
        <v>3257</v>
      </c>
      <c r="I226" s="706">
        <v>23</v>
      </c>
      <c r="J226" s="706">
        <v>205</v>
      </c>
      <c r="K226" s="707">
        <v>43831</v>
      </c>
      <c r="L226" s="708">
        <v>44926</v>
      </c>
      <c r="M226" s="706"/>
      <c r="N226" s="706"/>
      <c r="O226" s="773"/>
      <c r="P226" s="706"/>
      <c r="Q226" s="706"/>
      <c r="R226" s="706"/>
      <c r="S226" s="706"/>
      <c r="T226" s="706"/>
      <c r="U226" s="709"/>
      <c r="V226" s="706"/>
      <c r="W226" s="706"/>
      <c r="X226" s="706"/>
      <c r="Y226" s="706">
        <v>3</v>
      </c>
      <c r="Z226" s="706"/>
      <c r="AA226" s="706"/>
      <c r="AB226" s="706"/>
      <c r="AC226" s="709"/>
      <c r="AD226" s="706"/>
      <c r="AE226" s="706"/>
      <c r="AF226" s="706"/>
      <c r="AG226" s="706"/>
      <c r="AH226" s="706"/>
      <c r="AI226" s="706"/>
      <c r="AJ226" s="773"/>
      <c r="AK226" s="706"/>
      <c r="AL226" s="773"/>
      <c r="AM226" s="773"/>
      <c r="AN226" s="709"/>
      <c r="AO226" s="769"/>
      <c r="AP226" s="769"/>
      <c r="AQ226" s="773"/>
      <c r="AR226" s="773"/>
      <c r="AS226" s="773"/>
      <c r="AT226"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6" s="711">
        <f>WWWW[[#This Row],[%Equitable and continuous access to sufficient quantity of safe drinking water]]*WWWW[[#This Row],[Total PoP ]]</f>
        <v>0</v>
      </c>
      <c r="AV226"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6" s="711">
        <f>WWWW[[#This Row],[% Access to unimproved water points]]*WWWW[[#This Row],[Total PoP ]]</f>
        <v>0</v>
      </c>
      <c r="AX226"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6"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6" s="711">
        <f>WWWW[[#This Row],[HRP1]]/250</f>
        <v>0</v>
      </c>
      <c r="BA226" s="713">
        <f>1-WWWW[[#This Row],[% Equitable and continuous access to sufficient quantity of domestic water]]</f>
        <v>1</v>
      </c>
      <c r="BB226" s="711">
        <f>WWWW[[#This Row],[%equitable and continuous access to sufficient quantity of safe drinking and domestic water''s GAP]]*WWWW[[#This Row],[Total PoP ]]</f>
        <v>205</v>
      </c>
      <c r="BC226" s="714">
        <f>IF(WWWW[[#This Row],[Total required water points]]-WWWW[[#This Row],['#Water points coverage]]&lt;0,0,WWWW[[#This Row],[Total required water points]]-WWWW[[#This Row],['#Water points coverage]])</f>
        <v>1</v>
      </c>
      <c r="BD226" s="714">
        <f>ROUND(IF(WWWW[[#This Row],[Total PoP ]]&lt;250,1,WWWW[[#This Row],[Total PoP ]]/250),0)</f>
        <v>1</v>
      </c>
      <c r="BE22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26" s="711">
        <f>WWWW[[#This Row],[% people access to functioning Latrine]]*WWWW[[#This Row],[Total PoP ]]</f>
        <v>0</v>
      </c>
      <c r="BG226" s="714">
        <f>WWWW[[#This Row],['#_of_Functioning_latrines_in_school]]*50</f>
        <v>0</v>
      </c>
      <c r="BH226" s="714">
        <f>ROUND((WWWW[[#This Row],[Total PoP ]]/6),0)</f>
        <v>34</v>
      </c>
      <c r="BI226" s="714">
        <f>IF(WWWW[[#This Row],[Total required Latrines]]-(WWWW[[#This Row],['#_of_sanitary_fly-proof_HH_latrines]])&lt;0,0,WWWW[[#This Row],[Total required Latrines]]-(WWWW[[#This Row],['#_of_sanitary_fly-proof_HH_latrines]]))</f>
        <v>34</v>
      </c>
      <c r="BJ226" s="710">
        <f>1-WWWW[[#This Row],[% people access to functioning Latrine]]</f>
        <v>1</v>
      </c>
      <c r="BK226"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6" s="772">
        <f>IF(WWWW[[#This Row],['#_of_functional_handwashing_facilities_at_HH_level]]*6&gt;WWWW[[#This Row],[Total PoP ]],WWWW[[#This Row],[Total PoP ]],WWWW[[#This Row],['#_of_functional_handwashing_facilities_at_HH_level]]*6)</f>
        <v>0</v>
      </c>
      <c r="BM226" s="714">
        <f>IF(WWWW[[#This Row],['# people reached by regular dedicated hygiene promotion]]&gt;WWWW[[#This Row],['# People received regular supply of hygiene items]],WWWW[[#This Row],['# people reached by regular dedicated hygiene promotion]],WWWW[[#This Row],['# People received regular supply of hygiene items]])</f>
        <v>0</v>
      </c>
      <c r="BN226" s="713">
        <f>IF(WWWW[[#This Row],[HRP3]]/WWWW[[#This Row],[Total PoP ]]&gt;100%,100%,WWWW[[#This Row],[HRP3]]/WWWW[[#This Row],[Total PoP ]])</f>
        <v>0</v>
      </c>
      <c r="BO226" s="710">
        <f>1-WWWW[[#This Row],[Hygiene Coverage%]]</f>
        <v>1</v>
      </c>
      <c r="BP226" s="712">
        <f>WWWW[[#This Row],['# people reached by regular dedicated hygiene promotion]]/WWWW[[#This Row],[Total PoP ]]</f>
        <v>0</v>
      </c>
      <c r="BQ22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6" s="770">
        <f>WWWW[[#This Row],['#_of_affected_women_and_girls_receiving_a_sufficient_quantity_of_sanitary_pads]]</f>
        <v>0</v>
      </c>
      <c r="BS226" s="773">
        <f>IF(WWWW[[#This Row],['# People with access to soap]]&gt;WWWW[[#This Row],['# People with access to Sanity Pads]],WWWW[[#This Row],['# People with access to soap]],WWWW[[#This Row],['# People with access to Sanity Pads]])</f>
        <v>0</v>
      </c>
      <c r="BT226" s="772" t="str">
        <f>IF(OR(WWWW[[#This Row],['#of students in school]]="",WWWW[[#This Row],['#of students in school]]=0),"No","Yes")</f>
        <v>No</v>
      </c>
      <c r="BU226" s="705" t="str">
        <f>VLOOKUP(WWWW[[#This Row],[Village  Name]],SiteDB6[[Site Name]:[Location Type 1]],9,FALSE)</f>
        <v>Village</v>
      </c>
      <c r="BV226" s="705" t="str">
        <f>VLOOKUP(WWWW[[#This Row],[Village  Name]],SiteDB6[[Site Name]:[Type of Accommodation]],10,FALSE)</f>
        <v>Village</v>
      </c>
      <c r="BW226" s="705">
        <f>VLOOKUP(WWWW[[#This Row],[Village  Name]],SiteDB6[[Site Name]:[Ethnic or GCA/NGCA]],11,FALSE)</f>
        <v>0</v>
      </c>
      <c r="BX226" s="705">
        <f>VLOOKUP(WWWW[[#This Row],[Village  Name]],SiteDB6[[Site Name]:[Lat]],12,FALSE)</f>
        <v>0</v>
      </c>
      <c r="BY226" s="705">
        <f>VLOOKUP(WWWW[[#This Row],[Village  Name]],SiteDB6[[Site Name]:[Long]],13,FALSE)</f>
        <v>0</v>
      </c>
      <c r="BZ226" s="705">
        <f>VLOOKUP(WWWW[[#This Row],[Village  Name]],SiteDB6[[Site Name]:[Pcode]],3,FALSE)</f>
        <v>0</v>
      </c>
      <c r="CA226" s="705" t="str">
        <f t="shared" si="13"/>
        <v>Covered</v>
      </c>
      <c r="CB226" s="715"/>
      <c r="CC226" s="765"/>
      <c r="CD226" s="766"/>
      <c r="CE226" s="766"/>
      <c r="CF226" s="763"/>
      <c r="CG226" s="766"/>
      <c r="CH226" s="767"/>
      <c r="CI226" s="767"/>
      <c r="CJ226" s="768"/>
      <c r="CK226" s="768"/>
      <c r="CL226" s="768"/>
      <c r="CM226" s="768"/>
      <c r="CN226" s="768"/>
      <c r="CO226" s="768"/>
      <c r="CP226" s="768"/>
      <c r="CQ226" s="768"/>
      <c r="CR226" s="768"/>
    </row>
    <row r="227" spans="1:96" s="764" customFormat="1">
      <c r="A227" s="774" t="s">
        <v>3199</v>
      </c>
      <c r="B227" s="703" t="s">
        <v>3232</v>
      </c>
      <c r="C227" s="704" t="s">
        <v>3232</v>
      </c>
      <c r="D227" s="704" t="s">
        <v>339</v>
      </c>
      <c r="E227" s="704" t="s">
        <v>36</v>
      </c>
      <c r="F227" s="704" t="s">
        <v>174</v>
      </c>
      <c r="G227" s="705" t="str">
        <f>VLOOKUP(WWWW[[#This Row],[Village  Name]],SiteDB6[[Site Name]:[Location Type]],8,FALSE)</f>
        <v>Village</v>
      </c>
      <c r="H227" s="704" t="s">
        <v>3258</v>
      </c>
      <c r="I227" s="706">
        <v>28</v>
      </c>
      <c r="J227" s="706">
        <v>181</v>
      </c>
      <c r="K227" s="707">
        <v>43831</v>
      </c>
      <c r="L227" s="708">
        <v>44926</v>
      </c>
      <c r="M227" s="706"/>
      <c r="N227" s="706"/>
      <c r="O227" s="773"/>
      <c r="P227" s="706"/>
      <c r="Q227" s="706"/>
      <c r="R227" s="706"/>
      <c r="S227" s="706"/>
      <c r="T227" s="706"/>
      <c r="U227" s="709"/>
      <c r="V227" s="706"/>
      <c r="W227" s="706"/>
      <c r="X227" s="706"/>
      <c r="Y227" s="706">
        <v>1</v>
      </c>
      <c r="Z227" s="706"/>
      <c r="AA227" s="706"/>
      <c r="AB227" s="706"/>
      <c r="AC227" s="709"/>
      <c r="AD227" s="706"/>
      <c r="AE227" s="706"/>
      <c r="AF227" s="706"/>
      <c r="AG227" s="706"/>
      <c r="AH227" s="706"/>
      <c r="AI227" s="706"/>
      <c r="AJ227" s="773"/>
      <c r="AK227" s="706"/>
      <c r="AL227" s="773"/>
      <c r="AM227" s="773"/>
      <c r="AN227" s="709"/>
      <c r="AO227" s="769"/>
      <c r="AP227" s="769"/>
      <c r="AQ227" s="773"/>
      <c r="AR227" s="773"/>
      <c r="AS227" s="773"/>
      <c r="AT227"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7" s="711">
        <f>WWWW[[#This Row],[%Equitable and continuous access to sufficient quantity of safe drinking water]]*WWWW[[#This Row],[Total PoP ]]</f>
        <v>0</v>
      </c>
      <c r="AV227"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7" s="711">
        <f>WWWW[[#This Row],[% Access to unimproved water points]]*WWWW[[#This Row],[Total PoP ]]</f>
        <v>0</v>
      </c>
      <c r="AX227"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7"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7" s="711">
        <f>WWWW[[#This Row],[HRP1]]/250</f>
        <v>0</v>
      </c>
      <c r="BA227" s="713">
        <f>1-WWWW[[#This Row],[% Equitable and continuous access to sufficient quantity of domestic water]]</f>
        <v>1</v>
      </c>
      <c r="BB227" s="711">
        <f>WWWW[[#This Row],[%equitable and continuous access to sufficient quantity of safe drinking and domestic water''s GAP]]*WWWW[[#This Row],[Total PoP ]]</f>
        <v>181</v>
      </c>
      <c r="BC227" s="714">
        <f>IF(WWWW[[#This Row],[Total required water points]]-WWWW[[#This Row],['#Water points coverage]]&lt;0,0,WWWW[[#This Row],[Total required water points]]-WWWW[[#This Row],['#Water points coverage]])</f>
        <v>1</v>
      </c>
      <c r="BD227" s="714">
        <f>ROUND(IF(WWWW[[#This Row],[Total PoP ]]&lt;250,1,WWWW[[#This Row],[Total PoP ]]/250),0)</f>
        <v>1</v>
      </c>
      <c r="BE22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27" s="711">
        <f>WWWW[[#This Row],[% people access to functioning Latrine]]*WWWW[[#This Row],[Total PoP ]]</f>
        <v>0</v>
      </c>
      <c r="BG227" s="714">
        <f>WWWW[[#This Row],['#_of_Functioning_latrines_in_school]]*50</f>
        <v>0</v>
      </c>
      <c r="BH227" s="714">
        <f>ROUND((WWWW[[#This Row],[Total PoP ]]/6),0)</f>
        <v>30</v>
      </c>
      <c r="BI227" s="714">
        <f>IF(WWWW[[#This Row],[Total required Latrines]]-(WWWW[[#This Row],['#_of_sanitary_fly-proof_HH_latrines]])&lt;0,0,WWWW[[#This Row],[Total required Latrines]]-(WWWW[[#This Row],['#_of_sanitary_fly-proof_HH_latrines]]))</f>
        <v>30</v>
      </c>
      <c r="BJ227" s="710">
        <f>1-WWWW[[#This Row],[% people access to functioning Latrine]]</f>
        <v>1</v>
      </c>
      <c r="BK227"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7" s="772">
        <f>IF(WWWW[[#This Row],['#_of_functional_handwashing_facilities_at_HH_level]]*6&gt;WWWW[[#This Row],[Total PoP ]],WWWW[[#This Row],[Total PoP ]],WWWW[[#This Row],['#_of_functional_handwashing_facilities_at_HH_level]]*6)</f>
        <v>0</v>
      </c>
      <c r="BM227" s="714">
        <f>IF(WWWW[[#This Row],['# people reached by regular dedicated hygiene promotion]]&gt;WWWW[[#This Row],['# People received regular supply of hygiene items]],WWWW[[#This Row],['# people reached by regular dedicated hygiene promotion]],WWWW[[#This Row],['# People received regular supply of hygiene items]])</f>
        <v>0</v>
      </c>
      <c r="BN227" s="713">
        <f>IF(WWWW[[#This Row],[HRP3]]/WWWW[[#This Row],[Total PoP ]]&gt;100%,100%,WWWW[[#This Row],[HRP3]]/WWWW[[#This Row],[Total PoP ]])</f>
        <v>0</v>
      </c>
      <c r="BO227" s="710">
        <f>1-WWWW[[#This Row],[Hygiene Coverage%]]</f>
        <v>1</v>
      </c>
      <c r="BP227" s="712">
        <f>WWWW[[#This Row],['# people reached by regular dedicated hygiene promotion]]/WWWW[[#This Row],[Total PoP ]]</f>
        <v>0</v>
      </c>
      <c r="BQ22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7" s="770">
        <f>WWWW[[#This Row],['#_of_affected_women_and_girls_receiving_a_sufficient_quantity_of_sanitary_pads]]</f>
        <v>0</v>
      </c>
      <c r="BS227" s="773">
        <f>IF(WWWW[[#This Row],['# People with access to soap]]&gt;WWWW[[#This Row],['# People with access to Sanity Pads]],WWWW[[#This Row],['# People with access to soap]],WWWW[[#This Row],['# People with access to Sanity Pads]])</f>
        <v>0</v>
      </c>
      <c r="BT227" s="772" t="str">
        <f>IF(OR(WWWW[[#This Row],['#of students in school]]="",WWWW[[#This Row],['#of students in school]]=0),"No","Yes")</f>
        <v>No</v>
      </c>
      <c r="BU227" s="705" t="str">
        <f>VLOOKUP(WWWW[[#This Row],[Village  Name]],SiteDB6[[Site Name]:[Location Type 1]],9,FALSE)</f>
        <v>Village</v>
      </c>
      <c r="BV227" s="705" t="str">
        <f>VLOOKUP(WWWW[[#This Row],[Village  Name]],SiteDB6[[Site Name]:[Type of Accommodation]],10,FALSE)</f>
        <v>Village</v>
      </c>
      <c r="BW227" s="705">
        <f>VLOOKUP(WWWW[[#This Row],[Village  Name]],SiteDB6[[Site Name]:[Ethnic or GCA/NGCA]],11,FALSE)</f>
        <v>0</v>
      </c>
      <c r="BX227" s="705">
        <f>VLOOKUP(WWWW[[#This Row],[Village  Name]],SiteDB6[[Site Name]:[Lat]],12,FALSE)</f>
        <v>0</v>
      </c>
      <c r="BY227" s="705">
        <f>VLOOKUP(WWWW[[#This Row],[Village  Name]],SiteDB6[[Site Name]:[Long]],13,FALSE)</f>
        <v>0</v>
      </c>
      <c r="BZ227" s="705">
        <f>VLOOKUP(WWWW[[#This Row],[Village  Name]],SiteDB6[[Site Name]:[Pcode]],3,FALSE)</f>
        <v>0</v>
      </c>
      <c r="CA227" s="705" t="str">
        <f t="shared" si="13"/>
        <v>Covered</v>
      </c>
      <c r="CB227" s="715"/>
      <c r="CC227" s="765"/>
      <c r="CD227" s="766"/>
      <c r="CE227" s="766"/>
      <c r="CF227" s="763"/>
      <c r="CG227" s="766"/>
      <c r="CH227" s="767"/>
      <c r="CI227" s="767"/>
      <c r="CJ227" s="768"/>
      <c r="CK227" s="768"/>
      <c r="CL227" s="768"/>
      <c r="CM227" s="768"/>
      <c r="CN227" s="768"/>
      <c r="CO227" s="768"/>
      <c r="CP227" s="768"/>
      <c r="CQ227" s="768"/>
      <c r="CR227" s="768"/>
    </row>
    <row r="228" spans="1:96" s="764" customFormat="1">
      <c r="A228" s="774" t="s">
        <v>3199</v>
      </c>
      <c r="B228" s="703" t="s">
        <v>3232</v>
      </c>
      <c r="C228" s="704" t="s">
        <v>3232</v>
      </c>
      <c r="D228" s="704" t="s">
        <v>339</v>
      </c>
      <c r="E228" s="704" t="s">
        <v>36</v>
      </c>
      <c r="F228" s="704" t="s">
        <v>174</v>
      </c>
      <c r="G228" s="705" t="str">
        <f>VLOOKUP(WWWW[[#This Row],[Village  Name]],SiteDB6[[Site Name]:[Location Type]],8,FALSE)</f>
        <v>Village</v>
      </c>
      <c r="H228" s="704" t="s">
        <v>3259</v>
      </c>
      <c r="I228" s="706">
        <v>37</v>
      </c>
      <c r="J228" s="706">
        <v>227</v>
      </c>
      <c r="K228" s="707">
        <v>43831</v>
      </c>
      <c r="L228" s="708">
        <v>44926</v>
      </c>
      <c r="M228" s="706"/>
      <c r="N228" s="706"/>
      <c r="O228" s="773"/>
      <c r="P228" s="706"/>
      <c r="Q228" s="706"/>
      <c r="R228" s="706"/>
      <c r="S228" s="706"/>
      <c r="T228" s="706"/>
      <c r="U228" s="709"/>
      <c r="V228" s="706"/>
      <c r="W228" s="706"/>
      <c r="X228" s="706"/>
      <c r="Y228" s="706">
        <v>2</v>
      </c>
      <c r="Z228" s="706"/>
      <c r="AA228" s="706"/>
      <c r="AB228" s="706"/>
      <c r="AC228" s="709"/>
      <c r="AD228" s="706"/>
      <c r="AE228" s="706"/>
      <c r="AF228" s="706"/>
      <c r="AG228" s="706"/>
      <c r="AH228" s="706"/>
      <c r="AI228" s="706"/>
      <c r="AJ228" s="773"/>
      <c r="AK228" s="706"/>
      <c r="AL228" s="773"/>
      <c r="AM228" s="773"/>
      <c r="AN228" s="709"/>
      <c r="AO228" s="769"/>
      <c r="AP228" s="769"/>
      <c r="AQ228" s="773"/>
      <c r="AR228" s="773"/>
      <c r="AS228" s="773"/>
      <c r="AT228"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8" s="711">
        <f>WWWW[[#This Row],[%Equitable and continuous access to sufficient quantity of safe drinking water]]*WWWW[[#This Row],[Total PoP ]]</f>
        <v>0</v>
      </c>
      <c r="AV228"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8" s="711">
        <f>WWWW[[#This Row],[% Access to unimproved water points]]*WWWW[[#This Row],[Total PoP ]]</f>
        <v>0</v>
      </c>
      <c r="AX228"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8"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8" s="711">
        <f>WWWW[[#This Row],[HRP1]]/250</f>
        <v>0</v>
      </c>
      <c r="BA228" s="713">
        <f>1-WWWW[[#This Row],[% Equitable and continuous access to sufficient quantity of domestic water]]</f>
        <v>1</v>
      </c>
      <c r="BB228" s="711">
        <f>WWWW[[#This Row],[%equitable and continuous access to sufficient quantity of safe drinking and domestic water''s GAP]]*WWWW[[#This Row],[Total PoP ]]</f>
        <v>227</v>
      </c>
      <c r="BC228" s="714">
        <f>IF(WWWW[[#This Row],[Total required water points]]-WWWW[[#This Row],['#Water points coverage]]&lt;0,0,WWWW[[#This Row],[Total required water points]]-WWWW[[#This Row],['#Water points coverage]])</f>
        <v>1</v>
      </c>
      <c r="BD228" s="714">
        <f>ROUND(IF(WWWW[[#This Row],[Total PoP ]]&lt;250,1,WWWW[[#This Row],[Total PoP ]]/250),0)</f>
        <v>1</v>
      </c>
      <c r="BE22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28" s="711">
        <f>WWWW[[#This Row],[% people access to functioning Latrine]]*WWWW[[#This Row],[Total PoP ]]</f>
        <v>0</v>
      </c>
      <c r="BG228" s="714">
        <f>WWWW[[#This Row],['#_of_Functioning_latrines_in_school]]*50</f>
        <v>0</v>
      </c>
      <c r="BH228" s="714">
        <f>ROUND((WWWW[[#This Row],[Total PoP ]]/6),0)</f>
        <v>38</v>
      </c>
      <c r="BI228" s="714">
        <f>IF(WWWW[[#This Row],[Total required Latrines]]-(WWWW[[#This Row],['#_of_sanitary_fly-proof_HH_latrines]])&lt;0,0,WWWW[[#This Row],[Total required Latrines]]-(WWWW[[#This Row],['#_of_sanitary_fly-proof_HH_latrines]]))</f>
        <v>38</v>
      </c>
      <c r="BJ228" s="710">
        <f>1-WWWW[[#This Row],[% people access to functioning Latrine]]</f>
        <v>1</v>
      </c>
      <c r="BK228"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8" s="772">
        <f>IF(WWWW[[#This Row],['#_of_functional_handwashing_facilities_at_HH_level]]*6&gt;WWWW[[#This Row],[Total PoP ]],WWWW[[#This Row],[Total PoP ]],WWWW[[#This Row],['#_of_functional_handwashing_facilities_at_HH_level]]*6)</f>
        <v>0</v>
      </c>
      <c r="BM228" s="714">
        <f>IF(WWWW[[#This Row],['# people reached by regular dedicated hygiene promotion]]&gt;WWWW[[#This Row],['# People received regular supply of hygiene items]],WWWW[[#This Row],['# people reached by regular dedicated hygiene promotion]],WWWW[[#This Row],['# People received regular supply of hygiene items]])</f>
        <v>0</v>
      </c>
      <c r="BN228" s="713">
        <f>IF(WWWW[[#This Row],[HRP3]]/WWWW[[#This Row],[Total PoP ]]&gt;100%,100%,WWWW[[#This Row],[HRP3]]/WWWW[[#This Row],[Total PoP ]])</f>
        <v>0</v>
      </c>
      <c r="BO228" s="710">
        <f>1-WWWW[[#This Row],[Hygiene Coverage%]]</f>
        <v>1</v>
      </c>
      <c r="BP228" s="712">
        <f>WWWW[[#This Row],['# people reached by regular dedicated hygiene promotion]]/WWWW[[#This Row],[Total PoP ]]</f>
        <v>0</v>
      </c>
      <c r="BQ22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8" s="770">
        <f>WWWW[[#This Row],['#_of_affected_women_and_girls_receiving_a_sufficient_quantity_of_sanitary_pads]]</f>
        <v>0</v>
      </c>
      <c r="BS228" s="773">
        <f>IF(WWWW[[#This Row],['# People with access to soap]]&gt;WWWW[[#This Row],['# People with access to Sanity Pads]],WWWW[[#This Row],['# People with access to soap]],WWWW[[#This Row],['# People with access to Sanity Pads]])</f>
        <v>0</v>
      </c>
      <c r="BT228" s="772" t="str">
        <f>IF(OR(WWWW[[#This Row],['#of students in school]]="",WWWW[[#This Row],['#of students in school]]=0),"No","Yes")</f>
        <v>No</v>
      </c>
      <c r="BU228" s="705" t="str">
        <f>VLOOKUP(WWWW[[#This Row],[Village  Name]],SiteDB6[[Site Name]:[Location Type 1]],9,FALSE)</f>
        <v>Village</v>
      </c>
      <c r="BV228" s="705" t="str">
        <f>VLOOKUP(WWWW[[#This Row],[Village  Name]],SiteDB6[[Site Name]:[Type of Accommodation]],10,FALSE)</f>
        <v>Village</v>
      </c>
      <c r="BW228" s="705">
        <f>VLOOKUP(WWWW[[#This Row],[Village  Name]],SiteDB6[[Site Name]:[Ethnic or GCA/NGCA]],11,FALSE)</f>
        <v>0</v>
      </c>
      <c r="BX228" s="705">
        <f>VLOOKUP(WWWW[[#This Row],[Village  Name]],SiteDB6[[Site Name]:[Lat]],12,FALSE)</f>
        <v>0</v>
      </c>
      <c r="BY228" s="705">
        <f>VLOOKUP(WWWW[[#This Row],[Village  Name]],SiteDB6[[Site Name]:[Long]],13,FALSE)</f>
        <v>0</v>
      </c>
      <c r="BZ228" s="705">
        <f>VLOOKUP(WWWW[[#This Row],[Village  Name]],SiteDB6[[Site Name]:[Pcode]],3,FALSE)</f>
        <v>0</v>
      </c>
      <c r="CA228" s="705" t="str">
        <f t="shared" si="13"/>
        <v>Covered</v>
      </c>
      <c r="CB228" s="715"/>
      <c r="CC228" s="765"/>
      <c r="CD228" s="766"/>
      <c r="CE228" s="766"/>
      <c r="CF228" s="763"/>
      <c r="CG228" s="766"/>
      <c r="CH228" s="767"/>
      <c r="CI228" s="767"/>
      <c r="CJ228" s="768"/>
      <c r="CK228" s="768"/>
      <c r="CL228" s="768"/>
      <c r="CM228" s="768"/>
      <c r="CN228" s="768"/>
      <c r="CO228" s="768"/>
      <c r="CP228" s="768"/>
      <c r="CQ228" s="768"/>
      <c r="CR228" s="768"/>
    </row>
    <row r="229" spans="1:96" s="764" customFormat="1">
      <c r="A229" s="774" t="s">
        <v>3199</v>
      </c>
      <c r="B229" s="703" t="s">
        <v>3232</v>
      </c>
      <c r="C229" s="704" t="s">
        <v>3232</v>
      </c>
      <c r="D229" s="704" t="s">
        <v>339</v>
      </c>
      <c r="E229" s="704" t="s">
        <v>36</v>
      </c>
      <c r="F229" s="704" t="s">
        <v>174</v>
      </c>
      <c r="G229" s="705" t="str">
        <f>VLOOKUP(WWWW[[#This Row],[Village  Name]],SiteDB6[[Site Name]:[Location Type]],8,FALSE)</f>
        <v>Village</v>
      </c>
      <c r="H229" s="704" t="s">
        <v>3260</v>
      </c>
      <c r="I229" s="706">
        <v>14</v>
      </c>
      <c r="J229" s="706">
        <v>80</v>
      </c>
      <c r="K229" s="707">
        <v>43831</v>
      </c>
      <c r="L229" s="708">
        <v>44926</v>
      </c>
      <c r="M229" s="706"/>
      <c r="N229" s="706"/>
      <c r="O229" s="773"/>
      <c r="P229" s="706"/>
      <c r="Q229" s="706"/>
      <c r="R229" s="706"/>
      <c r="S229" s="706"/>
      <c r="T229" s="706"/>
      <c r="U229" s="709"/>
      <c r="V229" s="706"/>
      <c r="W229" s="706"/>
      <c r="X229" s="706"/>
      <c r="Y229" s="706">
        <v>1</v>
      </c>
      <c r="Z229" s="706"/>
      <c r="AA229" s="706"/>
      <c r="AB229" s="706"/>
      <c r="AC229" s="709"/>
      <c r="AD229" s="706"/>
      <c r="AE229" s="706"/>
      <c r="AF229" s="706"/>
      <c r="AG229" s="706"/>
      <c r="AH229" s="706"/>
      <c r="AI229" s="706"/>
      <c r="AJ229" s="773"/>
      <c r="AK229" s="706"/>
      <c r="AL229" s="773"/>
      <c r="AM229" s="773"/>
      <c r="AN229" s="709"/>
      <c r="AO229" s="769"/>
      <c r="AP229" s="769"/>
      <c r="AQ229" s="773"/>
      <c r="AR229" s="773"/>
      <c r="AS229" s="773"/>
      <c r="AT229"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29" s="711">
        <f>WWWW[[#This Row],[%Equitable and continuous access to sufficient quantity of safe drinking water]]*WWWW[[#This Row],[Total PoP ]]</f>
        <v>0</v>
      </c>
      <c r="AV229"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29" s="711">
        <f>WWWW[[#This Row],[% Access to unimproved water points]]*WWWW[[#This Row],[Total PoP ]]</f>
        <v>0</v>
      </c>
      <c r="AX229"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29"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29" s="711">
        <f>WWWW[[#This Row],[HRP1]]/250</f>
        <v>0</v>
      </c>
      <c r="BA229" s="713">
        <f>1-WWWW[[#This Row],[% Equitable and continuous access to sufficient quantity of domestic water]]</f>
        <v>1</v>
      </c>
      <c r="BB229" s="711">
        <f>WWWW[[#This Row],[%equitable and continuous access to sufficient quantity of safe drinking and domestic water''s GAP]]*WWWW[[#This Row],[Total PoP ]]</f>
        <v>80</v>
      </c>
      <c r="BC229" s="714">
        <f>IF(WWWW[[#This Row],[Total required water points]]-WWWW[[#This Row],['#Water points coverage]]&lt;0,0,WWWW[[#This Row],[Total required water points]]-WWWW[[#This Row],['#Water points coverage]])</f>
        <v>1</v>
      </c>
      <c r="BD229" s="714">
        <f>ROUND(IF(WWWW[[#This Row],[Total PoP ]]&lt;250,1,WWWW[[#This Row],[Total PoP ]]/250),0)</f>
        <v>1</v>
      </c>
      <c r="BE22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29" s="711">
        <f>WWWW[[#This Row],[% people access to functioning Latrine]]*WWWW[[#This Row],[Total PoP ]]</f>
        <v>0</v>
      </c>
      <c r="BG229" s="714">
        <f>WWWW[[#This Row],['#_of_Functioning_latrines_in_school]]*50</f>
        <v>0</v>
      </c>
      <c r="BH229" s="714">
        <f>ROUND((WWWW[[#This Row],[Total PoP ]]/6),0)</f>
        <v>13</v>
      </c>
      <c r="BI229" s="714">
        <f>IF(WWWW[[#This Row],[Total required Latrines]]-(WWWW[[#This Row],['#_of_sanitary_fly-proof_HH_latrines]])&lt;0,0,WWWW[[#This Row],[Total required Latrines]]-(WWWW[[#This Row],['#_of_sanitary_fly-proof_HH_latrines]]))</f>
        <v>13</v>
      </c>
      <c r="BJ229" s="710">
        <f>1-WWWW[[#This Row],[% people access to functioning Latrine]]</f>
        <v>1</v>
      </c>
      <c r="BK229"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29" s="772">
        <f>IF(WWWW[[#This Row],['#_of_functional_handwashing_facilities_at_HH_level]]*6&gt;WWWW[[#This Row],[Total PoP ]],WWWW[[#This Row],[Total PoP ]],WWWW[[#This Row],['#_of_functional_handwashing_facilities_at_HH_level]]*6)</f>
        <v>0</v>
      </c>
      <c r="BM229" s="714">
        <f>IF(WWWW[[#This Row],['# people reached by regular dedicated hygiene promotion]]&gt;WWWW[[#This Row],['# People received regular supply of hygiene items]],WWWW[[#This Row],['# people reached by regular dedicated hygiene promotion]],WWWW[[#This Row],['# People received regular supply of hygiene items]])</f>
        <v>0</v>
      </c>
      <c r="BN229" s="713">
        <f>IF(WWWW[[#This Row],[HRP3]]/WWWW[[#This Row],[Total PoP ]]&gt;100%,100%,WWWW[[#This Row],[HRP3]]/WWWW[[#This Row],[Total PoP ]])</f>
        <v>0</v>
      </c>
      <c r="BO229" s="710">
        <f>1-WWWW[[#This Row],[Hygiene Coverage%]]</f>
        <v>1</v>
      </c>
      <c r="BP229" s="712">
        <f>WWWW[[#This Row],['# people reached by regular dedicated hygiene promotion]]/WWWW[[#This Row],[Total PoP ]]</f>
        <v>0</v>
      </c>
      <c r="BQ22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29" s="770">
        <f>WWWW[[#This Row],['#_of_affected_women_and_girls_receiving_a_sufficient_quantity_of_sanitary_pads]]</f>
        <v>0</v>
      </c>
      <c r="BS229" s="773">
        <f>IF(WWWW[[#This Row],['# People with access to soap]]&gt;WWWW[[#This Row],['# People with access to Sanity Pads]],WWWW[[#This Row],['# People with access to soap]],WWWW[[#This Row],['# People with access to Sanity Pads]])</f>
        <v>0</v>
      </c>
      <c r="BT229" s="772" t="str">
        <f>IF(OR(WWWW[[#This Row],['#of students in school]]="",WWWW[[#This Row],['#of students in school]]=0),"No","Yes")</f>
        <v>No</v>
      </c>
      <c r="BU229" s="705" t="str">
        <f>VLOOKUP(WWWW[[#This Row],[Village  Name]],SiteDB6[[Site Name]:[Location Type 1]],9,FALSE)</f>
        <v>Village</v>
      </c>
      <c r="BV229" s="705" t="str">
        <f>VLOOKUP(WWWW[[#This Row],[Village  Name]],SiteDB6[[Site Name]:[Type of Accommodation]],10,FALSE)</f>
        <v>Village</v>
      </c>
      <c r="BW229" s="705">
        <f>VLOOKUP(WWWW[[#This Row],[Village  Name]],SiteDB6[[Site Name]:[Ethnic or GCA/NGCA]],11,FALSE)</f>
        <v>0</v>
      </c>
      <c r="BX229" s="705">
        <f>VLOOKUP(WWWW[[#This Row],[Village  Name]],SiteDB6[[Site Name]:[Lat]],12,FALSE)</f>
        <v>0</v>
      </c>
      <c r="BY229" s="705">
        <f>VLOOKUP(WWWW[[#This Row],[Village  Name]],SiteDB6[[Site Name]:[Long]],13,FALSE)</f>
        <v>0</v>
      </c>
      <c r="BZ229" s="705">
        <f>VLOOKUP(WWWW[[#This Row],[Village  Name]],SiteDB6[[Site Name]:[Pcode]],3,FALSE)</f>
        <v>0</v>
      </c>
      <c r="CA229" s="705" t="str">
        <f t="shared" si="13"/>
        <v>Covered</v>
      </c>
      <c r="CB229" s="715"/>
      <c r="CC229" s="765"/>
      <c r="CD229" s="766"/>
      <c r="CE229" s="766"/>
      <c r="CF229" s="763"/>
      <c r="CG229" s="766"/>
      <c r="CH229" s="767"/>
      <c r="CI229" s="767"/>
      <c r="CJ229" s="768"/>
      <c r="CK229" s="768"/>
      <c r="CL229" s="768"/>
      <c r="CM229" s="768"/>
      <c r="CN229" s="768"/>
      <c r="CO229" s="768"/>
      <c r="CP229" s="768"/>
      <c r="CQ229" s="768"/>
      <c r="CR229" s="768"/>
    </row>
    <row r="230" spans="1:96" s="764" customFormat="1">
      <c r="A230" s="774" t="s">
        <v>3199</v>
      </c>
      <c r="B230" s="703" t="s">
        <v>3232</v>
      </c>
      <c r="C230" s="704" t="s">
        <v>3232</v>
      </c>
      <c r="D230" s="704" t="s">
        <v>3261</v>
      </c>
      <c r="E230" s="704" t="s">
        <v>698</v>
      </c>
      <c r="F230" s="704" t="s">
        <v>717</v>
      </c>
      <c r="G230" s="705" t="s">
        <v>794</v>
      </c>
      <c r="H230" s="704" t="s">
        <v>3262</v>
      </c>
      <c r="I230" s="706">
        <v>22</v>
      </c>
      <c r="J230" s="706">
        <v>170</v>
      </c>
      <c r="K230" s="707">
        <v>43282</v>
      </c>
      <c r="L230" s="708">
        <v>44012</v>
      </c>
      <c r="M230" s="706">
        <v>0</v>
      </c>
      <c r="N230" s="706">
        <v>0</v>
      </c>
      <c r="O230" s="773">
        <v>1</v>
      </c>
      <c r="P230" s="706"/>
      <c r="Q230" s="706"/>
      <c r="R230" s="706"/>
      <c r="S230" s="706"/>
      <c r="T230" s="706"/>
      <c r="U230" s="709"/>
      <c r="V230" s="706">
        <v>15</v>
      </c>
      <c r="W230" s="706"/>
      <c r="X230" s="706"/>
      <c r="Y230" s="706">
        <v>0</v>
      </c>
      <c r="Z230" s="706">
        <v>0</v>
      </c>
      <c r="AA230" s="706"/>
      <c r="AB230" s="706"/>
      <c r="AC230" s="709"/>
      <c r="AD230" s="706">
        <v>0</v>
      </c>
      <c r="AE230" s="706">
        <v>0</v>
      </c>
      <c r="AF230" s="706">
        <v>0</v>
      </c>
      <c r="AG230" s="706">
        <v>0</v>
      </c>
      <c r="AH230" s="706"/>
      <c r="AI230" s="706"/>
      <c r="AJ230" s="773">
        <v>10</v>
      </c>
      <c r="AK230" s="706"/>
      <c r="AL230" s="773">
        <v>11</v>
      </c>
      <c r="AM230" s="773"/>
      <c r="AN230" s="709"/>
      <c r="AO230" s="769"/>
      <c r="AP230" s="769"/>
      <c r="AQ230" s="773"/>
      <c r="AR230" s="773"/>
      <c r="AS230" s="773"/>
      <c r="AT230"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30" s="711">
        <f>WWWW[[#This Row],[%Equitable and continuous access to sufficient quantity of safe drinking water]]*WWWW[[#This Row],[Total PoP ]]</f>
        <v>170</v>
      </c>
      <c r="AV230"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0" s="711">
        <f>WWWW[[#This Row],[% Access to unimproved water points]]*WWWW[[#This Row],[Total PoP ]]</f>
        <v>0</v>
      </c>
      <c r="AX230"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30"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170</v>
      </c>
      <c r="AZ230" s="711">
        <f>WWWW[[#This Row],[HRP1]]/250</f>
        <v>0.68</v>
      </c>
      <c r="BA230" s="713">
        <f>1-WWWW[[#This Row],[% Equitable and continuous access to sufficient quantity of domestic water]]</f>
        <v>0</v>
      </c>
      <c r="BB230" s="711">
        <f>WWWW[[#This Row],[%equitable and continuous access to sufficient quantity of safe drinking and domestic water''s GAP]]*WWWW[[#This Row],[Total PoP ]]</f>
        <v>0</v>
      </c>
      <c r="BC230" s="714">
        <f>IF(WWWW[[#This Row],[Total required water points]]-WWWW[[#This Row],['#Water points coverage]]&lt;0,0,WWWW[[#This Row],[Total required water points]]-WWWW[[#This Row],['#Water points coverage]])</f>
        <v>0.31999999999999995</v>
      </c>
      <c r="BD230" s="714">
        <f>ROUND(IF(WWWW[[#This Row],[Total PoP ]]&lt;250,1,WWWW[[#This Row],[Total PoP ]]/250),0)</f>
        <v>1</v>
      </c>
      <c r="BE23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0.52941176470588236</v>
      </c>
      <c r="BF230" s="711">
        <f>WWWW[[#This Row],[% people access to functioning Latrine]]*WWWW[[#This Row],[Total PoP ]]</f>
        <v>90</v>
      </c>
      <c r="BG230" s="714">
        <f>WWWW[[#This Row],['#_of_Functioning_latrines_in_school]]*50</f>
        <v>0</v>
      </c>
      <c r="BH230" s="714">
        <f>ROUND((WWWW[[#This Row],[Total PoP ]]/6),0)</f>
        <v>28</v>
      </c>
      <c r="BI230" s="714">
        <f>IF(WWWW[[#This Row],[Total required Latrines]]-(WWWW[[#This Row],['#_of_sanitary_fly-proof_HH_latrines]])&lt;0,0,WWWW[[#This Row],[Total required Latrines]]-(WWWW[[#This Row],['#_of_sanitary_fly-proof_HH_latrines]]))</f>
        <v>13</v>
      </c>
      <c r="BJ230" s="710">
        <f>1-WWWW[[#This Row],[% people access to functioning Latrine]]</f>
        <v>0.47058823529411764</v>
      </c>
      <c r="BK230"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0" s="772">
        <f>IF(WWWW[[#This Row],['#_of_functional_handwashing_facilities_at_HH_level]]*6&gt;WWWW[[#This Row],[Total PoP ]],WWWW[[#This Row],[Total PoP ]],WWWW[[#This Row],['#_of_functional_handwashing_facilities_at_HH_level]]*6)</f>
        <v>60</v>
      </c>
      <c r="BM230" s="714">
        <f>IF(WWWW[[#This Row],['# people reached by regular dedicated hygiene promotion]]&gt;WWWW[[#This Row],['# People received regular supply of hygiene items]],WWWW[[#This Row],['# people reached by regular dedicated hygiene promotion]],WWWW[[#This Row],['# People received regular supply of hygiene items]])</f>
        <v>66</v>
      </c>
      <c r="BN230" s="713">
        <f>IF(WWWW[[#This Row],[HRP3]]/WWWW[[#This Row],[Total PoP ]]&gt;100%,100%,WWWW[[#This Row],[HRP3]]/WWWW[[#This Row],[Total PoP ]])</f>
        <v>0.38823529411764707</v>
      </c>
      <c r="BO230" s="710">
        <f>1-WWWW[[#This Row],[Hygiene Coverage%]]</f>
        <v>0.61176470588235299</v>
      </c>
      <c r="BP230" s="712">
        <f>WWWW[[#This Row],['# people reached by regular dedicated hygiene promotion]]/WWWW[[#This Row],[Total PoP ]]</f>
        <v>0</v>
      </c>
      <c r="BQ23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66</v>
      </c>
      <c r="BR230" s="770">
        <f>WWWW[[#This Row],['#_of_affected_women_and_girls_receiving_a_sufficient_quantity_of_sanitary_pads]]</f>
        <v>0</v>
      </c>
      <c r="BS230" s="773">
        <f>IF(WWWW[[#This Row],['# People with access to soap]]&gt;WWWW[[#This Row],['# People with access to Sanity Pads]],WWWW[[#This Row],['# People with access to soap]],WWWW[[#This Row],['# People with access to Sanity Pads]])</f>
        <v>66</v>
      </c>
      <c r="BT230" s="772" t="str">
        <f>IF(OR(WWWW[[#This Row],['#of students in school]]="",WWWW[[#This Row],['#of students in school]]=0),"No","Yes")</f>
        <v>No</v>
      </c>
      <c r="BU230" s="705" t="str">
        <f>VLOOKUP(WWWW[[#This Row],[Village  Name]],SiteDB6[[Site Name]:[Location Type 1]],9,FALSE)</f>
        <v>Village</v>
      </c>
      <c r="BV230" s="705" t="str">
        <f>VLOOKUP(WWWW[[#This Row],[Village  Name]],SiteDB6[[Site Name]:[Type of Accommodation]],10,FALSE)</f>
        <v>Village</v>
      </c>
      <c r="BW230" s="705">
        <f>VLOOKUP(WWWW[[#This Row],[Village  Name]],SiteDB6[[Site Name]:[Ethnic or GCA/NGCA]],11,FALSE)</f>
        <v>0</v>
      </c>
      <c r="BX230" s="705">
        <f>VLOOKUP(WWWW[[#This Row],[Village  Name]],SiteDB6[[Site Name]:[Lat]],12,FALSE)</f>
        <v>0</v>
      </c>
      <c r="BY230" s="705">
        <f>VLOOKUP(WWWW[[#This Row],[Village  Name]],SiteDB6[[Site Name]:[Long]],13,FALSE)</f>
        <v>0</v>
      </c>
      <c r="BZ230" s="705">
        <f>VLOOKUP(WWWW[[#This Row],[Village  Name]],SiteDB6[[Site Name]:[Pcode]],3,FALSE)</f>
        <v>0</v>
      </c>
      <c r="CA230" s="705" t="str">
        <f t="shared" ref="CA230:CA234" si="14">IF(C230="none","Notcovered","Covered")</f>
        <v>Covered</v>
      </c>
      <c r="CB230" s="715"/>
      <c r="CC230" s="765"/>
      <c r="CD230" s="766"/>
      <c r="CE230" s="766"/>
      <c r="CF230" s="763"/>
      <c r="CG230" s="766"/>
      <c r="CH230" s="767"/>
      <c r="CI230" s="767"/>
      <c r="CJ230" s="768"/>
      <c r="CK230" s="768"/>
      <c r="CL230" s="768"/>
      <c r="CM230" s="768"/>
      <c r="CN230" s="768"/>
      <c r="CO230" s="768"/>
      <c r="CP230" s="768"/>
      <c r="CQ230" s="768"/>
      <c r="CR230" s="768"/>
    </row>
    <row r="231" spans="1:96" s="764" customFormat="1">
      <c r="A231" s="774" t="s">
        <v>3199</v>
      </c>
      <c r="B231" s="703" t="s">
        <v>3232</v>
      </c>
      <c r="C231" s="704" t="s">
        <v>3232</v>
      </c>
      <c r="D231" s="704" t="s">
        <v>3261</v>
      </c>
      <c r="E231" s="704" t="s">
        <v>698</v>
      </c>
      <c r="F231" s="704" t="s">
        <v>717</v>
      </c>
      <c r="G231" s="705" t="s">
        <v>794</v>
      </c>
      <c r="H231" s="704" t="s">
        <v>3263</v>
      </c>
      <c r="I231" s="706">
        <v>8</v>
      </c>
      <c r="J231" s="706">
        <v>31</v>
      </c>
      <c r="K231" s="707">
        <v>43282</v>
      </c>
      <c r="L231" s="708">
        <v>44012</v>
      </c>
      <c r="M231" s="706">
        <v>0</v>
      </c>
      <c r="N231" s="706">
        <v>0</v>
      </c>
      <c r="O231" s="773"/>
      <c r="P231" s="706"/>
      <c r="Q231" s="706"/>
      <c r="R231" s="706"/>
      <c r="S231" s="706"/>
      <c r="T231" s="706"/>
      <c r="U231" s="709"/>
      <c r="V231" s="706">
        <v>3</v>
      </c>
      <c r="W231" s="706"/>
      <c r="X231" s="706"/>
      <c r="Y231" s="706">
        <v>0</v>
      </c>
      <c r="Z231" s="706">
        <v>0</v>
      </c>
      <c r="AA231" s="706"/>
      <c r="AB231" s="706"/>
      <c r="AC231" s="709"/>
      <c r="AD231" s="706">
        <v>0</v>
      </c>
      <c r="AE231" s="706">
        <v>0</v>
      </c>
      <c r="AF231" s="706">
        <v>0</v>
      </c>
      <c r="AG231" s="706">
        <v>0</v>
      </c>
      <c r="AH231" s="706"/>
      <c r="AI231" s="706"/>
      <c r="AJ231" s="773">
        <v>2</v>
      </c>
      <c r="AK231" s="706"/>
      <c r="AL231" s="773">
        <v>3</v>
      </c>
      <c r="AM231" s="773"/>
      <c r="AN231" s="709"/>
      <c r="AO231" s="769"/>
      <c r="AP231" s="769"/>
      <c r="AQ231" s="773"/>
      <c r="AR231" s="773"/>
      <c r="AS231" s="773"/>
      <c r="AT231"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31" s="711">
        <f>WWWW[[#This Row],[%Equitable and continuous access to sufficient quantity of safe drinking water]]*WWWW[[#This Row],[Total PoP ]]</f>
        <v>0</v>
      </c>
      <c r="AV231"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1" s="711">
        <f>WWWW[[#This Row],[% Access to unimproved water points]]*WWWW[[#This Row],[Total PoP ]]</f>
        <v>0</v>
      </c>
      <c r="AX231"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31"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31" s="711">
        <f>WWWW[[#This Row],[HRP1]]/250</f>
        <v>0</v>
      </c>
      <c r="BA231" s="713">
        <f>1-WWWW[[#This Row],[% Equitable and continuous access to sufficient quantity of domestic water]]</f>
        <v>1</v>
      </c>
      <c r="BB231" s="711">
        <f>WWWW[[#This Row],[%equitable and continuous access to sufficient quantity of safe drinking and domestic water''s GAP]]*WWWW[[#This Row],[Total PoP ]]</f>
        <v>31</v>
      </c>
      <c r="BC231" s="714">
        <f>IF(WWWW[[#This Row],[Total required water points]]-WWWW[[#This Row],['#Water points coverage]]&lt;0,0,WWWW[[#This Row],[Total required water points]]-WWWW[[#This Row],['#Water points coverage]])</f>
        <v>1</v>
      </c>
      <c r="BD231" s="714">
        <f>ROUND(IF(WWWW[[#This Row],[Total PoP ]]&lt;250,1,WWWW[[#This Row],[Total PoP ]]/250),0)</f>
        <v>1</v>
      </c>
      <c r="BE23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0.58064516129032262</v>
      </c>
      <c r="BF231" s="711">
        <f>WWWW[[#This Row],[% people access to functioning Latrine]]*WWWW[[#This Row],[Total PoP ]]</f>
        <v>18</v>
      </c>
      <c r="BG231" s="714">
        <f>WWWW[[#This Row],['#_of_Functioning_latrines_in_school]]*50</f>
        <v>0</v>
      </c>
      <c r="BH231" s="714">
        <f>ROUND((WWWW[[#This Row],[Total PoP ]]/6),0)</f>
        <v>5</v>
      </c>
      <c r="BI231" s="714">
        <f>IF(WWWW[[#This Row],[Total required Latrines]]-(WWWW[[#This Row],['#_of_sanitary_fly-proof_HH_latrines]])&lt;0,0,WWWW[[#This Row],[Total required Latrines]]-(WWWW[[#This Row],['#_of_sanitary_fly-proof_HH_latrines]]))</f>
        <v>2</v>
      </c>
      <c r="BJ231" s="710">
        <f>1-WWWW[[#This Row],[% people access to functioning Latrine]]</f>
        <v>0.41935483870967738</v>
      </c>
      <c r="BK231"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1" s="772">
        <f>IF(WWWW[[#This Row],['#_of_functional_handwashing_facilities_at_HH_level]]*6&gt;WWWW[[#This Row],[Total PoP ]],WWWW[[#This Row],[Total PoP ]],WWWW[[#This Row],['#_of_functional_handwashing_facilities_at_HH_level]]*6)</f>
        <v>12</v>
      </c>
      <c r="BM231" s="714">
        <f>IF(WWWW[[#This Row],['# people reached by regular dedicated hygiene promotion]]&gt;WWWW[[#This Row],['# People received regular supply of hygiene items]],WWWW[[#This Row],['# people reached by regular dedicated hygiene promotion]],WWWW[[#This Row],['# People received regular supply of hygiene items]])</f>
        <v>18</v>
      </c>
      <c r="BN231" s="713">
        <f>IF(WWWW[[#This Row],[HRP3]]/WWWW[[#This Row],[Total PoP ]]&gt;100%,100%,WWWW[[#This Row],[HRP3]]/WWWW[[#This Row],[Total PoP ]])</f>
        <v>0.58064516129032262</v>
      </c>
      <c r="BO231" s="710">
        <f>1-WWWW[[#This Row],[Hygiene Coverage%]]</f>
        <v>0.41935483870967738</v>
      </c>
      <c r="BP231" s="712">
        <f>WWWW[[#This Row],['# people reached by regular dedicated hygiene promotion]]/WWWW[[#This Row],[Total PoP ]]</f>
        <v>0</v>
      </c>
      <c r="BQ23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18</v>
      </c>
      <c r="BR231" s="770">
        <f>WWWW[[#This Row],['#_of_affected_women_and_girls_receiving_a_sufficient_quantity_of_sanitary_pads]]</f>
        <v>0</v>
      </c>
      <c r="BS231" s="773">
        <f>IF(WWWW[[#This Row],['# People with access to soap]]&gt;WWWW[[#This Row],['# People with access to Sanity Pads]],WWWW[[#This Row],['# People with access to soap]],WWWW[[#This Row],['# People with access to Sanity Pads]])</f>
        <v>18</v>
      </c>
      <c r="BT231" s="772" t="str">
        <f>IF(OR(WWWW[[#This Row],['#of students in school]]="",WWWW[[#This Row],['#of students in school]]=0),"No","Yes")</f>
        <v>No</v>
      </c>
      <c r="BU231" s="705" t="str">
        <f>VLOOKUP(WWWW[[#This Row],[Village  Name]],SiteDB6[[Site Name]:[Location Type 1]],9,FALSE)</f>
        <v>Village</v>
      </c>
      <c r="BV231" s="705" t="str">
        <f>VLOOKUP(WWWW[[#This Row],[Village  Name]],SiteDB6[[Site Name]:[Type of Accommodation]],10,FALSE)</f>
        <v>Village</v>
      </c>
      <c r="BW231" s="705">
        <f>VLOOKUP(WWWW[[#This Row],[Village  Name]],SiteDB6[[Site Name]:[Ethnic or GCA/NGCA]],11,FALSE)</f>
        <v>0</v>
      </c>
      <c r="BX231" s="705">
        <f>VLOOKUP(WWWW[[#This Row],[Village  Name]],SiteDB6[[Site Name]:[Lat]],12,FALSE)</f>
        <v>0</v>
      </c>
      <c r="BY231" s="705">
        <f>VLOOKUP(WWWW[[#This Row],[Village  Name]],SiteDB6[[Site Name]:[Long]],13,FALSE)</f>
        <v>0</v>
      </c>
      <c r="BZ231" s="705">
        <f>VLOOKUP(WWWW[[#This Row],[Village  Name]],SiteDB6[[Site Name]:[Pcode]],3,FALSE)</f>
        <v>0</v>
      </c>
      <c r="CA231" s="705" t="str">
        <f t="shared" si="14"/>
        <v>Covered</v>
      </c>
      <c r="CB231" s="715"/>
      <c r="CC231" s="765"/>
      <c r="CD231" s="766"/>
      <c r="CE231" s="766"/>
      <c r="CF231" s="763"/>
      <c r="CG231" s="766"/>
      <c r="CH231" s="767"/>
      <c r="CI231" s="767"/>
      <c r="CJ231" s="768"/>
      <c r="CK231" s="768"/>
      <c r="CL231" s="768"/>
      <c r="CM231" s="768"/>
      <c r="CN231" s="768"/>
      <c r="CO231" s="768"/>
      <c r="CP231" s="768"/>
      <c r="CQ231" s="768"/>
      <c r="CR231" s="768"/>
    </row>
    <row r="232" spans="1:96" s="764" customFormat="1">
      <c r="A232" s="774" t="s">
        <v>3199</v>
      </c>
      <c r="B232" s="703" t="s">
        <v>3232</v>
      </c>
      <c r="C232" s="704" t="s">
        <v>3232</v>
      </c>
      <c r="D232" s="704" t="s">
        <v>3261</v>
      </c>
      <c r="E232" s="704" t="s">
        <v>698</v>
      </c>
      <c r="F232" s="704" t="s">
        <v>717</v>
      </c>
      <c r="G232" s="705" t="s">
        <v>794</v>
      </c>
      <c r="H232" s="704" t="s">
        <v>3264</v>
      </c>
      <c r="I232" s="706">
        <v>38</v>
      </c>
      <c r="J232" s="706">
        <v>212</v>
      </c>
      <c r="K232" s="707">
        <v>43282</v>
      </c>
      <c r="L232" s="708">
        <v>44012</v>
      </c>
      <c r="M232" s="706">
        <v>0</v>
      </c>
      <c r="N232" s="706">
        <v>0</v>
      </c>
      <c r="O232" s="773"/>
      <c r="P232" s="706"/>
      <c r="Q232" s="706"/>
      <c r="R232" s="706"/>
      <c r="S232" s="706"/>
      <c r="T232" s="706"/>
      <c r="U232" s="709"/>
      <c r="V232" s="706">
        <v>38</v>
      </c>
      <c r="W232" s="706"/>
      <c r="X232" s="706"/>
      <c r="Y232" s="706">
        <v>1</v>
      </c>
      <c r="Z232" s="706">
        <v>0</v>
      </c>
      <c r="AA232" s="706"/>
      <c r="AB232" s="706"/>
      <c r="AC232" s="709"/>
      <c r="AD232" s="706">
        <v>0</v>
      </c>
      <c r="AE232" s="706">
        <v>0</v>
      </c>
      <c r="AF232" s="706">
        <v>0</v>
      </c>
      <c r="AG232" s="706">
        <v>0</v>
      </c>
      <c r="AH232" s="706"/>
      <c r="AI232" s="706"/>
      <c r="AJ232" s="773">
        <v>20</v>
      </c>
      <c r="AK232" s="706"/>
      <c r="AL232" s="773">
        <v>24</v>
      </c>
      <c r="AM232" s="773"/>
      <c r="AN232" s="709"/>
      <c r="AO232" s="769"/>
      <c r="AP232" s="769"/>
      <c r="AQ232" s="773"/>
      <c r="AR232" s="773"/>
      <c r="AS232" s="773"/>
      <c r="AT232"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32" s="711">
        <f>WWWW[[#This Row],[%Equitable and continuous access to sufficient quantity of safe drinking water]]*WWWW[[#This Row],[Total PoP ]]</f>
        <v>0</v>
      </c>
      <c r="AV232"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2" s="711">
        <f>WWWW[[#This Row],[% Access to unimproved water points]]*WWWW[[#This Row],[Total PoP ]]</f>
        <v>0</v>
      </c>
      <c r="AX232"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32"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32" s="711">
        <f>WWWW[[#This Row],[HRP1]]/250</f>
        <v>0</v>
      </c>
      <c r="BA232" s="713">
        <f>1-WWWW[[#This Row],[% Equitable and continuous access to sufficient quantity of domestic water]]</f>
        <v>1</v>
      </c>
      <c r="BB232" s="711">
        <f>WWWW[[#This Row],[%equitable and continuous access to sufficient quantity of safe drinking and domestic water''s GAP]]*WWWW[[#This Row],[Total PoP ]]</f>
        <v>212</v>
      </c>
      <c r="BC232" s="714">
        <f>IF(WWWW[[#This Row],[Total required water points]]-WWWW[[#This Row],['#Water points coverage]]&lt;0,0,WWWW[[#This Row],[Total required water points]]-WWWW[[#This Row],['#Water points coverage]])</f>
        <v>1</v>
      </c>
      <c r="BD232" s="714">
        <f>ROUND(IF(WWWW[[#This Row],[Total PoP ]]&lt;250,1,WWWW[[#This Row],[Total PoP ]]/250),0)</f>
        <v>1</v>
      </c>
      <c r="BE23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32" s="711">
        <f>WWWW[[#This Row],[% people access to functioning Latrine]]*WWWW[[#This Row],[Total PoP ]]</f>
        <v>212</v>
      </c>
      <c r="BG232" s="714">
        <f>WWWW[[#This Row],['#_of_Functioning_latrines_in_school]]*50</f>
        <v>0</v>
      </c>
      <c r="BH232" s="714">
        <f>ROUND((WWWW[[#This Row],[Total PoP ]]/6),0)</f>
        <v>35</v>
      </c>
      <c r="BI232" s="714">
        <f>IF(WWWW[[#This Row],[Total required Latrines]]-(WWWW[[#This Row],['#_of_sanitary_fly-proof_HH_latrines]])&lt;0,0,WWWW[[#This Row],[Total required Latrines]]-(WWWW[[#This Row],['#_of_sanitary_fly-proof_HH_latrines]]))</f>
        <v>0</v>
      </c>
      <c r="BJ232" s="710">
        <f>1-WWWW[[#This Row],[% people access to functioning Latrine]]</f>
        <v>0</v>
      </c>
      <c r="BK232"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2" s="772">
        <f>IF(WWWW[[#This Row],['#_of_functional_handwashing_facilities_at_HH_level]]*6&gt;WWWW[[#This Row],[Total PoP ]],WWWW[[#This Row],[Total PoP ]],WWWW[[#This Row],['#_of_functional_handwashing_facilities_at_HH_level]]*6)</f>
        <v>120</v>
      </c>
      <c r="BM232" s="714">
        <f>IF(WWWW[[#This Row],['# people reached by regular dedicated hygiene promotion]]&gt;WWWW[[#This Row],['# People received regular supply of hygiene items]],WWWW[[#This Row],['# people reached by regular dedicated hygiene promotion]],WWWW[[#This Row],['# People received regular supply of hygiene items]])</f>
        <v>144</v>
      </c>
      <c r="BN232" s="713">
        <f>IF(WWWW[[#This Row],[HRP3]]/WWWW[[#This Row],[Total PoP ]]&gt;100%,100%,WWWW[[#This Row],[HRP3]]/WWWW[[#This Row],[Total PoP ]])</f>
        <v>0.67924528301886788</v>
      </c>
      <c r="BO232" s="710">
        <f>1-WWWW[[#This Row],[Hygiene Coverage%]]</f>
        <v>0.32075471698113212</v>
      </c>
      <c r="BP232" s="712">
        <f>WWWW[[#This Row],['# people reached by regular dedicated hygiene promotion]]/WWWW[[#This Row],[Total PoP ]]</f>
        <v>0</v>
      </c>
      <c r="BQ23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144</v>
      </c>
      <c r="BR232" s="770">
        <f>WWWW[[#This Row],['#_of_affected_women_and_girls_receiving_a_sufficient_quantity_of_sanitary_pads]]</f>
        <v>0</v>
      </c>
      <c r="BS232" s="773">
        <f>IF(WWWW[[#This Row],['# People with access to soap]]&gt;WWWW[[#This Row],['# People with access to Sanity Pads]],WWWW[[#This Row],['# People with access to soap]],WWWW[[#This Row],['# People with access to Sanity Pads]])</f>
        <v>144</v>
      </c>
      <c r="BT232" s="772" t="str">
        <f>IF(OR(WWWW[[#This Row],['#of students in school]]="",WWWW[[#This Row],['#of students in school]]=0),"No","Yes")</f>
        <v>No</v>
      </c>
      <c r="BU232" s="705" t="str">
        <f>VLOOKUP(WWWW[[#This Row],[Village  Name]],SiteDB6[[Site Name]:[Location Type 1]],9,FALSE)</f>
        <v>Village</v>
      </c>
      <c r="BV232" s="705" t="str">
        <f>VLOOKUP(WWWW[[#This Row],[Village  Name]],SiteDB6[[Site Name]:[Type of Accommodation]],10,FALSE)</f>
        <v>Village</v>
      </c>
      <c r="BW232" s="705">
        <f>VLOOKUP(WWWW[[#This Row],[Village  Name]],SiteDB6[[Site Name]:[Ethnic or GCA/NGCA]],11,FALSE)</f>
        <v>0</v>
      </c>
      <c r="BX232" s="705">
        <f>VLOOKUP(WWWW[[#This Row],[Village  Name]],SiteDB6[[Site Name]:[Lat]],12,FALSE)</f>
        <v>0</v>
      </c>
      <c r="BY232" s="705">
        <f>VLOOKUP(WWWW[[#This Row],[Village  Name]],SiteDB6[[Site Name]:[Long]],13,FALSE)</f>
        <v>0</v>
      </c>
      <c r="BZ232" s="705">
        <f>VLOOKUP(WWWW[[#This Row],[Village  Name]],SiteDB6[[Site Name]:[Pcode]],3,FALSE)</f>
        <v>0</v>
      </c>
      <c r="CA232" s="705" t="str">
        <f t="shared" si="14"/>
        <v>Covered</v>
      </c>
      <c r="CB232" s="715"/>
      <c r="CC232" s="765"/>
      <c r="CD232" s="766"/>
      <c r="CE232" s="766"/>
      <c r="CF232" s="763"/>
      <c r="CG232" s="766"/>
      <c r="CH232" s="767"/>
      <c r="CI232" s="767"/>
      <c r="CJ232" s="768"/>
      <c r="CK232" s="768"/>
      <c r="CL232" s="768"/>
      <c r="CM232" s="768"/>
      <c r="CN232" s="768"/>
      <c r="CO232" s="768"/>
      <c r="CP232" s="768"/>
      <c r="CQ232" s="768"/>
      <c r="CR232" s="768"/>
    </row>
    <row r="233" spans="1:96" s="764" customFormat="1">
      <c r="A233" s="774" t="s">
        <v>3199</v>
      </c>
      <c r="B233" s="703" t="s">
        <v>3232</v>
      </c>
      <c r="C233" s="704" t="s">
        <v>3232</v>
      </c>
      <c r="D233" s="704" t="s">
        <v>3261</v>
      </c>
      <c r="E233" s="704" t="s">
        <v>698</v>
      </c>
      <c r="F233" s="704" t="s">
        <v>1253</v>
      </c>
      <c r="G233" s="705" t="s">
        <v>794</v>
      </c>
      <c r="H233" s="704" t="s">
        <v>3265</v>
      </c>
      <c r="I233" s="706">
        <v>61</v>
      </c>
      <c r="J233" s="706">
        <v>311</v>
      </c>
      <c r="K233" s="707">
        <v>43282</v>
      </c>
      <c r="L233" s="708">
        <v>44012</v>
      </c>
      <c r="M233" s="706">
        <v>0</v>
      </c>
      <c r="N233" s="706">
        <v>0</v>
      </c>
      <c r="O233" s="773"/>
      <c r="P233" s="706"/>
      <c r="Q233" s="706"/>
      <c r="R233" s="706"/>
      <c r="S233" s="706"/>
      <c r="T233" s="706"/>
      <c r="U233" s="709"/>
      <c r="V233" s="706">
        <v>61</v>
      </c>
      <c r="W233" s="706"/>
      <c r="X233" s="706"/>
      <c r="Y233" s="706">
        <v>0</v>
      </c>
      <c r="Z233" s="706">
        <v>0</v>
      </c>
      <c r="AA233" s="706"/>
      <c r="AB233" s="706"/>
      <c r="AC233" s="709"/>
      <c r="AD233" s="706">
        <v>0</v>
      </c>
      <c r="AE233" s="706">
        <v>0</v>
      </c>
      <c r="AF233" s="706">
        <v>0</v>
      </c>
      <c r="AG233" s="706">
        <v>0</v>
      </c>
      <c r="AH233" s="706"/>
      <c r="AI233" s="706"/>
      <c r="AJ233" s="773">
        <v>35</v>
      </c>
      <c r="AK233" s="706"/>
      <c r="AL233" s="773">
        <v>31</v>
      </c>
      <c r="AM233" s="773"/>
      <c r="AN233" s="709"/>
      <c r="AO233" s="769"/>
      <c r="AP233" s="769"/>
      <c r="AQ233" s="773"/>
      <c r="AR233" s="773"/>
      <c r="AS233" s="773"/>
      <c r="AT233"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33" s="711">
        <f>WWWW[[#This Row],[%Equitable and continuous access to sufficient quantity of safe drinking water]]*WWWW[[#This Row],[Total PoP ]]</f>
        <v>0</v>
      </c>
      <c r="AV233"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3" s="711">
        <f>WWWW[[#This Row],[% Access to unimproved water points]]*WWWW[[#This Row],[Total PoP ]]</f>
        <v>0</v>
      </c>
      <c r="AX233"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33"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33" s="711">
        <f>WWWW[[#This Row],[HRP1]]/250</f>
        <v>0</v>
      </c>
      <c r="BA233" s="713">
        <f>1-WWWW[[#This Row],[% Equitable and continuous access to sufficient quantity of domestic water]]</f>
        <v>1</v>
      </c>
      <c r="BB233" s="711">
        <f>WWWW[[#This Row],[%equitable and continuous access to sufficient quantity of safe drinking and domestic water''s GAP]]*WWWW[[#This Row],[Total PoP ]]</f>
        <v>311</v>
      </c>
      <c r="BC233" s="714">
        <f>IF(WWWW[[#This Row],[Total required water points]]-WWWW[[#This Row],['#Water points coverage]]&lt;0,0,WWWW[[#This Row],[Total required water points]]-WWWW[[#This Row],['#Water points coverage]])</f>
        <v>1</v>
      </c>
      <c r="BD233" s="714">
        <f>ROUND(IF(WWWW[[#This Row],[Total PoP ]]&lt;250,1,WWWW[[#This Row],[Total PoP ]]/250),0)</f>
        <v>1</v>
      </c>
      <c r="BE23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33" s="711">
        <f>WWWW[[#This Row],[% people access to functioning Latrine]]*WWWW[[#This Row],[Total PoP ]]</f>
        <v>311</v>
      </c>
      <c r="BG233" s="714">
        <f>WWWW[[#This Row],['#_of_Functioning_latrines_in_school]]*50</f>
        <v>0</v>
      </c>
      <c r="BH233" s="714">
        <f>ROUND((WWWW[[#This Row],[Total PoP ]]/6),0)</f>
        <v>52</v>
      </c>
      <c r="BI233" s="714">
        <f>IF(WWWW[[#This Row],[Total required Latrines]]-(WWWW[[#This Row],['#_of_sanitary_fly-proof_HH_latrines]])&lt;0,0,WWWW[[#This Row],[Total required Latrines]]-(WWWW[[#This Row],['#_of_sanitary_fly-proof_HH_latrines]]))</f>
        <v>0</v>
      </c>
      <c r="BJ233" s="710">
        <f>1-WWWW[[#This Row],[% people access to functioning Latrine]]</f>
        <v>0</v>
      </c>
      <c r="BK233"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3" s="772">
        <f>IF(WWWW[[#This Row],['#_of_functional_handwashing_facilities_at_HH_level]]*6&gt;WWWW[[#This Row],[Total PoP ]],WWWW[[#This Row],[Total PoP ]],WWWW[[#This Row],['#_of_functional_handwashing_facilities_at_HH_level]]*6)</f>
        <v>210</v>
      </c>
      <c r="BM233" s="714">
        <f>IF(WWWW[[#This Row],['# people reached by regular dedicated hygiene promotion]]&gt;WWWW[[#This Row],['# People received regular supply of hygiene items]],WWWW[[#This Row],['# people reached by regular dedicated hygiene promotion]],WWWW[[#This Row],['# People received regular supply of hygiene items]])</f>
        <v>186</v>
      </c>
      <c r="BN233" s="713">
        <f>IF(WWWW[[#This Row],[HRP3]]/WWWW[[#This Row],[Total PoP ]]&gt;100%,100%,WWWW[[#This Row],[HRP3]]/WWWW[[#This Row],[Total PoP ]])</f>
        <v>0.59807073954983925</v>
      </c>
      <c r="BO233" s="710">
        <f>1-WWWW[[#This Row],[Hygiene Coverage%]]</f>
        <v>0.40192926045016075</v>
      </c>
      <c r="BP233" s="712">
        <f>WWWW[[#This Row],['# people reached by regular dedicated hygiene promotion]]/WWWW[[#This Row],[Total PoP ]]</f>
        <v>0</v>
      </c>
      <c r="BQ23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186</v>
      </c>
      <c r="BR233" s="770">
        <f>WWWW[[#This Row],['#_of_affected_women_and_girls_receiving_a_sufficient_quantity_of_sanitary_pads]]</f>
        <v>0</v>
      </c>
      <c r="BS233" s="773">
        <f>IF(WWWW[[#This Row],['# People with access to soap]]&gt;WWWW[[#This Row],['# People with access to Sanity Pads]],WWWW[[#This Row],['# People with access to soap]],WWWW[[#This Row],['# People with access to Sanity Pads]])</f>
        <v>186</v>
      </c>
      <c r="BT233" s="772" t="str">
        <f>IF(OR(WWWW[[#This Row],['#of students in school]]="",WWWW[[#This Row],['#of students in school]]=0),"No","Yes")</f>
        <v>No</v>
      </c>
      <c r="BU233" s="705" t="str">
        <f>VLOOKUP(WWWW[[#This Row],[Village  Name]],SiteDB6[[Site Name]:[Location Type 1]],9,FALSE)</f>
        <v>Village</v>
      </c>
      <c r="BV233" s="705" t="str">
        <f>VLOOKUP(WWWW[[#This Row],[Village  Name]],SiteDB6[[Site Name]:[Type of Accommodation]],10,FALSE)</f>
        <v>Village</v>
      </c>
      <c r="BW233" s="705">
        <f>VLOOKUP(WWWW[[#This Row],[Village  Name]],SiteDB6[[Site Name]:[Ethnic or GCA/NGCA]],11,FALSE)</f>
        <v>0</v>
      </c>
      <c r="BX233" s="705">
        <f>VLOOKUP(WWWW[[#This Row],[Village  Name]],SiteDB6[[Site Name]:[Lat]],12,FALSE)</f>
        <v>0</v>
      </c>
      <c r="BY233" s="705">
        <f>VLOOKUP(WWWW[[#This Row],[Village  Name]],SiteDB6[[Site Name]:[Long]],13,FALSE)</f>
        <v>0</v>
      </c>
      <c r="BZ233" s="705">
        <f>VLOOKUP(WWWW[[#This Row],[Village  Name]],SiteDB6[[Site Name]:[Pcode]],3,FALSE)</f>
        <v>0</v>
      </c>
      <c r="CA233" s="705" t="str">
        <f t="shared" si="14"/>
        <v>Covered</v>
      </c>
      <c r="CB233" s="715"/>
      <c r="CC233" s="765"/>
      <c r="CD233" s="766"/>
      <c r="CE233" s="766"/>
      <c r="CF233" s="763"/>
      <c r="CG233" s="766"/>
      <c r="CH233" s="767"/>
      <c r="CI233" s="767"/>
      <c r="CJ233" s="768"/>
      <c r="CK233" s="768"/>
      <c r="CL233" s="768"/>
      <c r="CM233" s="768"/>
      <c r="CN233" s="768"/>
      <c r="CO233" s="768"/>
      <c r="CP233" s="768"/>
      <c r="CQ233" s="768"/>
      <c r="CR233" s="768"/>
    </row>
    <row r="234" spans="1:96" s="764" customFormat="1">
      <c r="A234" s="774" t="s">
        <v>3199</v>
      </c>
      <c r="B234" s="703" t="s">
        <v>3232</v>
      </c>
      <c r="C234" s="704" t="s">
        <v>3232</v>
      </c>
      <c r="D234" s="704" t="s">
        <v>3261</v>
      </c>
      <c r="E234" s="704" t="s">
        <v>698</v>
      </c>
      <c r="F234" s="704" t="s">
        <v>1253</v>
      </c>
      <c r="G234" s="705" t="s">
        <v>794</v>
      </c>
      <c r="H234" s="704" t="s">
        <v>3266</v>
      </c>
      <c r="I234" s="706">
        <v>23</v>
      </c>
      <c r="J234" s="706">
        <v>115</v>
      </c>
      <c r="K234" s="707">
        <v>43282</v>
      </c>
      <c r="L234" s="708">
        <v>44012</v>
      </c>
      <c r="M234" s="706">
        <v>0</v>
      </c>
      <c r="N234" s="706">
        <v>0</v>
      </c>
      <c r="O234" s="773"/>
      <c r="P234" s="706"/>
      <c r="Q234" s="706"/>
      <c r="R234" s="706"/>
      <c r="S234" s="706"/>
      <c r="T234" s="706"/>
      <c r="U234" s="709"/>
      <c r="V234" s="706">
        <v>23</v>
      </c>
      <c r="W234" s="706"/>
      <c r="X234" s="706"/>
      <c r="Y234" s="706">
        <v>0</v>
      </c>
      <c r="Z234" s="706">
        <v>0</v>
      </c>
      <c r="AA234" s="706"/>
      <c r="AB234" s="706"/>
      <c r="AC234" s="709"/>
      <c r="AD234" s="706">
        <v>0</v>
      </c>
      <c r="AE234" s="706">
        <v>0</v>
      </c>
      <c r="AF234" s="706">
        <v>0</v>
      </c>
      <c r="AG234" s="706">
        <v>0</v>
      </c>
      <c r="AH234" s="706"/>
      <c r="AI234" s="706"/>
      <c r="AJ234" s="773">
        <v>15</v>
      </c>
      <c r="AK234" s="706"/>
      <c r="AL234" s="773">
        <v>17</v>
      </c>
      <c r="AM234" s="773"/>
      <c r="AN234" s="709"/>
      <c r="AO234" s="769"/>
      <c r="AP234" s="769"/>
      <c r="AQ234" s="773"/>
      <c r="AR234" s="773"/>
      <c r="AS234" s="773"/>
      <c r="AT234"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34" s="711">
        <f>WWWW[[#This Row],[%Equitable and continuous access to sufficient quantity of safe drinking water]]*WWWW[[#This Row],[Total PoP ]]</f>
        <v>0</v>
      </c>
      <c r="AV234"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4" s="711">
        <f>WWWW[[#This Row],[% Access to unimproved water points]]*WWWW[[#This Row],[Total PoP ]]</f>
        <v>0</v>
      </c>
      <c r="AX234"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34"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34" s="711">
        <f>WWWW[[#This Row],[HRP1]]/250</f>
        <v>0</v>
      </c>
      <c r="BA234" s="713">
        <f>1-WWWW[[#This Row],[% Equitable and continuous access to sufficient quantity of domestic water]]</f>
        <v>1</v>
      </c>
      <c r="BB234" s="711">
        <f>WWWW[[#This Row],[%equitable and continuous access to sufficient quantity of safe drinking and domestic water''s GAP]]*WWWW[[#This Row],[Total PoP ]]</f>
        <v>115</v>
      </c>
      <c r="BC234" s="714">
        <f>IF(WWWW[[#This Row],[Total required water points]]-WWWW[[#This Row],['#Water points coverage]]&lt;0,0,WWWW[[#This Row],[Total required water points]]-WWWW[[#This Row],['#Water points coverage]])</f>
        <v>1</v>
      </c>
      <c r="BD234" s="714">
        <f>ROUND(IF(WWWW[[#This Row],[Total PoP ]]&lt;250,1,WWWW[[#This Row],[Total PoP ]]/250),0)</f>
        <v>1</v>
      </c>
      <c r="BE23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34" s="711">
        <f>WWWW[[#This Row],[% people access to functioning Latrine]]*WWWW[[#This Row],[Total PoP ]]</f>
        <v>115</v>
      </c>
      <c r="BG234" s="714">
        <f>WWWW[[#This Row],['#_of_Functioning_latrines_in_school]]*50</f>
        <v>0</v>
      </c>
      <c r="BH234" s="714">
        <f>ROUND((WWWW[[#This Row],[Total PoP ]]/6),0)</f>
        <v>19</v>
      </c>
      <c r="BI234" s="714">
        <f>IF(WWWW[[#This Row],[Total required Latrines]]-(WWWW[[#This Row],['#_of_sanitary_fly-proof_HH_latrines]])&lt;0,0,WWWW[[#This Row],[Total required Latrines]]-(WWWW[[#This Row],['#_of_sanitary_fly-proof_HH_latrines]]))</f>
        <v>0</v>
      </c>
      <c r="BJ234" s="710">
        <f>1-WWWW[[#This Row],[% people access to functioning Latrine]]</f>
        <v>0</v>
      </c>
      <c r="BK234"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4" s="772">
        <f>IF(WWWW[[#This Row],['#_of_functional_handwashing_facilities_at_HH_level]]*6&gt;WWWW[[#This Row],[Total PoP ]],WWWW[[#This Row],[Total PoP ]],WWWW[[#This Row],['#_of_functional_handwashing_facilities_at_HH_level]]*6)</f>
        <v>90</v>
      </c>
      <c r="BM234" s="714">
        <f>IF(WWWW[[#This Row],['# people reached by regular dedicated hygiene promotion]]&gt;WWWW[[#This Row],['# People received regular supply of hygiene items]],WWWW[[#This Row],['# people reached by regular dedicated hygiene promotion]],WWWW[[#This Row],['# People received regular supply of hygiene items]])</f>
        <v>102</v>
      </c>
      <c r="BN234" s="713">
        <f>IF(WWWW[[#This Row],[HRP3]]/WWWW[[#This Row],[Total PoP ]]&gt;100%,100%,WWWW[[#This Row],[HRP3]]/WWWW[[#This Row],[Total PoP ]])</f>
        <v>0.88695652173913042</v>
      </c>
      <c r="BO234" s="710">
        <f>1-WWWW[[#This Row],[Hygiene Coverage%]]</f>
        <v>0.11304347826086958</v>
      </c>
      <c r="BP234" s="712">
        <f>WWWW[[#This Row],['# people reached by regular dedicated hygiene promotion]]/WWWW[[#This Row],[Total PoP ]]</f>
        <v>0</v>
      </c>
      <c r="BQ23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102</v>
      </c>
      <c r="BR234" s="770">
        <f>WWWW[[#This Row],['#_of_affected_women_and_girls_receiving_a_sufficient_quantity_of_sanitary_pads]]</f>
        <v>0</v>
      </c>
      <c r="BS234" s="773">
        <f>IF(WWWW[[#This Row],['# People with access to soap]]&gt;WWWW[[#This Row],['# People with access to Sanity Pads]],WWWW[[#This Row],['# People with access to soap]],WWWW[[#This Row],['# People with access to Sanity Pads]])</f>
        <v>102</v>
      </c>
      <c r="BT234" s="772" t="str">
        <f>IF(OR(WWWW[[#This Row],['#of students in school]]="",WWWW[[#This Row],['#of students in school]]=0),"No","Yes")</f>
        <v>No</v>
      </c>
      <c r="BU234" s="705" t="str">
        <f>VLOOKUP(WWWW[[#This Row],[Village  Name]],SiteDB6[[Site Name]:[Location Type 1]],9,FALSE)</f>
        <v>Village</v>
      </c>
      <c r="BV234" s="705" t="str">
        <f>VLOOKUP(WWWW[[#This Row],[Village  Name]],SiteDB6[[Site Name]:[Type of Accommodation]],10,FALSE)</f>
        <v>Village</v>
      </c>
      <c r="BW234" s="705">
        <f>VLOOKUP(WWWW[[#This Row],[Village  Name]],SiteDB6[[Site Name]:[Ethnic or GCA/NGCA]],11,FALSE)</f>
        <v>0</v>
      </c>
      <c r="BX234" s="705">
        <f>VLOOKUP(WWWW[[#This Row],[Village  Name]],SiteDB6[[Site Name]:[Lat]],12,FALSE)</f>
        <v>0</v>
      </c>
      <c r="BY234" s="705">
        <f>VLOOKUP(WWWW[[#This Row],[Village  Name]],SiteDB6[[Site Name]:[Long]],13,FALSE)</f>
        <v>0</v>
      </c>
      <c r="BZ234" s="705">
        <f>VLOOKUP(WWWW[[#This Row],[Village  Name]],SiteDB6[[Site Name]:[Pcode]],3,FALSE)</f>
        <v>0</v>
      </c>
      <c r="CA234" s="705" t="str">
        <f t="shared" si="14"/>
        <v>Covered</v>
      </c>
      <c r="CB234" s="715"/>
      <c r="CC234" s="765"/>
      <c r="CD234" s="766"/>
      <c r="CE234" s="766"/>
      <c r="CF234" s="763"/>
      <c r="CG234" s="766"/>
      <c r="CH234" s="767"/>
      <c r="CI234" s="767"/>
      <c r="CJ234" s="768"/>
      <c r="CK234" s="768"/>
      <c r="CL234" s="768"/>
      <c r="CM234" s="768"/>
      <c r="CN234" s="768"/>
      <c r="CO234" s="768"/>
      <c r="CP234" s="768"/>
      <c r="CQ234" s="768"/>
      <c r="CR234" s="768"/>
    </row>
    <row r="235" spans="1:96" s="764" customFormat="1">
      <c r="A235" s="774" t="s">
        <v>3199</v>
      </c>
      <c r="B235" s="703" t="s">
        <v>3232</v>
      </c>
      <c r="C235" s="704" t="s">
        <v>3232</v>
      </c>
      <c r="D235" s="704" t="s">
        <v>3261</v>
      </c>
      <c r="E235" s="704" t="s">
        <v>698</v>
      </c>
      <c r="F235" s="704" t="s">
        <v>1253</v>
      </c>
      <c r="G235" s="705" t="s">
        <v>794</v>
      </c>
      <c r="H235" s="704" t="s">
        <v>3267</v>
      </c>
      <c r="I235" s="706">
        <v>47</v>
      </c>
      <c r="J235" s="706">
        <v>260</v>
      </c>
      <c r="K235" s="707">
        <v>43282</v>
      </c>
      <c r="L235" s="708">
        <v>44012</v>
      </c>
      <c r="M235" s="706">
        <v>0</v>
      </c>
      <c r="N235" s="706">
        <v>0</v>
      </c>
      <c r="O235" s="773">
        <v>1</v>
      </c>
      <c r="P235" s="706"/>
      <c r="Q235" s="706"/>
      <c r="R235" s="706"/>
      <c r="S235" s="706"/>
      <c r="T235" s="706"/>
      <c r="U235" s="709"/>
      <c r="V235" s="706">
        <v>30</v>
      </c>
      <c r="W235" s="706"/>
      <c r="X235" s="706"/>
      <c r="Y235" s="706">
        <v>0</v>
      </c>
      <c r="Z235" s="706">
        <v>0</v>
      </c>
      <c r="AA235" s="706"/>
      <c r="AB235" s="706"/>
      <c r="AC235" s="709"/>
      <c r="AD235" s="706">
        <v>0</v>
      </c>
      <c r="AE235" s="706">
        <v>0</v>
      </c>
      <c r="AF235" s="706">
        <v>0</v>
      </c>
      <c r="AG235" s="706">
        <v>0</v>
      </c>
      <c r="AH235" s="706"/>
      <c r="AI235" s="706"/>
      <c r="AJ235" s="773">
        <v>20</v>
      </c>
      <c r="AK235" s="706"/>
      <c r="AL235" s="773">
        <v>19</v>
      </c>
      <c r="AM235" s="773"/>
      <c r="AN235" s="709"/>
      <c r="AO235" s="769"/>
      <c r="AP235" s="769"/>
      <c r="AQ235" s="773"/>
      <c r="AR235" s="773"/>
      <c r="AS235" s="773"/>
      <c r="AT235"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35" s="711">
        <f>WWWW[[#This Row],[%Equitable and continuous access to sufficient quantity of safe drinking water]]*WWWW[[#This Row],[Total PoP ]]</f>
        <v>260</v>
      </c>
      <c r="AV235"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5" s="711">
        <f>WWWW[[#This Row],[% Access to unimproved water points]]*WWWW[[#This Row],[Total PoP ]]</f>
        <v>0</v>
      </c>
      <c r="AX235"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35"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260</v>
      </c>
      <c r="AZ235" s="711">
        <f>WWWW[[#This Row],[HRP1]]/250</f>
        <v>1.04</v>
      </c>
      <c r="BA235" s="713">
        <f>1-WWWW[[#This Row],[% Equitable and continuous access to sufficient quantity of domestic water]]</f>
        <v>0</v>
      </c>
      <c r="BB235" s="711">
        <f>WWWW[[#This Row],[%equitable and continuous access to sufficient quantity of safe drinking and domestic water''s GAP]]*WWWW[[#This Row],[Total PoP ]]</f>
        <v>0</v>
      </c>
      <c r="BC235" s="714">
        <f>IF(WWWW[[#This Row],[Total required water points]]-WWWW[[#This Row],['#Water points coverage]]&lt;0,0,WWWW[[#This Row],[Total required water points]]-WWWW[[#This Row],['#Water points coverage]])</f>
        <v>0</v>
      </c>
      <c r="BD235" s="714">
        <f>ROUND(IF(WWWW[[#This Row],[Total PoP ]]&lt;250,1,WWWW[[#This Row],[Total PoP ]]/250),0)</f>
        <v>1</v>
      </c>
      <c r="BE23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0.69230769230769229</v>
      </c>
      <c r="BF235" s="711">
        <f>WWWW[[#This Row],[% people access to functioning Latrine]]*WWWW[[#This Row],[Total PoP ]]</f>
        <v>180</v>
      </c>
      <c r="BG235" s="714">
        <f>WWWW[[#This Row],['#_of_Functioning_latrines_in_school]]*50</f>
        <v>0</v>
      </c>
      <c r="BH235" s="714">
        <f>ROUND((WWWW[[#This Row],[Total PoP ]]/6),0)</f>
        <v>43</v>
      </c>
      <c r="BI235" s="714">
        <f>IF(WWWW[[#This Row],[Total required Latrines]]-(WWWW[[#This Row],['#_of_sanitary_fly-proof_HH_latrines]])&lt;0,0,WWWW[[#This Row],[Total required Latrines]]-(WWWW[[#This Row],['#_of_sanitary_fly-proof_HH_latrines]]))</f>
        <v>13</v>
      </c>
      <c r="BJ235" s="710">
        <f>1-WWWW[[#This Row],[% people access to functioning Latrine]]</f>
        <v>0.30769230769230771</v>
      </c>
      <c r="BK235"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5" s="772">
        <f>IF(WWWW[[#This Row],['#_of_functional_handwashing_facilities_at_HH_level]]*6&gt;WWWW[[#This Row],[Total PoP ]],WWWW[[#This Row],[Total PoP ]],WWWW[[#This Row],['#_of_functional_handwashing_facilities_at_HH_level]]*6)</f>
        <v>120</v>
      </c>
      <c r="BM235" s="714">
        <f>IF(WWWW[[#This Row],['# people reached by regular dedicated hygiene promotion]]&gt;WWWW[[#This Row],['# People received regular supply of hygiene items]],WWWW[[#This Row],['# people reached by regular dedicated hygiene promotion]],WWWW[[#This Row],['# People received regular supply of hygiene items]])</f>
        <v>114</v>
      </c>
      <c r="BN235" s="713">
        <f>IF(WWWW[[#This Row],[HRP3]]/WWWW[[#This Row],[Total PoP ]]&gt;100%,100%,WWWW[[#This Row],[HRP3]]/WWWW[[#This Row],[Total PoP ]])</f>
        <v>0.43846153846153846</v>
      </c>
      <c r="BO235" s="710">
        <f>1-WWWW[[#This Row],[Hygiene Coverage%]]</f>
        <v>0.56153846153846154</v>
      </c>
      <c r="BP235" s="712">
        <f>WWWW[[#This Row],['# people reached by regular dedicated hygiene promotion]]/WWWW[[#This Row],[Total PoP ]]</f>
        <v>0</v>
      </c>
      <c r="BQ23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114</v>
      </c>
      <c r="BR235" s="770">
        <f>WWWW[[#This Row],['#_of_affected_women_and_girls_receiving_a_sufficient_quantity_of_sanitary_pads]]</f>
        <v>0</v>
      </c>
      <c r="BS235" s="773">
        <f>IF(WWWW[[#This Row],['# People with access to soap]]&gt;WWWW[[#This Row],['# People with access to Sanity Pads]],WWWW[[#This Row],['# People with access to soap]],WWWW[[#This Row],['# People with access to Sanity Pads]])</f>
        <v>114</v>
      </c>
      <c r="BT235" s="772" t="str">
        <f>IF(OR(WWWW[[#This Row],['#of students in school]]="",WWWW[[#This Row],['#of students in school]]=0),"No","Yes")</f>
        <v>No</v>
      </c>
      <c r="BU235" s="705" t="str">
        <f>VLOOKUP(WWWW[[#This Row],[Village  Name]],SiteDB6[[Site Name]:[Location Type 1]],9,FALSE)</f>
        <v>Village</v>
      </c>
      <c r="BV235" s="705" t="str">
        <f>VLOOKUP(WWWW[[#This Row],[Village  Name]],SiteDB6[[Site Name]:[Type of Accommodation]],10,FALSE)</f>
        <v>Village</v>
      </c>
      <c r="BW235" s="705">
        <f>VLOOKUP(WWWW[[#This Row],[Village  Name]],SiteDB6[[Site Name]:[Ethnic or GCA/NGCA]],11,FALSE)</f>
        <v>0</v>
      </c>
      <c r="BX235" s="705">
        <f>VLOOKUP(WWWW[[#This Row],[Village  Name]],SiteDB6[[Site Name]:[Lat]],12,FALSE)</f>
        <v>0</v>
      </c>
      <c r="BY235" s="705">
        <f>VLOOKUP(WWWW[[#This Row],[Village  Name]],SiteDB6[[Site Name]:[Long]],13,FALSE)</f>
        <v>0</v>
      </c>
      <c r="BZ235" s="705">
        <f>VLOOKUP(WWWW[[#This Row],[Village  Name]],SiteDB6[[Site Name]:[Pcode]],3,FALSE)</f>
        <v>0</v>
      </c>
      <c r="CA235" s="705" t="str">
        <f t="shared" ref="CA235:CA238" si="15">IF(C235="none","Notcovered","Covered")</f>
        <v>Covered</v>
      </c>
      <c r="CB235" s="715"/>
      <c r="CC235" s="765"/>
      <c r="CD235" s="766"/>
      <c r="CE235" s="766"/>
      <c r="CF235" s="763"/>
      <c r="CG235" s="766"/>
      <c r="CH235" s="767"/>
      <c r="CI235" s="767"/>
      <c r="CJ235" s="768"/>
      <c r="CK235" s="768"/>
      <c r="CL235" s="768"/>
      <c r="CM235" s="768"/>
      <c r="CN235" s="768"/>
      <c r="CO235" s="768"/>
      <c r="CP235" s="768"/>
      <c r="CQ235" s="768"/>
      <c r="CR235" s="768"/>
    </row>
    <row r="236" spans="1:96" s="764" customFormat="1">
      <c r="A236" s="774" t="s">
        <v>3199</v>
      </c>
      <c r="B236" s="703" t="s">
        <v>3232</v>
      </c>
      <c r="C236" s="704" t="s">
        <v>3232</v>
      </c>
      <c r="D236" s="704" t="s">
        <v>3261</v>
      </c>
      <c r="E236" s="704" t="s">
        <v>698</v>
      </c>
      <c r="F236" s="704" t="s">
        <v>1253</v>
      </c>
      <c r="G236" s="705" t="s">
        <v>794</v>
      </c>
      <c r="H236" s="704" t="s">
        <v>3268</v>
      </c>
      <c r="I236" s="706">
        <v>60</v>
      </c>
      <c r="J236" s="706">
        <v>330</v>
      </c>
      <c r="K236" s="707">
        <v>43282</v>
      </c>
      <c r="L236" s="708">
        <v>44012</v>
      </c>
      <c r="M236" s="706">
        <v>0</v>
      </c>
      <c r="N236" s="706">
        <v>0</v>
      </c>
      <c r="O236" s="773"/>
      <c r="P236" s="706"/>
      <c r="Q236" s="706"/>
      <c r="R236" s="706"/>
      <c r="S236" s="706"/>
      <c r="T236" s="706"/>
      <c r="U236" s="709"/>
      <c r="V236" s="706">
        <v>60</v>
      </c>
      <c r="W236" s="706"/>
      <c r="X236" s="706"/>
      <c r="Y236" s="706">
        <v>0</v>
      </c>
      <c r="Z236" s="706">
        <v>0</v>
      </c>
      <c r="AA236" s="706"/>
      <c r="AB236" s="706"/>
      <c r="AC236" s="709"/>
      <c r="AD236" s="706">
        <v>0</v>
      </c>
      <c r="AE236" s="706">
        <v>0</v>
      </c>
      <c r="AF236" s="706">
        <v>0</v>
      </c>
      <c r="AG236" s="706">
        <v>0</v>
      </c>
      <c r="AH236" s="706"/>
      <c r="AI236" s="706"/>
      <c r="AJ236" s="773">
        <v>32</v>
      </c>
      <c r="AK236" s="706"/>
      <c r="AL236" s="773">
        <v>31</v>
      </c>
      <c r="AM236" s="773"/>
      <c r="AN236" s="709"/>
      <c r="AO236" s="769"/>
      <c r="AP236" s="769"/>
      <c r="AQ236" s="773"/>
      <c r="AR236" s="773"/>
      <c r="AS236" s="773"/>
      <c r="AT236"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36" s="711">
        <f>WWWW[[#This Row],[%Equitable and continuous access to sufficient quantity of safe drinking water]]*WWWW[[#This Row],[Total PoP ]]</f>
        <v>0</v>
      </c>
      <c r="AV236"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6" s="711">
        <f>WWWW[[#This Row],[% Access to unimproved water points]]*WWWW[[#This Row],[Total PoP ]]</f>
        <v>0</v>
      </c>
      <c r="AX236"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36"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36" s="711">
        <f>WWWW[[#This Row],[HRP1]]/250</f>
        <v>0</v>
      </c>
      <c r="BA236" s="713">
        <f>1-WWWW[[#This Row],[% Equitable and continuous access to sufficient quantity of domestic water]]</f>
        <v>1</v>
      </c>
      <c r="BB236" s="711">
        <f>WWWW[[#This Row],[%equitable and continuous access to sufficient quantity of safe drinking and domestic water''s GAP]]*WWWW[[#This Row],[Total PoP ]]</f>
        <v>330</v>
      </c>
      <c r="BC236" s="714">
        <f>IF(WWWW[[#This Row],[Total required water points]]-WWWW[[#This Row],['#Water points coverage]]&lt;0,0,WWWW[[#This Row],[Total required water points]]-WWWW[[#This Row],['#Water points coverage]])</f>
        <v>1</v>
      </c>
      <c r="BD236" s="714">
        <f>ROUND(IF(WWWW[[#This Row],[Total PoP ]]&lt;250,1,WWWW[[#This Row],[Total PoP ]]/250),0)</f>
        <v>1</v>
      </c>
      <c r="BE23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36" s="711">
        <f>WWWW[[#This Row],[% people access to functioning Latrine]]*WWWW[[#This Row],[Total PoP ]]</f>
        <v>330</v>
      </c>
      <c r="BG236" s="714">
        <f>WWWW[[#This Row],['#_of_Functioning_latrines_in_school]]*50</f>
        <v>0</v>
      </c>
      <c r="BH236" s="714">
        <f>ROUND((WWWW[[#This Row],[Total PoP ]]/6),0)</f>
        <v>55</v>
      </c>
      <c r="BI236" s="714">
        <f>IF(WWWW[[#This Row],[Total required Latrines]]-(WWWW[[#This Row],['#_of_sanitary_fly-proof_HH_latrines]])&lt;0,0,WWWW[[#This Row],[Total required Latrines]]-(WWWW[[#This Row],['#_of_sanitary_fly-proof_HH_latrines]]))</f>
        <v>0</v>
      </c>
      <c r="BJ236" s="710">
        <f>1-WWWW[[#This Row],[% people access to functioning Latrine]]</f>
        <v>0</v>
      </c>
      <c r="BK236"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6" s="772">
        <f>IF(WWWW[[#This Row],['#_of_functional_handwashing_facilities_at_HH_level]]*6&gt;WWWW[[#This Row],[Total PoP ]],WWWW[[#This Row],[Total PoP ]],WWWW[[#This Row],['#_of_functional_handwashing_facilities_at_HH_level]]*6)</f>
        <v>192</v>
      </c>
      <c r="BM236" s="714">
        <f>IF(WWWW[[#This Row],['# people reached by regular dedicated hygiene promotion]]&gt;WWWW[[#This Row],['# People received regular supply of hygiene items]],WWWW[[#This Row],['# people reached by regular dedicated hygiene promotion]],WWWW[[#This Row],['# People received regular supply of hygiene items]])</f>
        <v>186</v>
      </c>
      <c r="BN236" s="713">
        <f>IF(WWWW[[#This Row],[HRP3]]/WWWW[[#This Row],[Total PoP ]]&gt;100%,100%,WWWW[[#This Row],[HRP3]]/WWWW[[#This Row],[Total PoP ]])</f>
        <v>0.5636363636363636</v>
      </c>
      <c r="BO236" s="710">
        <f>1-WWWW[[#This Row],[Hygiene Coverage%]]</f>
        <v>0.4363636363636364</v>
      </c>
      <c r="BP236" s="712">
        <f>WWWW[[#This Row],['# people reached by regular dedicated hygiene promotion]]/WWWW[[#This Row],[Total PoP ]]</f>
        <v>0</v>
      </c>
      <c r="BQ23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186</v>
      </c>
      <c r="BR236" s="770">
        <f>WWWW[[#This Row],['#_of_affected_women_and_girls_receiving_a_sufficient_quantity_of_sanitary_pads]]</f>
        <v>0</v>
      </c>
      <c r="BS236" s="773">
        <f>IF(WWWW[[#This Row],['# People with access to soap]]&gt;WWWW[[#This Row],['# People with access to Sanity Pads]],WWWW[[#This Row],['# People with access to soap]],WWWW[[#This Row],['# People with access to Sanity Pads]])</f>
        <v>186</v>
      </c>
      <c r="BT236" s="772" t="str">
        <f>IF(OR(WWWW[[#This Row],['#of students in school]]="",WWWW[[#This Row],['#of students in school]]=0),"No","Yes")</f>
        <v>No</v>
      </c>
      <c r="BU236" s="705" t="str">
        <f>VLOOKUP(WWWW[[#This Row],[Village  Name]],SiteDB6[[Site Name]:[Location Type 1]],9,FALSE)</f>
        <v>Village</v>
      </c>
      <c r="BV236" s="705" t="str">
        <f>VLOOKUP(WWWW[[#This Row],[Village  Name]],SiteDB6[[Site Name]:[Type of Accommodation]],10,FALSE)</f>
        <v>Village</v>
      </c>
      <c r="BW236" s="705">
        <f>VLOOKUP(WWWW[[#This Row],[Village  Name]],SiteDB6[[Site Name]:[Ethnic or GCA/NGCA]],11,FALSE)</f>
        <v>0</v>
      </c>
      <c r="BX236" s="705">
        <f>VLOOKUP(WWWW[[#This Row],[Village  Name]],SiteDB6[[Site Name]:[Lat]],12,FALSE)</f>
        <v>0</v>
      </c>
      <c r="BY236" s="705">
        <f>VLOOKUP(WWWW[[#This Row],[Village  Name]],SiteDB6[[Site Name]:[Long]],13,FALSE)</f>
        <v>0</v>
      </c>
      <c r="BZ236" s="705">
        <f>VLOOKUP(WWWW[[#This Row],[Village  Name]],SiteDB6[[Site Name]:[Pcode]],3,FALSE)</f>
        <v>0</v>
      </c>
      <c r="CA236" s="705" t="str">
        <f t="shared" si="15"/>
        <v>Covered</v>
      </c>
      <c r="CB236" s="715"/>
      <c r="CC236" s="765"/>
      <c r="CD236" s="766"/>
      <c r="CE236" s="766"/>
      <c r="CF236" s="763"/>
      <c r="CG236" s="766"/>
      <c r="CH236" s="767"/>
      <c r="CI236" s="767"/>
      <c r="CJ236" s="768"/>
      <c r="CK236" s="768"/>
      <c r="CL236" s="768"/>
      <c r="CM236" s="768"/>
      <c r="CN236" s="768"/>
      <c r="CO236" s="768"/>
      <c r="CP236" s="768"/>
      <c r="CQ236" s="768"/>
      <c r="CR236" s="768"/>
    </row>
    <row r="237" spans="1:96" s="764" customFormat="1">
      <c r="A237" s="774" t="s">
        <v>3199</v>
      </c>
      <c r="B237" s="703" t="s">
        <v>3232</v>
      </c>
      <c r="C237" s="704" t="s">
        <v>3232</v>
      </c>
      <c r="D237" s="704" t="s">
        <v>3261</v>
      </c>
      <c r="E237" s="704" t="s">
        <v>698</v>
      </c>
      <c r="F237" s="704" t="s">
        <v>1253</v>
      </c>
      <c r="G237" s="705" t="s">
        <v>794</v>
      </c>
      <c r="H237" s="704" t="s">
        <v>3269</v>
      </c>
      <c r="I237" s="706">
        <v>40</v>
      </c>
      <c r="J237" s="706">
        <v>170</v>
      </c>
      <c r="K237" s="707">
        <v>43282</v>
      </c>
      <c r="L237" s="708">
        <v>44012</v>
      </c>
      <c r="M237" s="706">
        <v>0</v>
      </c>
      <c r="N237" s="706">
        <v>0</v>
      </c>
      <c r="O237" s="773"/>
      <c r="P237" s="706"/>
      <c r="Q237" s="706"/>
      <c r="R237" s="706"/>
      <c r="S237" s="706"/>
      <c r="T237" s="706"/>
      <c r="U237" s="709"/>
      <c r="V237" s="706">
        <v>40</v>
      </c>
      <c r="W237" s="706"/>
      <c r="X237" s="706"/>
      <c r="Y237" s="706">
        <v>2</v>
      </c>
      <c r="Z237" s="706">
        <v>0</v>
      </c>
      <c r="AA237" s="706"/>
      <c r="AB237" s="706"/>
      <c r="AC237" s="709"/>
      <c r="AD237" s="706">
        <v>0</v>
      </c>
      <c r="AE237" s="706">
        <v>0</v>
      </c>
      <c r="AF237" s="706">
        <v>0</v>
      </c>
      <c r="AG237" s="706">
        <v>0</v>
      </c>
      <c r="AH237" s="706"/>
      <c r="AI237" s="706"/>
      <c r="AJ237" s="773">
        <v>21</v>
      </c>
      <c r="AK237" s="706"/>
      <c r="AL237" s="773">
        <v>23</v>
      </c>
      <c r="AM237" s="773"/>
      <c r="AN237" s="709"/>
      <c r="AO237" s="769"/>
      <c r="AP237" s="769"/>
      <c r="AQ237" s="773"/>
      <c r="AR237" s="773"/>
      <c r="AS237" s="773"/>
      <c r="AT237"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37" s="711">
        <f>WWWW[[#This Row],[%Equitable and continuous access to sufficient quantity of safe drinking water]]*WWWW[[#This Row],[Total PoP ]]</f>
        <v>0</v>
      </c>
      <c r="AV237"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7" s="711">
        <f>WWWW[[#This Row],[% Access to unimproved water points]]*WWWW[[#This Row],[Total PoP ]]</f>
        <v>0</v>
      </c>
      <c r="AX237"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37"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37" s="711">
        <f>WWWW[[#This Row],[HRP1]]/250</f>
        <v>0</v>
      </c>
      <c r="BA237" s="713">
        <f>1-WWWW[[#This Row],[% Equitable and continuous access to sufficient quantity of domestic water]]</f>
        <v>1</v>
      </c>
      <c r="BB237" s="711">
        <f>WWWW[[#This Row],[%equitable and continuous access to sufficient quantity of safe drinking and domestic water''s GAP]]*WWWW[[#This Row],[Total PoP ]]</f>
        <v>170</v>
      </c>
      <c r="BC237" s="714">
        <f>IF(WWWW[[#This Row],[Total required water points]]-WWWW[[#This Row],['#Water points coverage]]&lt;0,0,WWWW[[#This Row],[Total required water points]]-WWWW[[#This Row],['#Water points coverage]])</f>
        <v>1</v>
      </c>
      <c r="BD237" s="714">
        <f>ROUND(IF(WWWW[[#This Row],[Total PoP ]]&lt;250,1,WWWW[[#This Row],[Total PoP ]]/250),0)</f>
        <v>1</v>
      </c>
      <c r="BE23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37" s="711">
        <f>WWWW[[#This Row],[% people access to functioning Latrine]]*WWWW[[#This Row],[Total PoP ]]</f>
        <v>170</v>
      </c>
      <c r="BG237" s="714">
        <f>WWWW[[#This Row],['#_of_Functioning_latrines_in_school]]*50</f>
        <v>0</v>
      </c>
      <c r="BH237" s="714">
        <f>ROUND((WWWW[[#This Row],[Total PoP ]]/6),0)</f>
        <v>28</v>
      </c>
      <c r="BI237" s="714">
        <f>IF(WWWW[[#This Row],[Total required Latrines]]-(WWWW[[#This Row],['#_of_sanitary_fly-proof_HH_latrines]])&lt;0,0,WWWW[[#This Row],[Total required Latrines]]-(WWWW[[#This Row],['#_of_sanitary_fly-proof_HH_latrines]]))</f>
        <v>0</v>
      </c>
      <c r="BJ237" s="710">
        <f>1-WWWW[[#This Row],[% people access to functioning Latrine]]</f>
        <v>0</v>
      </c>
      <c r="BK237"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7" s="772">
        <f>IF(WWWW[[#This Row],['#_of_functional_handwashing_facilities_at_HH_level]]*6&gt;WWWW[[#This Row],[Total PoP ]],WWWW[[#This Row],[Total PoP ]],WWWW[[#This Row],['#_of_functional_handwashing_facilities_at_HH_level]]*6)</f>
        <v>126</v>
      </c>
      <c r="BM237" s="714">
        <f>IF(WWWW[[#This Row],['# people reached by regular dedicated hygiene promotion]]&gt;WWWW[[#This Row],['# People received regular supply of hygiene items]],WWWW[[#This Row],['# people reached by regular dedicated hygiene promotion]],WWWW[[#This Row],['# People received regular supply of hygiene items]])</f>
        <v>138</v>
      </c>
      <c r="BN237" s="713">
        <f>IF(WWWW[[#This Row],[HRP3]]/WWWW[[#This Row],[Total PoP ]]&gt;100%,100%,WWWW[[#This Row],[HRP3]]/WWWW[[#This Row],[Total PoP ]])</f>
        <v>0.81176470588235294</v>
      </c>
      <c r="BO237" s="710">
        <f>1-WWWW[[#This Row],[Hygiene Coverage%]]</f>
        <v>0.18823529411764706</v>
      </c>
      <c r="BP237" s="712">
        <f>WWWW[[#This Row],['# people reached by regular dedicated hygiene promotion]]/WWWW[[#This Row],[Total PoP ]]</f>
        <v>0</v>
      </c>
      <c r="BQ23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138</v>
      </c>
      <c r="BR237" s="770">
        <f>WWWW[[#This Row],['#_of_affected_women_and_girls_receiving_a_sufficient_quantity_of_sanitary_pads]]</f>
        <v>0</v>
      </c>
      <c r="BS237" s="773">
        <f>IF(WWWW[[#This Row],['# People with access to soap]]&gt;WWWW[[#This Row],['# People with access to Sanity Pads]],WWWW[[#This Row],['# People with access to soap]],WWWW[[#This Row],['# People with access to Sanity Pads]])</f>
        <v>138</v>
      </c>
      <c r="BT237" s="772" t="str">
        <f>IF(OR(WWWW[[#This Row],['#of students in school]]="",WWWW[[#This Row],['#of students in school]]=0),"No","Yes")</f>
        <v>No</v>
      </c>
      <c r="BU237" s="705" t="str">
        <f>VLOOKUP(WWWW[[#This Row],[Village  Name]],SiteDB6[[Site Name]:[Location Type 1]],9,FALSE)</f>
        <v>Village</v>
      </c>
      <c r="BV237" s="705" t="str">
        <f>VLOOKUP(WWWW[[#This Row],[Village  Name]],SiteDB6[[Site Name]:[Type of Accommodation]],10,FALSE)</f>
        <v>Village</v>
      </c>
      <c r="BW237" s="705">
        <f>VLOOKUP(WWWW[[#This Row],[Village  Name]],SiteDB6[[Site Name]:[Ethnic or GCA/NGCA]],11,FALSE)</f>
        <v>0</v>
      </c>
      <c r="BX237" s="705">
        <f>VLOOKUP(WWWW[[#This Row],[Village  Name]],SiteDB6[[Site Name]:[Lat]],12,FALSE)</f>
        <v>0</v>
      </c>
      <c r="BY237" s="705">
        <f>VLOOKUP(WWWW[[#This Row],[Village  Name]],SiteDB6[[Site Name]:[Long]],13,FALSE)</f>
        <v>0</v>
      </c>
      <c r="BZ237" s="705">
        <f>VLOOKUP(WWWW[[#This Row],[Village  Name]],SiteDB6[[Site Name]:[Pcode]],3,FALSE)</f>
        <v>0</v>
      </c>
      <c r="CA237" s="705" t="str">
        <f t="shared" si="15"/>
        <v>Covered</v>
      </c>
      <c r="CB237" s="715"/>
      <c r="CC237" s="765"/>
      <c r="CD237" s="766"/>
      <c r="CE237" s="766"/>
      <c r="CF237" s="763"/>
      <c r="CG237" s="766"/>
      <c r="CH237" s="767"/>
      <c r="CI237" s="767"/>
      <c r="CJ237" s="768"/>
      <c r="CK237" s="768"/>
      <c r="CL237" s="768"/>
      <c r="CM237" s="768"/>
      <c r="CN237" s="768"/>
      <c r="CO237" s="768"/>
      <c r="CP237" s="768"/>
      <c r="CQ237" s="768"/>
      <c r="CR237" s="768"/>
    </row>
    <row r="238" spans="1:96" s="764" customFormat="1">
      <c r="A238" s="774" t="s">
        <v>3199</v>
      </c>
      <c r="B238" s="703" t="s">
        <v>3232</v>
      </c>
      <c r="C238" s="704" t="s">
        <v>3232</v>
      </c>
      <c r="D238" s="704" t="s">
        <v>3261</v>
      </c>
      <c r="E238" s="704" t="s">
        <v>698</v>
      </c>
      <c r="F238" s="704" t="s">
        <v>1253</v>
      </c>
      <c r="G238" s="705" t="s">
        <v>794</v>
      </c>
      <c r="H238" s="704" t="s">
        <v>3270</v>
      </c>
      <c r="I238" s="706">
        <v>31</v>
      </c>
      <c r="J238" s="706">
        <v>156</v>
      </c>
      <c r="K238" s="707">
        <v>43282</v>
      </c>
      <c r="L238" s="708">
        <v>44012</v>
      </c>
      <c r="M238" s="706">
        <v>0</v>
      </c>
      <c r="N238" s="706">
        <v>0</v>
      </c>
      <c r="O238" s="773"/>
      <c r="P238" s="706"/>
      <c r="Q238" s="706"/>
      <c r="R238" s="706"/>
      <c r="S238" s="706"/>
      <c r="T238" s="706"/>
      <c r="U238" s="709"/>
      <c r="V238" s="706">
        <v>31</v>
      </c>
      <c r="W238" s="706"/>
      <c r="X238" s="706"/>
      <c r="Y238" s="706">
        <v>0</v>
      </c>
      <c r="Z238" s="706">
        <v>0</v>
      </c>
      <c r="AA238" s="706"/>
      <c r="AB238" s="706"/>
      <c r="AC238" s="709"/>
      <c r="AD238" s="706">
        <v>0</v>
      </c>
      <c r="AE238" s="706">
        <v>0</v>
      </c>
      <c r="AF238" s="706">
        <v>0</v>
      </c>
      <c r="AG238" s="706">
        <v>0</v>
      </c>
      <c r="AH238" s="706"/>
      <c r="AI238" s="706"/>
      <c r="AJ238" s="773">
        <v>14</v>
      </c>
      <c r="AK238" s="706"/>
      <c r="AL238" s="773">
        <v>15</v>
      </c>
      <c r="AM238" s="773"/>
      <c r="AN238" s="709"/>
      <c r="AO238" s="769"/>
      <c r="AP238" s="769"/>
      <c r="AQ238" s="773"/>
      <c r="AR238" s="773"/>
      <c r="AS238" s="773"/>
      <c r="AT238" s="710">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38" s="711">
        <f>WWWW[[#This Row],[%Equitable and continuous access to sufficient quantity of safe drinking water]]*WWWW[[#This Row],[Total PoP ]]</f>
        <v>0</v>
      </c>
      <c r="AV238" s="710">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8" s="711">
        <f>WWWW[[#This Row],[% Access to unimproved water points]]*WWWW[[#This Row],[Total PoP ]]</f>
        <v>0</v>
      </c>
      <c r="AX238" s="712">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38" s="711">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38" s="711">
        <f>WWWW[[#This Row],[HRP1]]/250</f>
        <v>0</v>
      </c>
      <c r="BA238" s="713">
        <f>1-WWWW[[#This Row],[% Equitable and continuous access to sufficient quantity of domestic water]]</f>
        <v>1</v>
      </c>
      <c r="BB238" s="711">
        <f>WWWW[[#This Row],[%equitable and continuous access to sufficient quantity of safe drinking and domestic water''s GAP]]*WWWW[[#This Row],[Total PoP ]]</f>
        <v>156</v>
      </c>
      <c r="BC238" s="714">
        <f>IF(WWWW[[#This Row],[Total required water points]]-WWWW[[#This Row],['#Water points coverage]]&lt;0,0,WWWW[[#This Row],[Total required water points]]-WWWW[[#This Row],['#Water points coverage]])</f>
        <v>1</v>
      </c>
      <c r="BD238" s="714">
        <f>ROUND(IF(WWWW[[#This Row],[Total PoP ]]&lt;250,1,WWWW[[#This Row],[Total PoP ]]/250),0)</f>
        <v>1</v>
      </c>
      <c r="BE23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38" s="711">
        <f>WWWW[[#This Row],[% people access to functioning Latrine]]*WWWW[[#This Row],[Total PoP ]]</f>
        <v>156</v>
      </c>
      <c r="BG238" s="714">
        <f>WWWW[[#This Row],['#_of_Functioning_latrines_in_school]]*50</f>
        <v>0</v>
      </c>
      <c r="BH238" s="714">
        <f>ROUND((WWWW[[#This Row],[Total PoP ]]/6),0)</f>
        <v>26</v>
      </c>
      <c r="BI238" s="714">
        <f>IF(WWWW[[#This Row],[Total required Latrines]]-(WWWW[[#This Row],['#_of_sanitary_fly-proof_HH_latrines]])&lt;0,0,WWWW[[#This Row],[Total required Latrines]]-(WWWW[[#This Row],['#_of_sanitary_fly-proof_HH_latrines]]))</f>
        <v>0</v>
      </c>
      <c r="BJ238" s="710">
        <f>1-WWWW[[#This Row],[% people access to functioning Latrine]]</f>
        <v>0</v>
      </c>
      <c r="BK238" s="711">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8" s="772">
        <f>IF(WWWW[[#This Row],['#_of_functional_handwashing_facilities_at_HH_level]]*6&gt;WWWW[[#This Row],[Total PoP ]],WWWW[[#This Row],[Total PoP ]],WWWW[[#This Row],['#_of_functional_handwashing_facilities_at_HH_level]]*6)</f>
        <v>84</v>
      </c>
      <c r="BM238" s="714">
        <f>IF(WWWW[[#This Row],['# people reached by regular dedicated hygiene promotion]]&gt;WWWW[[#This Row],['# People received regular supply of hygiene items]],WWWW[[#This Row],['# people reached by regular dedicated hygiene promotion]],WWWW[[#This Row],['# People received regular supply of hygiene items]])</f>
        <v>90</v>
      </c>
      <c r="BN238" s="713">
        <f>IF(WWWW[[#This Row],[HRP3]]/WWWW[[#This Row],[Total PoP ]]&gt;100%,100%,WWWW[[#This Row],[HRP3]]/WWWW[[#This Row],[Total PoP ]])</f>
        <v>0.57692307692307687</v>
      </c>
      <c r="BO238" s="710">
        <f>1-WWWW[[#This Row],[Hygiene Coverage%]]</f>
        <v>0.42307692307692313</v>
      </c>
      <c r="BP238" s="712">
        <f>WWWW[[#This Row],['# people reached by regular dedicated hygiene promotion]]/WWWW[[#This Row],[Total PoP ]]</f>
        <v>0</v>
      </c>
      <c r="BQ23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90</v>
      </c>
      <c r="BR238" s="770">
        <f>WWWW[[#This Row],['#_of_affected_women_and_girls_receiving_a_sufficient_quantity_of_sanitary_pads]]</f>
        <v>0</v>
      </c>
      <c r="BS238" s="773">
        <f>IF(WWWW[[#This Row],['# People with access to soap]]&gt;WWWW[[#This Row],['# People with access to Sanity Pads]],WWWW[[#This Row],['# People with access to soap]],WWWW[[#This Row],['# People with access to Sanity Pads]])</f>
        <v>90</v>
      </c>
      <c r="BT238" s="772" t="str">
        <f>IF(OR(WWWW[[#This Row],['#of students in school]]="",WWWW[[#This Row],['#of students in school]]=0),"No","Yes")</f>
        <v>No</v>
      </c>
      <c r="BU238" s="705" t="str">
        <f>VLOOKUP(WWWW[[#This Row],[Village  Name]],SiteDB6[[Site Name]:[Location Type 1]],9,FALSE)</f>
        <v>Village</v>
      </c>
      <c r="BV238" s="705" t="str">
        <f>VLOOKUP(WWWW[[#This Row],[Village  Name]],SiteDB6[[Site Name]:[Type of Accommodation]],10,FALSE)</f>
        <v>Village</v>
      </c>
      <c r="BW238" s="705">
        <f>VLOOKUP(WWWW[[#This Row],[Village  Name]],SiteDB6[[Site Name]:[Ethnic or GCA/NGCA]],11,FALSE)</f>
        <v>0</v>
      </c>
      <c r="BX238" s="705">
        <f>VLOOKUP(WWWW[[#This Row],[Village  Name]],SiteDB6[[Site Name]:[Lat]],12,FALSE)</f>
        <v>0</v>
      </c>
      <c r="BY238" s="705">
        <f>VLOOKUP(WWWW[[#This Row],[Village  Name]],SiteDB6[[Site Name]:[Long]],13,FALSE)</f>
        <v>0</v>
      </c>
      <c r="BZ238" s="705">
        <f>VLOOKUP(WWWW[[#This Row],[Village  Name]],SiteDB6[[Site Name]:[Pcode]],3,FALSE)</f>
        <v>0</v>
      </c>
      <c r="CA238" s="705" t="str">
        <f t="shared" si="15"/>
        <v>Covered</v>
      </c>
      <c r="CB238" s="715"/>
      <c r="CC238" s="765"/>
      <c r="CD238" s="766"/>
      <c r="CE238" s="766"/>
      <c r="CF238" s="763"/>
      <c r="CG238" s="766"/>
      <c r="CH238" s="767"/>
      <c r="CI238" s="767"/>
      <c r="CJ238" s="768"/>
      <c r="CK238" s="768"/>
      <c r="CL238" s="768"/>
      <c r="CM238" s="768"/>
      <c r="CN238" s="768"/>
      <c r="CO238" s="768"/>
      <c r="CP238" s="768"/>
      <c r="CQ238" s="768"/>
      <c r="CR238" s="768"/>
    </row>
    <row r="239" spans="1:96">
      <c r="A239" s="727" t="s">
        <v>3199</v>
      </c>
      <c r="B239" s="727" t="s">
        <v>2994</v>
      </c>
      <c r="C239" s="727" t="s">
        <v>2994</v>
      </c>
      <c r="D239" s="728" t="s">
        <v>704</v>
      </c>
      <c r="E239" s="643" t="s">
        <v>698</v>
      </c>
      <c r="F239" s="728" t="s">
        <v>1255</v>
      </c>
      <c r="G239" s="782" t="str">
        <f>VLOOKUP(WWWW[[#This Row],[Village  Name]],SiteDB6[[Site Name]:[Location Type]],8,FALSE)</f>
        <v>Village</v>
      </c>
      <c r="H239" s="728" t="s">
        <v>3104</v>
      </c>
      <c r="I239" s="775">
        <v>472</v>
      </c>
      <c r="J239" s="775">
        <v>2624</v>
      </c>
      <c r="K239" s="784" t="s">
        <v>3272</v>
      </c>
      <c r="L239" s="785" t="s">
        <v>3273</v>
      </c>
      <c r="M239" s="775">
        <v>327</v>
      </c>
      <c r="N239" s="775"/>
      <c r="O239" s="773"/>
      <c r="P239" s="775">
        <v>50</v>
      </c>
      <c r="Q239" s="775"/>
      <c r="R239" s="775"/>
      <c r="S239" s="775"/>
      <c r="T239" s="775"/>
      <c r="U239" s="776"/>
      <c r="V239" s="775">
        <v>93</v>
      </c>
      <c r="W239" s="775"/>
      <c r="X239" s="775"/>
      <c r="Y239" s="775"/>
      <c r="Z239" s="775">
        <v>93</v>
      </c>
      <c r="AA239" s="775"/>
      <c r="AB239" s="775"/>
      <c r="AC239" s="776"/>
      <c r="AD239" s="775"/>
      <c r="AE239" s="775"/>
      <c r="AF239" s="775"/>
      <c r="AG239" s="775"/>
      <c r="AH239" s="775"/>
      <c r="AI239" s="775"/>
      <c r="AJ239" s="773"/>
      <c r="AK239" s="775"/>
      <c r="AL239" s="773"/>
      <c r="AM239" s="773"/>
      <c r="AN239" s="776"/>
      <c r="AO239" s="769"/>
      <c r="AP239" s="769"/>
      <c r="AQ239" s="773"/>
      <c r="AR239" s="773"/>
      <c r="AS239" s="773"/>
      <c r="AT23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39" s="779">
        <f>WWWW[[#This Row],[%Equitable and continuous access to sufficient quantity of safe drinking water]]*WWWW[[#This Row],[Total PoP ]]</f>
        <v>2624</v>
      </c>
      <c r="AV23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39" s="779">
        <f>WWWW[[#This Row],[% Access to unimproved water points]]*WWWW[[#This Row],[Total PoP ]]</f>
        <v>0</v>
      </c>
      <c r="AX23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3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2624</v>
      </c>
      <c r="AZ239" s="779">
        <f>WWWW[[#This Row],[HRP1]]/250</f>
        <v>10.496</v>
      </c>
      <c r="BA239" s="780">
        <f>1-WWWW[[#This Row],[% Equitable and continuous access to sufficient quantity of domestic water]]</f>
        <v>0</v>
      </c>
      <c r="BB239" s="779">
        <f>WWWW[[#This Row],[%equitable and continuous access to sufficient quantity of safe drinking and domestic water''s GAP]]*WWWW[[#This Row],[Total PoP ]]</f>
        <v>0</v>
      </c>
      <c r="BC239" s="781">
        <f>IF(WWWW[[#This Row],[Total required water points]]-WWWW[[#This Row],['#Water points coverage]]&lt;0,0,WWWW[[#This Row],[Total required water points]]-WWWW[[#This Row],['#Water points coverage]])</f>
        <v>0</v>
      </c>
      <c r="BD239" s="781">
        <f>ROUND(IF(WWWW[[#This Row],[Total PoP ]]&lt;250,1,WWWW[[#This Row],[Total PoP ]]/250),0)</f>
        <v>10</v>
      </c>
      <c r="BE23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0.24809451219512196</v>
      </c>
      <c r="BF239" s="779">
        <f>WWWW[[#This Row],[% people access to functioning Latrine]]*WWWW[[#This Row],[Total PoP ]]</f>
        <v>651</v>
      </c>
      <c r="BG239" s="781">
        <f>WWWW[[#This Row],['#_of_Functioning_latrines_in_school]]*50</f>
        <v>0</v>
      </c>
      <c r="BH239" s="781">
        <f>ROUND((WWWW[[#This Row],[Total PoP ]]/6),0)</f>
        <v>437</v>
      </c>
      <c r="BI239" s="781">
        <f>IF(WWWW[[#This Row],[Total required Latrines]]-(WWWW[[#This Row],['#_of_sanitary_fly-proof_HH_latrines]])&lt;0,0,WWWW[[#This Row],[Total required Latrines]]-(WWWW[[#This Row],['#_of_sanitary_fly-proof_HH_latrines]]))</f>
        <v>344</v>
      </c>
      <c r="BJ239" s="778">
        <f>1-WWWW[[#This Row],[% people access to functioning Latrine]]</f>
        <v>0.75190548780487809</v>
      </c>
      <c r="BK23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39" s="772">
        <f>IF(WWWW[[#This Row],['#_of_functional_handwashing_facilities_at_HH_level]]*6&gt;WWWW[[#This Row],[Total PoP ]],WWWW[[#This Row],[Total PoP ]],WWWW[[#This Row],['#_of_functional_handwashing_facilities_at_HH_level]]*6)</f>
        <v>0</v>
      </c>
      <c r="BM239" s="781">
        <f>IF(WWWW[[#This Row],['# people reached by regular dedicated hygiene promotion]]&gt;WWWW[[#This Row],['# People received regular supply of hygiene items]],WWWW[[#This Row],['# people reached by regular dedicated hygiene promotion]],WWWW[[#This Row],['# People received regular supply of hygiene items]])</f>
        <v>0</v>
      </c>
      <c r="BN239" s="780">
        <f>IF(WWWW[[#This Row],[HRP3]]/WWWW[[#This Row],[Total PoP ]]&gt;100%,100%,WWWW[[#This Row],[HRP3]]/WWWW[[#This Row],[Total PoP ]])</f>
        <v>0</v>
      </c>
      <c r="BO239" s="778">
        <f>1-WWWW[[#This Row],[Hygiene Coverage%]]</f>
        <v>1</v>
      </c>
      <c r="BP239" s="777">
        <f>WWWW[[#This Row],['# people reached by regular dedicated hygiene promotion]]/WWWW[[#This Row],[Total PoP ]]</f>
        <v>0</v>
      </c>
      <c r="BQ23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39" s="770">
        <f>WWWW[[#This Row],['#_of_affected_women_and_girls_receiving_a_sufficient_quantity_of_sanitary_pads]]</f>
        <v>0</v>
      </c>
      <c r="BS239" s="773">
        <f>IF(WWWW[[#This Row],['# People with access to soap]]&gt;WWWW[[#This Row],['# People with access to Sanity Pads]],WWWW[[#This Row],['# People with access to soap]],WWWW[[#This Row],['# People with access to Sanity Pads]])</f>
        <v>0</v>
      </c>
      <c r="BT239" s="772" t="str">
        <f>IF(OR(WWWW[[#This Row],['#of students in school]]="",WWWW[[#This Row],['#of students in school]]=0),"No","Yes")</f>
        <v>Yes</v>
      </c>
      <c r="BU239" s="782" t="str">
        <f>VLOOKUP(WWWW[[#This Row],[Village  Name]],SiteDB6[[Site Name]:[Location Type 1]],9,FALSE)</f>
        <v>Village</v>
      </c>
      <c r="BV239" s="782" t="str">
        <f>VLOOKUP(WWWW[[#This Row],[Village  Name]],SiteDB6[[Site Name]:[Type of Accommodation]],10,FALSE)</f>
        <v>Village</v>
      </c>
      <c r="BW239" s="782">
        <f>VLOOKUP(WWWW[[#This Row],[Village  Name]],SiteDB6[[Site Name]:[Ethnic or GCA/NGCA]],11,FALSE)</f>
        <v>0</v>
      </c>
      <c r="BX239" s="782">
        <f>VLOOKUP(WWWW[[#This Row],[Village  Name]],SiteDB6[[Site Name]:[Lat]],12,FALSE)</f>
        <v>0</v>
      </c>
      <c r="BY239" s="782">
        <f>VLOOKUP(WWWW[[#This Row],[Village  Name]],SiteDB6[[Site Name]:[Long]],13,FALSE)</f>
        <v>0</v>
      </c>
      <c r="BZ239" s="782">
        <f>VLOOKUP(WWWW[[#This Row],[Village  Name]],SiteDB6[[Site Name]:[Pcode]],3,FALSE)</f>
        <v>0</v>
      </c>
      <c r="CA239" s="782" t="str">
        <f t="shared" ref="CA239:CA242" si="16">IF(C239="none","Notcovered","Covered")</f>
        <v>Covered</v>
      </c>
      <c r="CB239" s="783"/>
    </row>
    <row r="240" spans="1:96">
      <c r="A240" s="727" t="s">
        <v>3199</v>
      </c>
      <c r="B240" s="727" t="s">
        <v>2994</v>
      </c>
      <c r="C240" s="727" t="s">
        <v>2994</v>
      </c>
      <c r="D240" s="728" t="s">
        <v>704</v>
      </c>
      <c r="E240" s="643" t="s">
        <v>698</v>
      </c>
      <c r="F240" s="728" t="s">
        <v>1255</v>
      </c>
      <c r="G240" s="782" t="str">
        <f>VLOOKUP(WWWW[[#This Row],[Village  Name]],SiteDB6[[Site Name]:[Location Type]],8,FALSE)</f>
        <v>Village</v>
      </c>
      <c r="H240" s="728" t="s">
        <v>3105</v>
      </c>
      <c r="I240" s="775">
        <v>147</v>
      </c>
      <c r="J240" s="775">
        <v>719</v>
      </c>
      <c r="K240" s="784" t="s">
        <v>3272</v>
      </c>
      <c r="L240" s="785" t="s">
        <v>3273</v>
      </c>
      <c r="M240" s="775">
        <v>98</v>
      </c>
      <c r="N240" s="775"/>
      <c r="O240" s="773"/>
      <c r="P240" s="775"/>
      <c r="Q240" s="775"/>
      <c r="R240" s="775"/>
      <c r="S240" s="775"/>
      <c r="T240" s="775"/>
      <c r="U240" s="776"/>
      <c r="V240" s="775"/>
      <c r="W240" s="775"/>
      <c r="X240" s="775"/>
      <c r="Y240" s="775"/>
      <c r="Z240" s="775"/>
      <c r="AA240" s="775"/>
      <c r="AB240" s="775"/>
      <c r="AC240" s="776"/>
      <c r="AD240" s="775"/>
      <c r="AE240" s="775"/>
      <c r="AF240" s="775"/>
      <c r="AG240" s="775"/>
      <c r="AH240" s="775"/>
      <c r="AI240" s="775"/>
      <c r="AJ240" s="773"/>
      <c r="AK240" s="775"/>
      <c r="AL240" s="773"/>
      <c r="AM240" s="773"/>
      <c r="AN240" s="776"/>
      <c r="AO240" s="769"/>
      <c r="AP240" s="769"/>
      <c r="AQ240" s="773"/>
      <c r="AR240" s="773"/>
      <c r="AS240" s="773"/>
      <c r="AT24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40" s="779">
        <f>WWWW[[#This Row],[%Equitable and continuous access to sufficient quantity of safe drinking water]]*WWWW[[#This Row],[Total PoP ]]</f>
        <v>0</v>
      </c>
      <c r="AV24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40" s="779">
        <f>WWWW[[#This Row],[% Access to unimproved water points]]*WWWW[[#This Row],[Total PoP ]]</f>
        <v>0</v>
      </c>
      <c r="AX24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4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40" s="779">
        <f>WWWW[[#This Row],[HRP1]]/250</f>
        <v>0</v>
      </c>
      <c r="BA240" s="780">
        <f>1-WWWW[[#This Row],[% Equitable and continuous access to sufficient quantity of domestic water]]</f>
        <v>1</v>
      </c>
      <c r="BB240" s="779">
        <f>WWWW[[#This Row],[%equitable and continuous access to sufficient quantity of safe drinking and domestic water''s GAP]]*WWWW[[#This Row],[Total PoP ]]</f>
        <v>719</v>
      </c>
      <c r="BC240" s="781">
        <f>IF(WWWW[[#This Row],[Total required water points]]-WWWW[[#This Row],['#Water points coverage]]&lt;0,0,WWWW[[#This Row],[Total required water points]]-WWWW[[#This Row],['#Water points coverage]])</f>
        <v>3</v>
      </c>
      <c r="BD240" s="781">
        <f>ROUND(IF(WWWW[[#This Row],[Total PoP ]]&lt;250,1,WWWW[[#This Row],[Total PoP ]]/250),0)</f>
        <v>3</v>
      </c>
      <c r="BE24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40" s="779">
        <f>WWWW[[#This Row],[% people access to functioning Latrine]]*WWWW[[#This Row],[Total PoP ]]</f>
        <v>0</v>
      </c>
      <c r="BG240" s="781">
        <f>WWWW[[#This Row],['#_of_Functioning_latrines_in_school]]*50</f>
        <v>0</v>
      </c>
      <c r="BH240" s="781">
        <f>ROUND((WWWW[[#This Row],[Total PoP ]]/6),0)</f>
        <v>120</v>
      </c>
      <c r="BI240" s="781">
        <f>IF(WWWW[[#This Row],[Total required Latrines]]-(WWWW[[#This Row],['#_of_sanitary_fly-proof_HH_latrines]])&lt;0,0,WWWW[[#This Row],[Total required Latrines]]-(WWWW[[#This Row],['#_of_sanitary_fly-proof_HH_latrines]]))</f>
        <v>120</v>
      </c>
      <c r="BJ240" s="778">
        <f>1-WWWW[[#This Row],[% people access to functioning Latrine]]</f>
        <v>1</v>
      </c>
      <c r="BK24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40" s="772">
        <f>IF(WWWW[[#This Row],['#_of_functional_handwashing_facilities_at_HH_level]]*6&gt;WWWW[[#This Row],[Total PoP ]],WWWW[[#This Row],[Total PoP ]],WWWW[[#This Row],['#_of_functional_handwashing_facilities_at_HH_level]]*6)</f>
        <v>0</v>
      </c>
      <c r="BM240" s="781">
        <f>IF(WWWW[[#This Row],['# people reached by regular dedicated hygiene promotion]]&gt;WWWW[[#This Row],['# People received regular supply of hygiene items]],WWWW[[#This Row],['# people reached by regular dedicated hygiene promotion]],WWWW[[#This Row],['# People received regular supply of hygiene items]])</f>
        <v>0</v>
      </c>
      <c r="BN240" s="780">
        <f>IF(WWWW[[#This Row],[HRP3]]/WWWW[[#This Row],[Total PoP ]]&gt;100%,100%,WWWW[[#This Row],[HRP3]]/WWWW[[#This Row],[Total PoP ]])</f>
        <v>0</v>
      </c>
      <c r="BO240" s="778">
        <f>1-WWWW[[#This Row],[Hygiene Coverage%]]</f>
        <v>1</v>
      </c>
      <c r="BP240" s="777">
        <f>WWWW[[#This Row],['# people reached by regular dedicated hygiene promotion]]/WWWW[[#This Row],[Total PoP ]]</f>
        <v>0</v>
      </c>
      <c r="BQ24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0" s="770">
        <f>WWWW[[#This Row],['#_of_affected_women_and_girls_receiving_a_sufficient_quantity_of_sanitary_pads]]</f>
        <v>0</v>
      </c>
      <c r="BS240" s="773">
        <f>IF(WWWW[[#This Row],['# People with access to soap]]&gt;WWWW[[#This Row],['# People with access to Sanity Pads]],WWWW[[#This Row],['# People with access to soap]],WWWW[[#This Row],['# People with access to Sanity Pads]])</f>
        <v>0</v>
      </c>
      <c r="BT240" s="772" t="str">
        <f>IF(OR(WWWW[[#This Row],['#of students in school]]="",WWWW[[#This Row],['#of students in school]]=0),"No","Yes")</f>
        <v>Yes</v>
      </c>
      <c r="BU240" s="782" t="str">
        <f>VLOOKUP(WWWW[[#This Row],[Village  Name]],SiteDB6[[Site Name]:[Location Type 1]],9,FALSE)</f>
        <v>Village</v>
      </c>
      <c r="BV240" s="782" t="str">
        <f>VLOOKUP(WWWW[[#This Row],[Village  Name]],SiteDB6[[Site Name]:[Type of Accommodation]],10,FALSE)</f>
        <v>Village</v>
      </c>
      <c r="BW240" s="782">
        <f>VLOOKUP(WWWW[[#This Row],[Village  Name]],SiteDB6[[Site Name]:[Ethnic or GCA/NGCA]],11,FALSE)</f>
        <v>0</v>
      </c>
      <c r="BX240" s="782">
        <f>VLOOKUP(WWWW[[#This Row],[Village  Name]],SiteDB6[[Site Name]:[Lat]],12,FALSE)</f>
        <v>0</v>
      </c>
      <c r="BY240" s="782">
        <f>VLOOKUP(WWWW[[#This Row],[Village  Name]],SiteDB6[[Site Name]:[Long]],13,FALSE)</f>
        <v>0</v>
      </c>
      <c r="BZ240" s="782">
        <f>VLOOKUP(WWWW[[#This Row],[Village  Name]],SiteDB6[[Site Name]:[Pcode]],3,FALSE)</f>
        <v>0</v>
      </c>
      <c r="CA240" s="782" t="str">
        <f t="shared" si="16"/>
        <v>Covered</v>
      </c>
      <c r="CB240" s="783"/>
    </row>
    <row r="241" spans="1:80">
      <c r="A241" s="727" t="s">
        <v>3199</v>
      </c>
      <c r="B241" s="727" t="s">
        <v>2994</v>
      </c>
      <c r="C241" s="727" t="s">
        <v>2994</v>
      </c>
      <c r="D241" s="728" t="s">
        <v>704</v>
      </c>
      <c r="E241" s="643" t="s">
        <v>698</v>
      </c>
      <c r="F241" s="728" t="s">
        <v>1255</v>
      </c>
      <c r="G241" s="782" t="str">
        <f>VLOOKUP(WWWW[[#This Row],[Village  Name]],SiteDB6[[Site Name]:[Location Type]],8,FALSE)</f>
        <v>Village</v>
      </c>
      <c r="H241" s="728" t="s">
        <v>3103</v>
      </c>
      <c r="I241" s="775">
        <v>104</v>
      </c>
      <c r="J241" s="775">
        <v>569</v>
      </c>
      <c r="K241" s="784" t="s">
        <v>3272</v>
      </c>
      <c r="L241" s="785" t="s">
        <v>3273</v>
      </c>
      <c r="M241" s="775">
        <v>64</v>
      </c>
      <c r="N241" s="775"/>
      <c r="O241" s="773"/>
      <c r="P241" s="775"/>
      <c r="Q241" s="775"/>
      <c r="R241" s="775"/>
      <c r="S241" s="775"/>
      <c r="T241" s="775"/>
      <c r="U241" s="776"/>
      <c r="V241" s="775">
        <v>23</v>
      </c>
      <c r="W241" s="775"/>
      <c r="X241" s="775"/>
      <c r="Y241" s="775"/>
      <c r="Z241" s="775">
        <v>23</v>
      </c>
      <c r="AA241" s="775"/>
      <c r="AB241" s="775"/>
      <c r="AC241" s="776"/>
      <c r="AD241" s="775"/>
      <c r="AE241" s="775"/>
      <c r="AF241" s="775"/>
      <c r="AG241" s="775"/>
      <c r="AH241" s="775"/>
      <c r="AI241" s="775"/>
      <c r="AJ241" s="773"/>
      <c r="AK241" s="775"/>
      <c r="AL241" s="773"/>
      <c r="AM241" s="773"/>
      <c r="AN241" s="776"/>
      <c r="AO241" s="769"/>
      <c r="AP241" s="769"/>
      <c r="AQ241" s="773"/>
      <c r="AR241" s="773"/>
      <c r="AS241" s="773"/>
      <c r="AT24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41" s="779">
        <f>WWWW[[#This Row],[%Equitable and continuous access to sufficient quantity of safe drinking water]]*WWWW[[#This Row],[Total PoP ]]</f>
        <v>0</v>
      </c>
      <c r="AV24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41" s="779">
        <f>WWWW[[#This Row],[% Access to unimproved water points]]*WWWW[[#This Row],[Total PoP ]]</f>
        <v>0</v>
      </c>
      <c r="AX24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4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41" s="779">
        <f>WWWW[[#This Row],[HRP1]]/250</f>
        <v>0</v>
      </c>
      <c r="BA241" s="780">
        <f>1-WWWW[[#This Row],[% Equitable and continuous access to sufficient quantity of domestic water]]</f>
        <v>1</v>
      </c>
      <c r="BB241" s="779">
        <f>WWWW[[#This Row],[%equitable and continuous access to sufficient quantity of safe drinking and domestic water''s GAP]]*WWWW[[#This Row],[Total PoP ]]</f>
        <v>569</v>
      </c>
      <c r="BC241" s="781">
        <f>IF(WWWW[[#This Row],[Total required water points]]-WWWW[[#This Row],['#Water points coverage]]&lt;0,0,WWWW[[#This Row],[Total required water points]]-WWWW[[#This Row],['#Water points coverage]])</f>
        <v>2</v>
      </c>
      <c r="BD241" s="781">
        <f>ROUND(IF(WWWW[[#This Row],[Total PoP ]]&lt;250,1,WWWW[[#This Row],[Total PoP ]]/250),0)</f>
        <v>2</v>
      </c>
      <c r="BE24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0.28295254833040423</v>
      </c>
      <c r="BF241" s="779">
        <f>WWWW[[#This Row],[% people access to functioning Latrine]]*WWWW[[#This Row],[Total PoP ]]</f>
        <v>161</v>
      </c>
      <c r="BG241" s="781">
        <f>WWWW[[#This Row],['#_of_Functioning_latrines_in_school]]*50</f>
        <v>0</v>
      </c>
      <c r="BH241" s="781">
        <f>ROUND((WWWW[[#This Row],[Total PoP ]]/6),0)</f>
        <v>95</v>
      </c>
      <c r="BI241" s="781">
        <f>IF(WWWW[[#This Row],[Total required Latrines]]-(WWWW[[#This Row],['#_of_sanitary_fly-proof_HH_latrines]])&lt;0,0,WWWW[[#This Row],[Total required Latrines]]-(WWWW[[#This Row],['#_of_sanitary_fly-proof_HH_latrines]]))</f>
        <v>72</v>
      </c>
      <c r="BJ241" s="778">
        <f>1-WWWW[[#This Row],[% people access to functioning Latrine]]</f>
        <v>0.71704745166959571</v>
      </c>
      <c r="BK24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41" s="772">
        <f>IF(WWWW[[#This Row],['#_of_functional_handwashing_facilities_at_HH_level]]*6&gt;WWWW[[#This Row],[Total PoP ]],WWWW[[#This Row],[Total PoP ]],WWWW[[#This Row],['#_of_functional_handwashing_facilities_at_HH_level]]*6)</f>
        <v>0</v>
      </c>
      <c r="BM241" s="781">
        <f>IF(WWWW[[#This Row],['# people reached by regular dedicated hygiene promotion]]&gt;WWWW[[#This Row],['# People received regular supply of hygiene items]],WWWW[[#This Row],['# people reached by regular dedicated hygiene promotion]],WWWW[[#This Row],['# People received regular supply of hygiene items]])</f>
        <v>0</v>
      </c>
      <c r="BN241" s="780">
        <f>IF(WWWW[[#This Row],[HRP3]]/WWWW[[#This Row],[Total PoP ]]&gt;100%,100%,WWWW[[#This Row],[HRP3]]/WWWW[[#This Row],[Total PoP ]])</f>
        <v>0</v>
      </c>
      <c r="BO241" s="778">
        <f>1-WWWW[[#This Row],[Hygiene Coverage%]]</f>
        <v>1</v>
      </c>
      <c r="BP241" s="777">
        <f>WWWW[[#This Row],['# people reached by regular dedicated hygiene promotion]]/WWWW[[#This Row],[Total PoP ]]</f>
        <v>0</v>
      </c>
      <c r="BQ24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1" s="770">
        <f>WWWW[[#This Row],['#_of_affected_women_and_girls_receiving_a_sufficient_quantity_of_sanitary_pads]]</f>
        <v>0</v>
      </c>
      <c r="BS241" s="773">
        <f>IF(WWWW[[#This Row],['# People with access to soap]]&gt;WWWW[[#This Row],['# People with access to Sanity Pads]],WWWW[[#This Row],['# People with access to soap]],WWWW[[#This Row],['# People with access to Sanity Pads]])</f>
        <v>0</v>
      </c>
      <c r="BT241" s="772" t="str">
        <f>IF(OR(WWWW[[#This Row],['#of students in school]]="",WWWW[[#This Row],['#of students in school]]=0),"No","Yes")</f>
        <v>Yes</v>
      </c>
      <c r="BU241" s="782" t="str">
        <f>VLOOKUP(WWWW[[#This Row],[Village  Name]],SiteDB6[[Site Name]:[Location Type 1]],9,FALSE)</f>
        <v>Village</v>
      </c>
      <c r="BV241" s="782" t="str">
        <f>VLOOKUP(WWWW[[#This Row],[Village  Name]],SiteDB6[[Site Name]:[Type of Accommodation]],10,FALSE)</f>
        <v>Village</v>
      </c>
      <c r="BW241" s="782">
        <f>VLOOKUP(WWWW[[#This Row],[Village  Name]],SiteDB6[[Site Name]:[Ethnic or GCA/NGCA]],11,FALSE)</f>
        <v>0</v>
      </c>
      <c r="BX241" s="782">
        <f>VLOOKUP(WWWW[[#This Row],[Village  Name]],SiteDB6[[Site Name]:[Lat]],12,FALSE)</f>
        <v>0</v>
      </c>
      <c r="BY241" s="782">
        <f>VLOOKUP(WWWW[[#This Row],[Village  Name]],SiteDB6[[Site Name]:[Long]],13,FALSE)</f>
        <v>0</v>
      </c>
      <c r="BZ241" s="782">
        <f>VLOOKUP(WWWW[[#This Row],[Village  Name]],SiteDB6[[Site Name]:[Pcode]],3,FALSE)</f>
        <v>0</v>
      </c>
      <c r="CA241" s="782" t="str">
        <f t="shared" si="16"/>
        <v>Covered</v>
      </c>
      <c r="CB241" s="783"/>
    </row>
    <row r="242" spans="1:80">
      <c r="A242" s="727" t="s">
        <v>3199</v>
      </c>
      <c r="B242" s="727" t="s">
        <v>2994</v>
      </c>
      <c r="C242" s="727" t="s">
        <v>2994</v>
      </c>
      <c r="D242" s="728" t="s">
        <v>704</v>
      </c>
      <c r="E242" s="643" t="s">
        <v>698</v>
      </c>
      <c r="F242" s="728" t="s">
        <v>1255</v>
      </c>
      <c r="G242" s="782" t="str">
        <f>VLOOKUP(WWWW[[#This Row],[Village  Name]],SiteDB6[[Site Name]:[Location Type]],8,FALSE)</f>
        <v>Village</v>
      </c>
      <c r="H242" s="728" t="s">
        <v>3106</v>
      </c>
      <c r="I242" s="775">
        <v>54</v>
      </c>
      <c r="J242" s="775">
        <v>259</v>
      </c>
      <c r="K242" s="784" t="s">
        <v>3272</v>
      </c>
      <c r="L242" s="785" t="s">
        <v>3273</v>
      </c>
      <c r="M242" s="775">
        <v>23</v>
      </c>
      <c r="N242" s="775">
        <v>0</v>
      </c>
      <c r="O242" s="773">
        <v>0</v>
      </c>
      <c r="P242" s="775"/>
      <c r="Q242" s="775"/>
      <c r="R242" s="775"/>
      <c r="S242" s="775"/>
      <c r="T242" s="775"/>
      <c r="U242" s="776"/>
      <c r="V242" s="775"/>
      <c r="W242" s="775">
        <v>0</v>
      </c>
      <c r="X242" s="775"/>
      <c r="Y242" s="775"/>
      <c r="Z242" s="775"/>
      <c r="AA242" s="775"/>
      <c r="AB242" s="775"/>
      <c r="AC242" s="776"/>
      <c r="AD242" s="775"/>
      <c r="AE242" s="775"/>
      <c r="AF242" s="775"/>
      <c r="AG242" s="775"/>
      <c r="AH242" s="775"/>
      <c r="AI242" s="775"/>
      <c r="AJ242" s="773"/>
      <c r="AK242" s="775"/>
      <c r="AL242" s="773"/>
      <c r="AM242" s="773"/>
      <c r="AN242" s="776"/>
      <c r="AO242" s="769"/>
      <c r="AP242" s="769"/>
      <c r="AQ242" s="773"/>
      <c r="AR242" s="773"/>
      <c r="AS242" s="773"/>
      <c r="AT24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42" s="779">
        <f>WWWW[[#This Row],[%Equitable and continuous access to sufficient quantity of safe drinking water]]*WWWW[[#This Row],[Total PoP ]]</f>
        <v>0</v>
      </c>
      <c r="AV24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42" s="779">
        <f>WWWW[[#This Row],[% Access to unimproved water points]]*WWWW[[#This Row],[Total PoP ]]</f>
        <v>0</v>
      </c>
      <c r="AX24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4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42" s="779">
        <f>WWWW[[#This Row],[HRP1]]/250</f>
        <v>0</v>
      </c>
      <c r="BA242" s="780">
        <f>1-WWWW[[#This Row],[% Equitable and continuous access to sufficient quantity of domestic water]]</f>
        <v>1</v>
      </c>
      <c r="BB242" s="779">
        <f>WWWW[[#This Row],[%equitable and continuous access to sufficient quantity of safe drinking and domestic water''s GAP]]*WWWW[[#This Row],[Total PoP ]]</f>
        <v>259</v>
      </c>
      <c r="BC242" s="781">
        <f>IF(WWWW[[#This Row],[Total required water points]]-WWWW[[#This Row],['#Water points coverage]]&lt;0,0,WWWW[[#This Row],[Total required water points]]-WWWW[[#This Row],['#Water points coverage]])</f>
        <v>1</v>
      </c>
      <c r="BD242" s="781">
        <f>ROUND(IF(WWWW[[#This Row],[Total PoP ]]&lt;250,1,WWWW[[#This Row],[Total PoP ]]/250),0)</f>
        <v>1</v>
      </c>
      <c r="BE24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42" s="779">
        <f>WWWW[[#This Row],[% people access to functioning Latrine]]*WWWW[[#This Row],[Total PoP ]]</f>
        <v>0</v>
      </c>
      <c r="BG242" s="781">
        <f>WWWW[[#This Row],['#_of_Functioning_latrines_in_school]]*50</f>
        <v>0</v>
      </c>
      <c r="BH242" s="781">
        <f>ROUND((WWWW[[#This Row],[Total PoP ]]/6),0)</f>
        <v>43</v>
      </c>
      <c r="BI242" s="781">
        <f>IF(WWWW[[#This Row],[Total required Latrines]]-(WWWW[[#This Row],['#_of_sanitary_fly-proof_HH_latrines]])&lt;0,0,WWWW[[#This Row],[Total required Latrines]]-(WWWW[[#This Row],['#_of_sanitary_fly-proof_HH_latrines]]))</f>
        <v>43</v>
      </c>
      <c r="BJ242" s="778">
        <f>1-WWWW[[#This Row],[% people access to functioning Latrine]]</f>
        <v>1</v>
      </c>
      <c r="BK24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42" s="772">
        <f>IF(WWWW[[#This Row],['#_of_functional_handwashing_facilities_at_HH_level]]*6&gt;WWWW[[#This Row],[Total PoP ]],WWWW[[#This Row],[Total PoP ]],WWWW[[#This Row],['#_of_functional_handwashing_facilities_at_HH_level]]*6)</f>
        <v>0</v>
      </c>
      <c r="BM242" s="781">
        <f>IF(WWWW[[#This Row],['# people reached by regular dedicated hygiene promotion]]&gt;WWWW[[#This Row],['# People received regular supply of hygiene items]],WWWW[[#This Row],['# people reached by regular dedicated hygiene promotion]],WWWW[[#This Row],['# People received regular supply of hygiene items]])</f>
        <v>0</v>
      </c>
      <c r="BN242" s="780">
        <f>IF(WWWW[[#This Row],[HRP3]]/WWWW[[#This Row],[Total PoP ]]&gt;100%,100%,WWWW[[#This Row],[HRP3]]/WWWW[[#This Row],[Total PoP ]])</f>
        <v>0</v>
      </c>
      <c r="BO242" s="778">
        <f>1-WWWW[[#This Row],[Hygiene Coverage%]]</f>
        <v>1</v>
      </c>
      <c r="BP242" s="777">
        <f>WWWW[[#This Row],['# people reached by regular dedicated hygiene promotion]]/WWWW[[#This Row],[Total PoP ]]</f>
        <v>0</v>
      </c>
      <c r="BQ24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2" s="770">
        <f>WWWW[[#This Row],['#_of_affected_women_and_girls_receiving_a_sufficient_quantity_of_sanitary_pads]]</f>
        <v>0</v>
      </c>
      <c r="BS242" s="773">
        <f>IF(WWWW[[#This Row],['# People with access to soap]]&gt;WWWW[[#This Row],['# People with access to Sanity Pads]],WWWW[[#This Row],['# People with access to soap]],WWWW[[#This Row],['# People with access to Sanity Pads]])</f>
        <v>0</v>
      </c>
      <c r="BT242" s="772" t="str">
        <f>IF(OR(WWWW[[#This Row],['#of students in school]]="",WWWW[[#This Row],['#of students in school]]=0),"No","Yes")</f>
        <v>Yes</v>
      </c>
      <c r="BU242" s="782" t="str">
        <f>VLOOKUP(WWWW[[#This Row],[Village  Name]],SiteDB6[[Site Name]:[Location Type 1]],9,FALSE)</f>
        <v>Village</v>
      </c>
      <c r="BV242" s="782" t="str">
        <f>VLOOKUP(WWWW[[#This Row],[Village  Name]],SiteDB6[[Site Name]:[Type of Accommodation]],10,FALSE)</f>
        <v>Village</v>
      </c>
      <c r="BW242" s="782">
        <f>VLOOKUP(WWWW[[#This Row],[Village  Name]],SiteDB6[[Site Name]:[Ethnic or GCA/NGCA]],11,FALSE)</f>
        <v>0</v>
      </c>
      <c r="BX242" s="782">
        <f>VLOOKUP(WWWW[[#This Row],[Village  Name]],SiteDB6[[Site Name]:[Lat]],12,FALSE)</f>
        <v>0</v>
      </c>
      <c r="BY242" s="782">
        <f>VLOOKUP(WWWW[[#This Row],[Village  Name]],SiteDB6[[Site Name]:[Long]],13,FALSE)</f>
        <v>0</v>
      </c>
      <c r="BZ242" s="782">
        <f>VLOOKUP(WWWW[[#This Row],[Village  Name]],SiteDB6[[Site Name]:[Pcode]],3,FALSE)</f>
        <v>0</v>
      </c>
      <c r="CA242" s="782" t="str">
        <f t="shared" si="16"/>
        <v>Covered</v>
      </c>
      <c r="CB242" s="783"/>
    </row>
    <row r="243" spans="1:80">
      <c r="A243" s="774" t="s">
        <v>3199</v>
      </c>
      <c r="B243" s="727" t="s">
        <v>287</v>
      </c>
      <c r="C243" s="728" t="s">
        <v>287</v>
      </c>
      <c r="D243" s="728" t="s">
        <v>234</v>
      </c>
      <c r="E243" s="728" t="s">
        <v>2648</v>
      </c>
      <c r="F243" s="728" t="s">
        <v>402</v>
      </c>
      <c r="G243" s="644" t="str">
        <f>VLOOKUP(WWWW[[#This Row],[Village  Name]],SiteDB6[[Site Name]:[Location Type]],8,FALSE)</f>
        <v>Village</v>
      </c>
      <c r="H243" s="728" t="s">
        <v>408</v>
      </c>
      <c r="I243" s="775">
        <v>204</v>
      </c>
      <c r="J243" s="775">
        <v>1055</v>
      </c>
      <c r="K243" s="784">
        <v>43556</v>
      </c>
      <c r="L243" s="785">
        <v>44012</v>
      </c>
      <c r="M243" s="775">
        <v>241</v>
      </c>
      <c r="N243" s="775"/>
      <c r="O243" s="773">
        <v>1</v>
      </c>
      <c r="P243" s="775">
        <v>1</v>
      </c>
      <c r="Q243" s="775">
        <v>3</v>
      </c>
      <c r="R243" s="775"/>
      <c r="S243" s="775">
        <v>527</v>
      </c>
      <c r="T243" s="775"/>
      <c r="U243" s="776"/>
      <c r="V243" s="775">
        <v>35</v>
      </c>
      <c r="W243" s="775" t="s">
        <v>40</v>
      </c>
      <c r="X243" s="775">
        <v>2</v>
      </c>
      <c r="Y243" s="775"/>
      <c r="Z243" s="775"/>
      <c r="AA243" s="775"/>
      <c r="AB243" s="775"/>
      <c r="AC243" s="776"/>
      <c r="AD243" s="775">
        <v>87</v>
      </c>
      <c r="AE243" s="775">
        <v>102</v>
      </c>
      <c r="AF243" s="775">
        <v>46</v>
      </c>
      <c r="AG243" s="775">
        <v>56</v>
      </c>
      <c r="AH243" s="775"/>
      <c r="AI243" s="775"/>
      <c r="AJ243" s="773"/>
      <c r="AK243" s="775">
        <v>1</v>
      </c>
      <c r="AL243" s="773"/>
      <c r="AM243" s="773"/>
      <c r="AN243" s="776"/>
      <c r="AO243" s="769"/>
      <c r="AP243" s="769"/>
      <c r="AQ243" s="773"/>
      <c r="AR243" s="773"/>
      <c r="AS243" s="773"/>
      <c r="AT24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43" s="779">
        <f>WWWW[[#This Row],[%Equitable and continuous access to sufficient quantity of safe drinking water]]*WWWW[[#This Row],[Total PoP ]]</f>
        <v>1055</v>
      </c>
      <c r="AV24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43" s="779">
        <f>WWWW[[#This Row],[% Access to unimproved water points]]*WWWW[[#This Row],[Total PoP ]]</f>
        <v>1055</v>
      </c>
      <c r="AX24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4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1055</v>
      </c>
      <c r="AZ243" s="779">
        <f>WWWW[[#This Row],[HRP1]]/250</f>
        <v>4.22</v>
      </c>
      <c r="BA243" s="780">
        <f>1-WWWW[[#This Row],[% Equitable and continuous access to sufficient quantity of domestic water]]</f>
        <v>0</v>
      </c>
      <c r="BB243" s="779">
        <f>WWWW[[#This Row],[%equitable and continuous access to sufficient quantity of safe drinking and domestic water''s GAP]]*WWWW[[#This Row],[Total PoP ]]</f>
        <v>0</v>
      </c>
      <c r="BC243" s="781">
        <f>IF(WWWW[[#This Row],[Total required water points]]-WWWW[[#This Row],['#Water points coverage]]&lt;0,0,WWWW[[#This Row],[Total required water points]]-WWWW[[#This Row],['#Water points coverage]])</f>
        <v>0</v>
      </c>
      <c r="BD243" s="781">
        <f>ROUND(IF(WWWW[[#This Row],[Total PoP ]]&lt;250,1,WWWW[[#This Row],[Total PoP ]]/250),0)</f>
        <v>4</v>
      </c>
      <c r="BE24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0.1990521327014218</v>
      </c>
      <c r="BF243" s="779">
        <f>WWWW[[#This Row],[% people access to functioning Latrine]]*WWWW[[#This Row],[Total PoP ]]</f>
        <v>210</v>
      </c>
      <c r="BG243" s="781">
        <f>WWWW[[#This Row],['#_of_Functioning_latrines_in_school]]*50</f>
        <v>100</v>
      </c>
      <c r="BH243" s="781">
        <f>ROUND((WWWW[[#This Row],[Total PoP ]]/6),0)</f>
        <v>176</v>
      </c>
      <c r="BI243" s="781">
        <f>IF(WWWW[[#This Row],[Total required Latrines]]-(WWWW[[#This Row],['#_of_sanitary_fly-proof_HH_latrines]])&lt;0,0,WWWW[[#This Row],[Total required Latrines]]-(WWWW[[#This Row],['#_of_sanitary_fly-proof_HH_latrines]]))</f>
        <v>141</v>
      </c>
      <c r="BJ243" s="778">
        <f>1-WWWW[[#This Row],[% people access to functioning Latrine]]</f>
        <v>0.80094786729857814</v>
      </c>
      <c r="BK24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291</v>
      </c>
      <c r="BL243" s="772">
        <f>IF(WWWW[[#This Row],['#_of_functional_handwashing_facilities_at_HH_level]]*6&gt;WWWW[[#This Row],[Total PoP ]],WWWW[[#This Row],[Total PoP ]],WWWW[[#This Row],['#_of_functional_handwashing_facilities_at_HH_level]]*6)</f>
        <v>0</v>
      </c>
      <c r="BM243" s="781">
        <f>IF(WWWW[[#This Row],['# people reached by regular dedicated hygiene promotion]]&gt;WWWW[[#This Row],['# People received regular supply of hygiene items]],WWWW[[#This Row],['# people reached by regular dedicated hygiene promotion]],WWWW[[#This Row],['# People received regular supply of hygiene items]])</f>
        <v>291</v>
      </c>
      <c r="BN243" s="780">
        <f>IF(WWWW[[#This Row],[HRP3]]/WWWW[[#This Row],[Total PoP ]]&gt;100%,100%,WWWW[[#This Row],[HRP3]]/WWWW[[#This Row],[Total PoP ]])</f>
        <v>0.27582938388625594</v>
      </c>
      <c r="BO243" s="778">
        <f>1-WWWW[[#This Row],[Hygiene Coverage%]]</f>
        <v>0.724170616113744</v>
      </c>
      <c r="BP243" s="777">
        <f>WWWW[[#This Row],['# people reached by regular dedicated hygiene promotion]]/WWWW[[#This Row],[Total PoP ]]</f>
        <v>0.27582938388625594</v>
      </c>
      <c r="BQ24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3" s="770">
        <f>WWWW[[#This Row],['#_of_affected_women_and_girls_receiving_a_sufficient_quantity_of_sanitary_pads]]</f>
        <v>0</v>
      </c>
      <c r="BS243" s="773">
        <f>IF(WWWW[[#This Row],['# People with access to soap]]&gt;WWWW[[#This Row],['# People with access to Sanity Pads]],WWWW[[#This Row],['# People with access to soap]],WWWW[[#This Row],['# People with access to Sanity Pads]])</f>
        <v>0</v>
      </c>
      <c r="BT243" s="772" t="str">
        <f>IF(OR(WWWW[[#This Row],['#of students in school]]="",WWWW[[#This Row],['#of students in school]]=0),"No","Yes")</f>
        <v>Yes</v>
      </c>
      <c r="BU243" s="782" t="str">
        <f>VLOOKUP(WWWW[[#This Row],[Village  Name]],SiteDB6[[Site Name]:[Location Type 1]],9,FALSE)</f>
        <v>Village</v>
      </c>
      <c r="BV243" s="782" t="str">
        <f>VLOOKUP(WWWW[[#This Row],[Village  Name]],SiteDB6[[Site Name]:[Type of Accommodation]],10,FALSE)</f>
        <v>Village</v>
      </c>
      <c r="BW243" s="782" t="str">
        <f>VLOOKUP(WWWW[[#This Row],[Village  Name]],SiteDB6[[Site Name]:[Ethnic or GCA/NGCA]],11,FALSE)</f>
        <v>Rakhine</v>
      </c>
      <c r="BX243" s="782">
        <f>VLOOKUP(WWWW[[#This Row],[Village  Name]],SiteDB6[[Site Name]:[Lat]],12,FALSE)</f>
        <v>20.0839</v>
      </c>
      <c r="BY243" s="782">
        <f>VLOOKUP(WWWW[[#This Row],[Village  Name]],SiteDB6[[Site Name]:[Long]],13,FALSE)</f>
        <v>92.993799999999993</v>
      </c>
      <c r="BZ243" s="782">
        <f>VLOOKUP(WWWW[[#This Row],[Village  Name]],SiteDB6[[Site Name]:[Pcode]],3,FALSE)</f>
        <v>197557</v>
      </c>
      <c r="CA243" s="782" t="str">
        <f t="shared" ref="CA243:CA269" si="17">IF(C243="none","Notcovered","Covered")</f>
        <v>Covered</v>
      </c>
      <c r="CB243" s="783"/>
    </row>
    <row r="244" spans="1:80">
      <c r="A244" s="774" t="s">
        <v>3199</v>
      </c>
      <c r="B244" s="727" t="s">
        <v>287</v>
      </c>
      <c r="C244" s="728" t="s">
        <v>287</v>
      </c>
      <c r="D244" s="728" t="s">
        <v>234</v>
      </c>
      <c r="E244" s="728" t="s">
        <v>2648</v>
      </c>
      <c r="F244" s="728" t="s">
        <v>402</v>
      </c>
      <c r="G244" s="644" t="str">
        <f>VLOOKUP(WWWW[[#This Row],[Village  Name]],SiteDB6[[Site Name]:[Location Type]],8,FALSE)</f>
        <v>Village</v>
      </c>
      <c r="H244" s="728" t="s">
        <v>404</v>
      </c>
      <c r="I244" s="775">
        <v>948</v>
      </c>
      <c r="J244" s="775">
        <v>3946</v>
      </c>
      <c r="K244" s="784">
        <v>43556</v>
      </c>
      <c r="L244" s="785">
        <v>44012</v>
      </c>
      <c r="M244" s="775">
        <v>342</v>
      </c>
      <c r="N244" s="775"/>
      <c r="O244" s="773">
        <v>65</v>
      </c>
      <c r="P244" s="775">
        <v>110</v>
      </c>
      <c r="Q244" s="775">
        <v>3</v>
      </c>
      <c r="R244" s="775"/>
      <c r="S244" s="775">
        <v>1973</v>
      </c>
      <c r="T244" s="775">
        <v>2</v>
      </c>
      <c r="U244" s="776"/>
      <c r="V244" s="775">
        <v>85</v>
      </c>
      <c r="W244" s="775" t="s">
        <v>40</v>
      </c>
      <c r="X244" s="775">
        <v>4</v>
      </c>
      <c r="Y244" s="775"/>
      <c r="Z244" s="775"/>
      <c r="AA244" s="775"/>
      <c r="AB244" s="775"/>
      <c r="AC244" s="776"/>
      <c r="AD244" s="775">
        <v>532</v>
      </c>
      <c r="AE244" s="775">
        <v>538</v>
      </c>
      <c r="AF244" s="775">
        <v>192</v>
      </c>
      <c r="AG244" s="775">
        <v>193</v>
      </c>
      <c r="AH244" s="775"/>
      <c r="AI244" s="775"/>
      <c r="AJ244" s="773"/>
      <c r="AK244" s="775">
        <v>2</v>
      </c>
      <c r="AL244" s="773"/>
      <c r="AM244" s="773"/>
      <c r="AN244" s="776"/>
      <c r="AO244" s="769"/>
      <c r="AP244" s="769"/>
      <c r="AQ244" s="773"/>
      <c r="AR244" s="773"/>
      <c r="AS244" s="773"/>
      <c r="AT24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44" s="779">
        <f>WWWW[[#This Row],[%Equitable and continuous access to sufficient quantity of safe drinking water]]*WWWW[[#This Row],[Total PoP ]]</f>
        <v>3946</v>
      </c>
      <c r="AV24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44" s="779">
        <f>WWWW[[#This Row],[% Access to unimproved water points]]*WWWW[[#This Row],[Total PoP ]]</f>
        <v>3946</v>
      </c>
      <c r="AX24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4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3946</v>
      </c>
      <c r="AZ244" s="779">
        <f>WWWW[[#This Row],[HRP1]]/250</f>
        <v>15.784000000000001</v>
      </c>
      <c r="BA244" s="780">
        <f>1-WWWW[[#This Row],[% Equitable and continuous access to sufficient quantity of domestic water]]</f>
        <v>0</v>
      </c>
      <c r="BB244" s="779">
        <f>WWWW[[#This Row],[%equitable and continuous access to sufficient quantity of safe drinking and domestic water''s GAP]]*WWWW[[#This Row],[Total PoP ]]</f>
        <v>0</v>
      </c>
      <c r="BC244" s="781">
        <f>IF(WWWW[[#This Row],[Total required water points]]-WWWW[[#This Row],['#Water points coverage]]&lt;0,0,WWWW[[#This Row],[Total required water points]]-WWWW[[#This Row],['#Water points coverage]])</f>
        <v>0.2159999999999993</v>
      </c>
      <c r="BD244" s="781">
        <f>ROUND(IF(WWWW[[#This Row],[Total PoP ]]&lt;250,1,WWWW[[#This Row],[Total PoP ]]/250),0)</f>
        <v>16</v>
      </c>
      <c r="BE24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0.12924480486568676</v>
      </c>
      <c r="BF244" s="779">
        <f>WWWW[[#This Row],[% people access to functioning Latrine]]*WWWW[[#This Row],[Total PoP ]]</f>
        <v>509.99999999999994</v>
      </c>
      <c r="BG244" s="781">
        <f>WWWW[[#This Row],['#_of_Functioning_latrines_in_school]]*50</f>
        <v>200</v>
      </c>
      <c r="BH244" s="781">
        <f>ROUND((WWWW[[#This Row],[Total PoP ]]/6),0)</f>
        <v>658</v>
      </c>
      <c r="BI244" s="781">
        <f>IF(WWWW[[#This Row],[Total required Latrines]]-(WWWW[[#This Row],['#_of_sanitary_fly-proof_HH_latrines]])&lt;0,0,WWWW[[#This Row],[Total required Latrines]]-(WWWW[[#This Row],['#_of_sanitary_fly-proof_HH_latrines]]))</f>
        <v>573</v>
      </c>
      <c r="BJ244" s="778">
        <f>1-WWWW[[#This Row],[% people access to functioning Latrine]]</f>
        <v>0.87075519513431321</v>
      </c>
      <c r="BK24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1455</v>
      </c>
      <c r="BL244" s="772">
        <f>IF(WWWW[[#This Row],['#_of_functional_handwashing_facilities_at_HH_level]]*6&gt;WWWW[[#This Row],[Total PoP ]],WWWW[[#This Row],[Total PoP ]],WWWW[[#This Row],['#_of_functional_handwashing_facilities_at_HH_level]]*6)</f>
        <v>0</v>
      </c>
      <c r="BM244" s="781">
        <f>IF(WWWW[[#This Row],['# people reached by regular dedicated hygiene promotion]]&gt;WWWW[[#This Row],['# People received regular supply of hygiene items]],WWWW[[#This Row],['# people reached by regular dedicated hygiene promotion]],WWWW[[#This Row],['# People received regular supply of hygiene items]])</f>
        <v>1455</v>
      </c>
      <c r="BN244" s="780">
        <f>IF(WWWW[[#This Row],[HRP3]]/WWWW[[#This Row],[Total PoP ]]&gt;100%,100%,WWWW[[#This Row],[HRP3]]/WWWW[[#This Row],[Total PoP ]])</f>
        <v>0.36872782564622403</v>
      </c>
      <c r="BO244" s="778">
        <f>1-WWWW[[#This Row],[Hygiene Coverage%]]</f>
        <v>0.63127217435377592</v>
      </c>
      <c r="BP244" s="777">
        <f>WWWW[[#This Row],['# people reached by regular dedicated hygiene promotion]]/WWWW[[#This Row],[Total PoP ]]</f>
        <v>0.36872782564622403</v>
      </c>
      <c r="BQ24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4" s="770">
        <f>WWWW[[#This Row],['#_of_affected_women_and_girls_receiving_a_sufficient_quantity_of_sanitary_pads]]</f>
        <v>0</v>
      </c>
      <c r="BS244" s="773">
        <f>IF(WWWW[[#This Row],['# People with access to soap]]&gt;WWWW[[#This Row],['# People with access to Sanity Pads]],WWWW[[#This Row],['# People with access to soap]],WWWW[[#This Row],['# People with access to Sanity Pads]])</f>
        <v>0</v>
      </c>
      <c r="BT244" s="772" t="str">
        <f>IF(OR(WWWW[[#This Row],['#of students in school]]="",WWWW[[#This Row],['#of students in school]]=0),"No","Yes")</f>
        <v>Yes</v>
      </c>
      <c r="BU244" s="782" t="str">
        <f>VLOOKUP(WWWW[[#This Row],[Village  Name]],SiteDB6[[Site Name]:[Location Type 1]],9,FALSE)</f>
        <v>Village</v>
      </c>
      <c r="BV244" s="782" t="str">
        <f>VLOOKUP(WWWW[[#This Row],[Village  Name]],SiteDB6[[Site Name]:[Type of Accommodation]],10,FALSE)</f>
        <v>Village</v>
      </c>
      <c r="BW244" s="782" t="str">
        <f>VLOOKUP(WWWW[[#This Row],[Village  Name]],SiteDB6[[Site Name]:[Ethnic or GCA/NGCA]],11,FALSE)</f>
        <v>Muslim</v>
      </c>
      <c r="BX244" s="782">
        <f>VLOOKUP(WWWW[[#This Row],[Village  Name]],SiteDB6[[Site Name]:[Lat]],12,FALSE)</f>
        <v>20.0641</v>
      </c>
      <c r="BY244" s="782">
        <f>VLOOKUP(WWWW[[#This Row],[Village  Name]],SiteDB6[[Site Name]:[Long]],13,FALSE)</f>
        <v>92.994600000000005</v>
      </c>
      <c r="BZ244" s="782">
        <f>VLOOKUP(WWWW[[#This Row],[Village  Name]],SiteDB6[[Site Name]:[Pcode]],3,FALSE)</f>
        <v>197548</v>
      </c>
      <c r="CA244" s="782" t="str">
        <f t="shared" si="17"/>
        <v>Covered</v>
      </c>
      <c r="CB244" s="783"/>
    </row>
    <row r="245" spans="1:80">
      <c r="A245" s="774" t="s">
        <v>3199</v>
      </c>
      <c r="B245" s="727" t="s">
        <v>287</v>
      </c>
      <c r="C245" s="728" t="s">
        <v>287</v>
      </c>
      <c r="D245" s="728" t="s">
        <v>234</v>
      </c>
      <c r="E245" s="728" t="s">
        <v>2648</v>
      </c>
      <c r="F245" s="728" t="s">
        <v>402</v>
      </c>
      <c r="G245" s="644" t="str">
        <f>VLOOKUP(WWWW[[#This Row],[Village  Name]],SiteDB6[[Site Name]:[Location Type]],8,FALSE)</f>
        <v>Village</v>
      </c>
      <c r="H245" s="415" t="s">
        <v>403</v>
      </c>
      <c r="I245" s="775">
        <v>477</v>
      </c>
      <c r="J245" s="775">
        <v>2034</v>
      </c>
      <c r="K245" s="784">
        <v>43556</v>
      </c>
      <c r="L245" s="785">
        <v>44012</v>
      </c>
      <c r="M245" s="775">
        <v>462</v>
      </c>
      <c r="N245" s="775"/>
      <c r="O245" s="773">
        <v>35</v>
      </c>
      <c r="P245" s="775">
        <v>50</v>
      </c>
      <c r="Q245" s="775">
        <v>1</v>
      </c>
      <c r="R245" s="775"/>
      <c r="S245" s="775">
        <v>1017</v>
      </c>
      <c r="T245" s="775">
        <v>2</v>
      </c>
      <c r="U245" s="776"/>
      <c r="V245" s="775">
        <v>90</v>
      </c>
      <c r="W245" s="775" t="s">
        <v>40</v>
      </c>
      <c r="X245" s="775">
        <v>8</v>
      </c>
      <c r="Y245" s="775"/>
      <c r="Z245" s="775"/>
      <c r="AA245" s="775"/>
      <c r="AB245" s="775"/>
      <c r="AC245" s="776"/>
      <c r="AD245" s="775">
        <v>31</v>
      </c>
      <c r="AE245" s="775">
        <v>220</v>
      </c>
      <c r="AF245" s="775">
        <v>36</v>
      </c>
      <c r="AG245" s="775">
        <v>35</v>
      </c>
      <c r="AH245" s="775"/>
      <c r="AI245" s="775"/>
      <c r="AJ245" s="773"/>
      <c r="AK245" s="775">
        <v>4</v>
      </c>
      <c r="AL245" s="773"/>
      <c r="AM245" s="773"/>
      <c r="AN245" s="776"/>
      <c r="AO245" s="769"/>
      <c r="AP245" s="769"/>
      <c r="AQ245" s="773"/>
      <c r="AR245" s="773"/>
      <c r="AS245" s="773"/>
      <c r="AT24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45" s="779">
        <f>WWWW[[#This Row],[%Equitable and continuous access to sufficient quantity of safe drinking water]]*WWWW[[#This Row],[Total PoP ]]</f>
        <v>2034</v>
      </c>
      <c r="AV24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45" s="779">
        <f>WWWW[[#This Row],[% Access to unimproved water points]]*WWWW[[#This Row],[Total PoP ]]</f>
        <v>2034</v>
      </c>
      <c r="AX24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4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2034</v>
      </c>
      <c r="AZ245" s="779">
        <f>WWWW[[#This Row],[HRP1]]/250</f>
        <v>8.1359999999999992</v>
      </c>
      <c r="BA245" s="780">
        <f>1-WWWW[[#This Row],[% Equitable and continuous access to sufficient quantity of domestic water]]</f>
        <v>0</v>
      </c>
      <c r="BB245" s="779">
        <f>WWWW[[#This Row],[%equitable and continuous access to sufficient quantity of safe drinking and domestic water''s GAP]]*WWWW[[#This Row],[Total PoP ]]</f>
        <v>0</v>
      </c>
      <c r="BC245" s="781">
        <f>IF(WWWW[[#This Row],[Total required water points]]-WWWW[[#This Row],['#Water points coverage]]&lt;0,0,WWWW[[#This Row],[Total required water points]]-WWWW[[#This Row],['#Water points coverage]])</f>
        <v>0</v>
      </c>
      <c r="BD245" s="781">
        <f>ROUND(IF(WWWW[[#This Row],[Total PoP ]]&lt;250,1,WWWW[[#This Row],[Total PoP ]]/250),0)</f>
        <v>8</v>
      </c>
      <c r="BE24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0.26548672566371684</v>
      </c>
      <c r="BF245" s="779">
        <f>WWWW[[#This Row],[% people access to functioning Latrine]]*WWWW[[#This Row],[Total PoP ]]</f>
        <v>540</v>
      </c>
      <c r="BG245" s="781">
        <f>WWWW[[#This Row],['#_of_Functioning_latrines_in_school]]*50</f>
        <v>400</v>
      </c>
      <c r="BH245" s="781">
        <f>ROUND((WWWW[[#This Row],[Total PoP ]]/6),0)</f>
        <v>339</v>
      </c>
      <c r="BI245" s="781">
        <f>IF(WWWW[[#This Row],[Total required Latrines]]-(WWWW[[#This Row],['#_of_sanitary_fly-proof_HH_latrines]])&lt;0,0,WWWW[[#This Row],[Total required Latrines]]-(WWWW[[#This Row],['#_of_sanitary_fly-proof_HH_latrines]]))</f>
        <v>249</v>
      </c>
      <c r="BJ245" s="778">
        <f>1-WWWW[[#This Row],[% people access to functioning Latrine]]</f>
        <v>0.73451327433628322</v>
      </c>
      <c r="BK24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322</v>
      </c>
      <c r="BL245" s="772">
        <f>IF(WWWW[[#This Row],['#_of_functional_handwashing_facilities_at_HH_level]]*6&gt;WWWW[[#This Row],[Total PoP ]],WWWW[[#This Row],[Total PoP ]],WWWW[[#This Row],['#_of_functional_handwashing_facilities_at_HH_level]]*6)</f>
        <v>0</v>
      </c>
      <c r="BM245" s="781">
        <f>IF(WWWW[[#This Row],['# people reached by regular dedicated hygiene promotion]]&gt;WWWW[[#This Row],['# People received regular supply of hygiene items]],WWWW[[#This Row],['# people reached by regular dedicated hygiene promotion]],WWWW[[#This Row],['# People received regular supply of hygiene items]])</f>
        <v>322</v>
      </c>
      <c r="BN245" s="780">
        <f>IF(WWWW[[#This Row],[HRP3]]/WWWW[[#This Row],[Total PoP ]]&gt;100%,100%,WWWW[[#This Row],[HRP3]]/WWWW[[#This Row],[Total PoP ]])</f>
        <v>0.1583087512291052</v>
      </c>
      <c r="BO245" s="778">
        <f>1-WWWW[[#This Row],[Hygiene Coverage%]]</f>
        <v>0.84169124877089474</v>
      </c>
      <c r="BP245" s="777">
        <f>WWWW[[#This Row],['# people reached by regular dedicated hygiene promotion]]/WWWW[[#This Row],[Total PoP ]]</f>
        <v>0.1583087512291052</v>
      </c>
      <c r="BQ24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5" s="770">
        <f>WWWW[[#This Row],['#_of_affected_women_and_girls_receiving_a_sufficient_quantity_of_sanitary_pads]]</f>
        <v>0</v>
      </c>
      <c r="BS245" s="773">
        <f>IF(WWWW[[#This Row],['# People with access to soap]]&gt;WWWW[[#This Row],['# People with access to Sanity Pads]],WWWW[[#This Row],['# People with access to soap]],WWWW[[#This Row],['# People with access to Sanity Pads]])</f>
        <v>0</v>
      </c>
      <c r="BT245" s="772" t="str">
        <f>IF(OR(WWWW[[#This Row],['#of students in school]]="",WWWW[[#This Row],['#of students in school]]=0),"No","Yes")</f>
        <v>Yes</v>
      </c>
      <c r="BU245" s="782" t="str">
        <f>VLOOKUP(WWWW[[#This Row],[Village  Name]],SiteDB6[[Site Name]:[Location Type 1]],9,FALSE)</f>
        <v>Village</v>
      </c>
      <c r="BV245" s="782" t="str">
        <f>VLOOKUP(WWWW[[#This Row],[Village  Name]],SiteDB6[[Site Name]:[Type of Accommodation]],10,FALSE)</f>
        <v>Village</v>
      </c>
      <c r="BW245" s="782" t="str">
        <f>VLOOKUP(WWWW[[#This Row],[Village  Name]],SiteDB6[[Site Name]:[Ethnic or GCA/NGCA]],11,FALSE)</f>
        <v>Rakhine</v>
      </c>
      <c r="BX245" s="782">
        <f>VLOOKUP(WWWW[[#This Row],[Village  Name]],SiteDB6[[Site Name]:[Lat]],12,FALSE)</f>
        <v>20.057860999999999</v>
      </c>
      <c r="BY245" s="782">
        <f>VLOOKUP(WWWW[[#This Row],[Village  Name]],SiteDB6[[Site Name]:[Long]],13,FALSE)</f>
        <v>92.995181000000002</v>
      </c>
      <c r="BZ245" s="782">
        <f>VLOOKUP(WWWW[[#This Row],[Village  Name]],SiteDB6[[Site Name]:[Pcode]],3,FALSE)</f>
        <v>197550</v>
      </c>
      <c r="CA245" s="782" t="str">
        <f t="shared" si="17"/>
        <v>Covered</v>
      </c>
      <c r="CB245" s="783"/>
    </row>
    <row r="246" spans="1:80">
      <c r="A246" s="774" t="s">
        <v>3199</v>
      </c>
      <c r="B246" s="727" t="s">
        <v>287</v>
      </c>
      <c r="C246" s="728" t="s">
        <v>287</v>
      </c>
      <c r="D246" s="728" t="s">
        <v>327</v>
      </c>
      <c r="E246" s="728" t="s">
        <v>2648</v>
      </c>
      <c r="F246" s="728" t="s">
        <v>402</v>
      </c>
      <c r="G246" s="644" t="str">
        <f>VLOOKUP(WWWW[[#This Row],[Village  Name]],SiteDB6[[Site Name]:[Location Type]],8,FALSE)</f>
        <v>Village</v>
      </c>
      <c r="H246" s="728" t="s">
        <v>3154</v>
      </c>
      <c r="I246" s="775">
        <v>79</v>
      </c>
      <c r="J246" s="775">
        <v>341</v>
      </c>
      <c r="K246" s="784">
        <v>43359</v>
      </c>
      <c r="L246" s="785">
        <v>44196</v>
      </c>
      <c r="M246" s="775">
        <v>40</v>
      </c>
      <c r="N246" s="775"/>
      <c r="O246" s="773"/>
      <c r="P246" s="775"/>
      <c r="Q246" s="775">
        <v>1</v>
      </c>
      <c r="R246" s="775"/>
      <c r="S246" s="775">
        <v>341</v>
      </c>
      <c r="T246" s="775">
        <v>1</v>
      </c>
      <c r="U246" s="776"/>
      <c r="V246" s="775">
        <v>5</v>
      </c>
      <c r="W246" s="775" t="s">
        <v>126</v>
      </c>
      <c r="X246" s="775">
        <v>3</v>
      </c>
      <c r="Y246" s="775">
        <v>14</v>
      </c>
      <c r="Z246" s="775"/>
      <c r="AA246" s="775"/>
      <c r="AB246" s="775"/>
      <c r="AC246" s="776"/>
      <c r="AD246" s="775"/>
      <c r="AE246" s="775"/>
      <c r="AF246" s="775"/>
      <c r="AG246" s="775"/>
      <c r="AH246" s="775"/>
      <c r="AI246" s="775"/>
      <c r="AJ246" s="773"/>
      <c r="AK246" s="775"/>
      <c r="AL246" s="773"/>
      <c r="AM246" s="773"/>
      <c r="AN246" s="776"/>
      <c r="AO246" s="769"/>
      <c r="AP246" s="769"/>
      <c r="AQ246" s="773"/>
      <c r="AR246" s="773"/>
      <c r="AS246" s="773"/>
      <c r="AT24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0.73313782991202348</v>
      </c>
      <c r="AU246" s="779">
        <f>WWWW[[#This Row],[%Equitable and continuous access to sufficient quantity of safe drinking water]]*WWWW[[#This Row],[Total PoP ]]</f>
        <v>250</v>
      </c>
      <c r="AV24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46" s="779">
        <f>WWWW[[#This Row],[% Access to unimproved water points]]*WWWW[[#This Row],[Total PoP ]]</f>
        <v>341</v>
      </c>
      <c r="AX24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4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341</v>
      </c>
      <c r="AZ246" s="779">
        <f>WWWW[[#This Row],[HRP1]]/250</f>
        <v>1.3640000000000001</v>
      </c>
      <c r="BA246" s="780">
        <f>1-WWWW[[#This Row],[% Equitable and continuous access to sufficient quantity of domestic water]]</f>
        <v>0</v>
      </c>
      <c r="BB246" s="779">
        <f>WWWW[[#This Row],[%equitable and continuous access to sufficient quantity of safe drinking and domestic water''s GAP]]*WWWW[[#This Row],[Total PoP ]]</f>
        <v>0</v>
      </c>
      <c r="BC246" s="781">
        <f>IF(WWWW[[#This Row],[Total required water points]]-WWWW[[#This Row],['#Water points coverage]]&lt;0,0,WWWW[[#This Row],[Total required water points]]-WWWW[[#This Row],['#Water points coverage]])</f>
        <v>0</v>
      </c>
      <c r="BD246" s="781">
        <f>ROUND(IF(WWWW[[#This Row],[Total PoP ]]&lt;250,1,WWWW[[#This Row],[Total PoP ]]/250),0)</f>
        <v>1</v>
      </c>
      <c r="BE24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8.797653958944282E-2</v>
      </c>
      <c r="BF246" s="779">
        <f>WWWW[[#This Row],[% people access to functioning Latrine]]*WWWW[[#This Row],[Total PoP ]]</f>
        <v>30</v>
      </c>
      <c r="BG246" s="781">
        <f>WWWW[[#This Row],['#_of_Functioning_latrines_in_school]]*50</f>
        <v>150</v>
      </c>
      <c r="BH246" s="781">
        <f>ROUND((WWWW[[#This Row],[Total PoP ]]/6),0)</f>
        <v>57</v>
      </c>
      <c r="BI246" s="781">
        <f>IF(WWWW[[#This Row],[Total required Latrines]]-(WWWW[[#This Row],['#_of_sanitary_fly-proof_HH_latrines]])&lt;0,0,WWWW[[#This Row],[Total required Latrines]]-(WWWW[[#This Row],['#_of_sanitary_fly-proof_HH_latrines]]))</f>
        <v>52</v>
      </c>
      <c r="BJ246" s="778">
        <f>1-WWWW[[#This Row],[% people access to functioning Latrine]]</f>
        <v>0.91202346041055715</v>
      </c>
      <c r="BK24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46" s="772">
        <f>IF(WWWW[[#This Row],['#_of_functional_handwashing_facilities_at_HH_level]]*6&gt;WWWW[[#This Row],[Total PoP ]],WWWW[[#This Row],[Total PoP ]],WWWW[[#This Row],['#_of_functional_handwashing_facilities_at_HH_level]]*6)</f>
        <v>0</v>
      </c>
      <c r="BM246" s="781">
        <f>IF(WWWW[[#This Row],['# people reached by regular dedicated hygiene promotion]]&gt;WWWW[[#This Row],['# People received regular supply of hygiene items]],WWWW[[#This Row],['# people reached by regular dedicated hygiene promotion]],WWWW[[#This Row],['# People received regular supply of hygiene items]])</f>
        <v>0</v>
      </c>
      <c r="BN246" s="780">
        <f>IF(WWWW[[#This Row],[HRP3]]/WWWW[[#This Row],[Total PoP ]]&gt;100%,100%,WWWW[[#This Row],[HRP3]]/WWWW[[#This Row],[Total PoP ]])</f>
        <v>0</v>
      </c>
      <c r="BO246" s="778">
        <f>1-WWWW[[#This Row],[Hygiene Coverage%]]</f>
        <v>1</v>
      </c>
      <c r="BP246" s="777">
        <f>WWWW[[#This Row],['# people reached by regular dedicated hygiene promotion]]/WWWW[[#This Row],[Total PoP ]]</f>
        <v>0</v>
      </c>
      <c r="BQ24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6" s="770">
        <f>WWWW[[#This Row],['#_of_affected_women_and_girls_receiving_a_sufficient_quantity_of_sanitary_pads]]</f>
        <v>0</v>
      </c>
      <c r="BS246" s="773">
        <f>IF(WWWW[[#This Row],['# People with access to soap]]&gt;WWWW[[#This Row],['# People with access to Sanity Pads]],WWWW[[#This Row],['# People with access to soap]],WWWW[[#This Row],['# People with access to Sanity Pads]])</f>
        <v>0</v>
      </c>
      <c r="BT246" s="772" t="str">
        <f>IF(OR(WWWW[[#This Row],['#of students in school]]="",WWWW[[#This Row],['#of students in school]]=0),"No","Yes")</f>
        <v>Yes</v>
      </c>
      <c r="BU246" s="782" t="str">
        <f>VLOOKUP(WWWW[[#This Row],[Village  Name]],SiteDB6[[Site Name]:[Location Type 1]],9,FALSE)</f>
        <v>Village</v>
      </c>
      <c r="BV246" s="782" t="str">
        <f>VLOOKUP(WWWW[[#This Row],[Village  Name]],SiteDB6[[Site Name]:[Type of Accommodation]],10,FALSE)</f>
        <v>Village</v>
      </c>
      <c r="BW246" s="782">
        <f>VLOOKUP(WWWW[[#This Row],[Village  Name]],SiteDB6[[Site Name]:[Ethnic or GCA/NGCA]],11,FALSE)</f>
        <v>0</v>
      </c>
      <c r="BX246" s="782">
        <f>VLOOKUP(WWWW[[#This Row],[Village  Name]],SiteDB6[[Site Name]:[Lat]],12,FALSE)</f>
        <v>92.969009399414105</v>
      </c>
      <c r="BY246" s="782">
        <f>VLOOKUP(WWWW[[#This Row],[Village  Name]],SiteDB6[[Site Name]:[Long]],13,FALSE)</f>
        <v>20.014240264892599</v>
      </c>
      <c r="BZ246" s="782">
        <f>VLOOKUP(WWWW[[#This Row],[Village  Name]],SiteDB6[[Site Name]:[Pcode]],3,FALSE)</f>
        <v>197542</v>
      </c>
      <c r="CA246" s="782" t="str">
        <f t="shared" si="17"/>
        <v>Covered</v>
      </c>
      <c r="CB246" s="783"/>
    </row>
    <row r="247" spans="1:80">
      <c r="A247" s="774" t="s">
        <v>3199</v>
      </c>
      <c r="B247" s="727" t="s">
        <v>287</v>
      </c>
      <c r="C247" s="728" t="s">
        <v>287</v>
      </c>
      <c r="D247" s="728" t="s">
        <v>327</v>
      </c>
      <c r="E247" s="728" t="s">
        <v>2648</v>
      </c>
      <c r="F247" s="728" t="s">
        <v>402</v>
      </c>
      <c r="G247" s="644" t="str">
        <f>VLOOKUP(WWWW[[#This Row],[Village  Name]],SiteDB6[[Site Name]:[Location Type]],8,FALSE)</f>
        <v>Village</v>
      </c>
      <c r="H247" s="728" t="s">
        <v>3155</v>
      </c>
      <c r="I247" s="775">
        <v>84</v>
      </c>
      <c r="J247" s="775">
        <v>359</v>
      </c>
      <c r="K247" s="784">
        <v>43359</v>
      </c>
      <c r="L247" s="785">
        <v>44196</v>
      </c>
      <c r="M247" s="775">
        <v>78</v>
      </c>
      <c r="N247" s="775"/>
      <c r="O247" s="773"/>
      <c r="P247" s="775"/>
      <c r="Q247" s="775">
        <v>0</v>
      </c>
      <c r="R247" s="775"/>
      <c r="S247" s="775">
        <v>359</v>
      </c>
      <c r="T247" s="775">
        <v>0</v>
      </c>
      <c r="U247" s="776"/>
      <c r="V247" s="775">
        <v>2</v>
      </c>
      <c r="W247" s="775" t="s">
        <v>126</v>
      </c>
      <c r="X247" s="775">
        <v>1</v>
      </c>
      <c r="Y247" s="775">
        <v>8</v>
      </c>
      <c r="Z247" s="775"/>
      <c r="AA247" s="775"/>
      <c r="AB247" s="775"/>
      <c r="AC247" s="776"/>
      <c r="AD247" s="775"/>
      <c r="AE247" s="775"/>
      <c r="AF247" s="775"/>
      <c r="AG247" s="775"/>
      <c r="AH247" s="775"/>
      <c r="AI247" s="775"/>
      <c r="AJ247" s="773"/>
      <c r="AK247" s="775"/>
      <c r="AL247" s="773"/>
      <c r="AM247" s="773"/>
      <c r="AN247" s="776"/>
      <c r="AO247" s="769"/>
      <c r="AP247" s="769"/>
      <c r="AQ247" s="773"/>
      <c r="AR247" s="773"/>
      <c r="AS247" s="773"/>
      <c r="AT24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47" s="779">
        <f>WWWW[[#This Row],[%Equitable and continuous access to sufficient quantity of safe drinking water]]*WWWW[[#This Row],[Total PoP ]]</f>
        <v>0</v>
      </c>
      <c r="AV24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47" s="779">
        <f>WWWW[[#This Row],[% Access to unimproved water points]]*WWWW[[#This Row],[Total PoP ]]</f>
        <v>359</v>
      </c>
      <c r="AX24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4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359</v>
      </c>
      <c r="AZ247" s="779">
        <f>WWWW[[#This Row],[HRP1]]/250</f>
        <v>1.4359999999999999</v>
      </c>
      <c r="BA247" s="780">
        <f>1-WWWW[[#This Row],[% Equitable and continuous access to sufficient quantity of domestic water]]</f>
        <v>0</v>
      </c>
      <c r="BB247" s="779">
        <f>WWWW[[#This Row],[%equitable and continuous access to sufficient quantity of safe drinking and domestic water''s GAP]]*WWWW[[#This Row],[Total PoP ]]</f>
        <v>0</v>
      </c>
      <c r="BC247" s="781">
        <f>IF(WWWW[[#This Row],[Total required water points]]-WWWW[[#This Row],['#Water points coverage]]&lt;0,0,WWWW[[#This Row],[Total required water points]]-WWWW[[#This Row],['#Water points coverage]])</f>
        <v>0</v>
      </c>
      <c r="BD247" s="781">
        <f>ROUND(IF(WWWW[[#This Row],[Total PoP ]]&lt;250,1,WWWW[[#This Row],[Total PoP ]]/250),0)</f>
        <v>1</v>
      </c>
      <c r="BE24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3.3426183844011144E-2</v>
      </c>
      <c r="BF247" s="779">
        <f>WWWW[[#This Row],[% people access to functioning Latrine]]*WWWW[[#This Row],[Total PoP ]]</f>
        <v>12</v>
      </c>
      <c r="BG247" s="781">
        <f>WWWW[[#This Row],['#_of_Functioning_latrines_in_school]]*50</f>
        <v>50</v>
      </c>
      <c r="BH247" s="781">
        <f>ROUND((WWWW[[#This Row],[Total PoP ]]/6),0)</f>
        <v>60</v>
      </c>
      <c r="BI247" s="781">
        <f>IF(WWWW[[#This Row],[Total required Latrines]]-(WWWW[[#This Row],['#_of_sanitary_fly-proof_HH_latrines]])&lt;0,0,WWWW[[#This Row],[Total required Latrines]]-(WWWW[[#This Row],['#_of_sanitary_fly-proof_HH_latrines]]))</f>
        <v>58</v>
      </c>
      <c r="BJ247" s="778">
        <f>1-WWWW[[#This Row],[% people access to functioning Latrine]]</f>
        <v>0.96657381615598881</v>
      </c>
      <c r="BK24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47" s="772">
        <f>IF(WWWW[[#This Row],['#_of_functional_handwashing_facilities_at_HH_level]]*6&gt;WWWW[[#This Row],[Total PoP ]],WWWW[[#This Row],[Total PoP ]],WWWW[[#This Row],['#_of_functional_handwashing_facilities_at_HH_level]]*6)</f>
        <v>0</v>
      </c>
      <c r="BM247" s="781">
        <f>IF(WWWW[[#This Row],['# people reached by regular dedicated hygiene promotion]]&gt;WWWW[[#This Row],['# People received regular supply of hygiene items]],WWWW[[#This Row],['# people reached by regular dedicated hygiene promotion]],WWWW[[#This Row],['# People received regular supply of hygiene items]])</f>
        <v>0</v>
      </c>
      <c r="BN247" s="780">
        <f>IF(WWWW[[#This Row],[HRP3]]/WWWW[[#This Row],[Total PoP ]]&gt;100%,100%,WWWW[[#This Row],[HRP3]]/WWWW[[#This Row],[Total PoP ]])</f>
        <v>0</v>
      </c>
      <c r="BO247" s="778">
        <f>1-WWWW[[#This Row],[Hygiene Coverage%]]</f>
        <v>1</v>
      </c>
      <c r="BP247" s="777">
        <f>WWWW[[#This Row],['# people reached by regular dedicated hygiene promotion]]/WWWW[[#This Row],[Total PoP ]]</f>
        <v>0</v>
      </c>
      <c r="BQ24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7" s="770">
        <f>WWWW[[#This Row],['#_of_affected_women_and_girls_receiving_a_sufficient_quantity_of_sanitary_pads]]</f>
        <v>0</v>
      </c>
      <c r="BS247" s="773">
        <f>IF(WWWW[[#This Row],['# People with access to soap]]&gt;WWWW[[#This Row],['# People with access to Sanity Pads]],WWWW[[#This Row],['# People with access to soap]],WWWW[[#This Row],['# People with access to Sanity Pads]])</f>
        <v>0</v>
      </c>
      <c r="BT247" s="772" t="str">
        <f>IF(OR(WWWW[[#This Row],['#of students in school]]="",WWWW[[#This Row],['#of students in school]]=0),"No","Yes")</f>
        <v>Yes</v>
      </c>
      <c r="BU247" s="782" t="str">
        <f>VLOOKUP(WWWW[[#This Row],[Village  Name]],SiteDB6[[Site Name]:[Location Type 1]],9,FALSE)</f>
        <v>Village</v>
      </c>
      <c r="BV247" s="782" t="str">
        <f>VLOOKUP(WWWW[[#This Row],[Village  Name]],SiteDB6[[Site Name]:[Type of Accommodation]],10,FALSE)</f>
        <v>Village</v>
      </c>
      <c r="BW247" s="782">
        <f>VLOOKUP(WWWW[[#This Row],[Village  Name]],SiteDB6[[Site Name]:[Ethnic or GCA/NGCA]],11,FALSE)</f>
        <v>0</v>
      </c>
      <c r="BX247" s="782">
        <f>VLOOKUP(WWWW[[#This Row],[Village  Name]],SiteDB6[[Site Name]:[Lat]],12,FALSE)</f>
        <v>92.967132568359403</v>
      </c>
      <c r="BY247" s="782">
        <f>VLOOKUP(WWWW[[#This Row],[Village  Name]],SiteDB6[[Site Name]:[Long]],13,FALSE)</f>
        <v>19.9705104827881</v>
      </c>
      <c r="BZ247" s="782">
        <f>VLOOKUP(WWWW[[#This Row],[Village  Name]],SiteDB6[[Site Name]:[Pcode]],3,FALSE)</f>
        <v>197568</v>
      </c>
      <c r="CA247" s="782" t="str">
        <f t="shared" si="17"/>
        <v>Covered</v>
      </c>
      <c r="CB247" s="783"/>
    </row>
    <row r="248" spans="1:80">
      <c r="A248" s="774" t="s">
        <v>3199</v>
      </c>
      <c r="B248" s="727" t="s">
        <v>287</v>
      </c>
      <c r="C248" s="728" t="s">
        <v>287</v>
      </c>
      <c r="D248" s="728" t="s">
        <v>327</v>
      </c>
      <c r="E248" s="728" t="s">
        <v>2648</v>
      </c>
      <c r="F248" s="728" t="s">
        <v>402</v>
      </c>
      <c r="G248" s="644" t="str">
        <f>VLOOKUP(WWWW[[#This Row],[Village  Name]],SiteDB6[[Site Name]:[Location Type]],8,FALSE)</f>
        <v>Village</v>
      </c>
      <c r="H248" s="728" t="s">
        <v>3164</v>
      </c>
      <c r="I248" s="775">
        <v>21</v>
      </c>
      <c r="J248" s="775">
        <v>83</v>
      </c>
      <c r="K248" s="784">
        <v>43359</v>
      </c>
      <c r="L248" s="785">
        <v>44196</v>
      </c>
      <c r="M248" s="775">
        <v>9</v>
      </c>
      <c r="N248" s="775"/>
      <c r="O248" s="773"/>
      <c r="P248" s="775"/>
      <c r="Q248" s="775">
        <v>1</v>
      </c>
      <c r="R248" s="775"/>
      <c r="S248" s="775">
        <v>83</v>
      </c>
      <c r="T248" s="775">
        <v>0</v>
      </c>
      <c r="U248" s="776"/>
      <c r="V248" s="775">
        <v>0</v>
      </c>
      <c r="W248" s="775" t="s">
        <v>126</v>
      </c>
      <c r="X248" s="775">
        <v>0</v>
      </c>
      <c r="Y248" s="775">
        <v>0</v>
      </c>
      <c r="Z248" s="775"/>
      <c r="AA248" s="775"/>
      <c r="AB248" s="775"/>
      <c r="AC248" s="776"/>
      <c r="AD248" s="775"/>
      <c r="AE248" s="775"/>
      <c r="AF248" s="775"/>
      <c r="AG248" s="775"/>
      <c r="AH248" s="775"/>
      <c r="AI248" s="775"/>
      <c r="AJ248" s="773"/>
      <c r="AK248" s="775"/>
      <c r="AL248" s="773"/>
      <c r="AM248" s="773"/>
      <c r="AN248" s="776"/>
      <c r="AO248" s="769"/>
      <c r="AP248" s="769"/>
      <c r="AQ248" s="773"/>
      <c r="AR248" s="773"/>
      <c r="AS248" s="773"/>
      <c r="AT24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48" s="779">
        <f>WWWW[[#This Row],[%Equitable and continuous access to sufficient quantity of safe drinking water]]*WWWW[[#This Row],[Total PoP ]]</f>
        <v>0</v>
      </c>
      <c r="AV24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48" s="779">
        <f>WWWW[[#This Row],[% Access to unimproved water points]]*WWWW[[#This Row],[Total PoP ]]</f>
        <v>83</v>
      </c>
      <c r="AX24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4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83</v>
      </c>
      <c r="AZ248" s="779">
        <f>WWWW[[#This Row],[HRP1]]/250</f>
        <v>0.33200000000000002</v>
      </c>
      <c r="BA248" s="780">
        <f>1-WWWW[[#This Row],[% Equitable and continuous access to sufficient quantity of domestic water]]</f>
        <v>0</v>
      </c>
      <c r="BB248" s="779">
        <f>WWWW[[#This Row],[%equitable and continuous access to sufficient quantity of safe drinking and domestic water''s GAP]]*WWWW[[#This Row],[Total PoP ]]</f>
        <v>0</v>
      </c>
      <c r="BC248" s="781">
        <f>IF(WWWW[[#This Row],[Total required water points]]-WWWW[[#This Row],['#Water points coverage]]&lt;0,0,WWWW[[#This Row],[Total required water points]]-WWWW[[#This Row],['#Water points coverage]])</f>
        <v>0.66799999999999993</v>
      </c>
      <c r="BD248" s="781">
        <f>ROUND(IF(WWWW[[#This Row],[Total PoP ]]&lt;250,1,WWWW[[#This Row],[Total PoP ]]/250),0)</f>
        <v>1</v>
      </c>
      <c r="BE24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48" s="779">
        <f>WWWW[[#This Row],[% people access to functioning Latrine]]*WWWW[[#This Row],[Total PoP ]]</f>
        <v>0</v>
      </c>
      <c r="BG248" s="781">
        <f>WWWW[[#This Row],['#_of_Functioning_latrines_in_school]]*50</f>
        <v>0</v>
      </c>
      <c r="BH248" s="781">
        <f>ROUND((WWWW[[#This Row],[Total PoP ]]/6),0)</f>
        <v>14</v>
      </c>
      <c r="BI248" s="781">
        <f>IF(WWWW[[#This Row],[Total required Latrines]]-(WWWW[[#This Row],['#_of_sanitary_fly-proof_HH_latrines]])&lt;0,0,WWWW[[#This Row],[Total required Latrines]]-(WWWW[[#This Row],['#_of_sanitary_fly-proof_HH_latrines]]))</f>
        <v>14</v>
      </c>
      <c r="BJ248" s="778">
        <f>1-WWWW[[#This Row],[% people access to functioning Latrine]]</f>
        <v>1</v>
      </c>
      <c r="BK24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48" s="772">
        <f>IF(WWWW[[#This Row],['#_of_functional_handwashing_facilities_at_HH_level]]*6&gt;WWWW[[#This Row],[Total PoP ]],WWWW[[#This Row],[Total PoP ]],WWWW[[#This Row],['#_of_functional_handwashing_facilities_at_HH_level]]*6)</f>
        <v>0</v>
      </c>
      <c r="BM248" s="781">
        <f>IF(WWWW[[#This Row],['# people reached by regular dedicated hygiene promotion]]&gt;WWWW[[#This Row],['# People received regular supply of hygiene items]],WWWW[[#This Row],['# people reached by regular dedicated hygiene promotion]],WWWW[[#This Row],['# People received regular supply of hygiene items]])</f>
        <v>0</v>
      </c>
      <c r="BN248" s="780">
        <f>IF(WWWW[[#This Row],[HRP3]]/WWWW[[#This Row],[Total PoP ]]&gt;100%,100%,WWWW[[#This Row],[HRP3]]/WWWW[[#This Row],[Total PoP ]])</f>
        <v>0</v>
      </c>
      <c r="BO248" s="778">
        <f>1-WWWW[[#This Row],[Hygiene Coverage%]]</f>
        <v>1</v>
      </c>
      <c r="BP248" s="777">
        <f>WWWW[[#This Row],['# people reached by regular dedicated hygiene promotion]]/WWWW[[#This Row],[Total PoP ]]</f>
        <v>0</v>
      </c>
      <c r="BQ24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8" s="770">
        <f>WWWW[[#This Row],['#_of_affected_women_and_girls_receiving_a_sufficient_quantity_of_sanitary_pads]]</f>
        <v>0</v>
      </c>
      <c r="BS248" s="773">
        <f>IF(WWWW[[#This Row],['# People with access to soap]]&gt;WWWW[[#This Row],['# People with access to Sanity Pads]],WWWW[[#This Row],['# People with access to soap]],WWWW[[#This Row],['# People with access to Sanity Pads]])</f>
        <v>0</v>
      </c>
      <c r="BT248" s="772" t="str">
        <f>IF(OR(WWWW[[#This Row],['#of students in school]]="",WWWW[[#This Row],['#of students in school]]=0),"No","Yes")</f>
        <v>Yes</v>
      </c>
      <c r="BU248" s="782" t="str">
        <f>VLOOKUP(WWWW[[#This Row],[Village  Name]],SiteDB6[[Site Name]:[Location Type 1]],9,FALSE)</f>
        <v>Village</v>
      </c>
      <c r="BV248" s="782" t="str">
        <f>VLOOKUP(WWWW[[#This Row],[Village  Name]],SiteDB6[[Site Name]:[Type of Accommodation]],10,FALSE)</f>
        <v>Village</v>
      </c>
      <c r="BW248" s="782">
        <f>VLOOKUP(WWWW[[#This Row],[Village  Name]],SiteDB6[[Site Name]:[Ethnic or GCA/NGCA]],11,FALSE)</f>
        <v>0</v>
      </c>
      <c r="BX248" s="782">
        <f>VLOOKUP(WWWW[[#This Row],[Village  Name]],SiteDB6[[Site Name]:[Lat]],12,FALSE)</f>
        <v>92.943733215332003</v>
      </c>
      <c r="BY248" s="782">
        <f>VLOOKUP(WWWW[[#This Row],[Village  Name]],SiteDB6[[Site Name]:[Long]],13,FALSE)</f>
        <v>20.0130805969238</v>
      </c>
      <c r="BZ248" s="782">
        <f>VLOOKUP(WWWW[[#This Row],[Village  Name]],SiteDB6[[Site Name]:[Pcode]],3,FALSE)</f>
        <v>217987</v>
      </c>
      <c r="CA248" s="782" t="str">
        <f t="shared" si="17"/>
        <v>Covered</v>
      </c>
      <c r="CB248" s="783"/>
    </row>
    <row r="249" spans="1:80">
      <c r="A249" s="774" t="s">
        <v>3199</v>
      </c>
      <c r="B249" s="727" t="s">
        <v>287</v>
      </c>
      <c r="C249" s="728" t="s">
        <v>287</v>
      </c>
      <c r="D249" s="728" t="s">
        <v>327</v>
      </c>
      <c r="E249" s="728" t="s">
        <v>2648</v>
      </c>
      <c r="F249" s="728" t="s">
        <v>402</v>
      </c>
      <c r="G249" s="644" t="str">
        <f>VLOOKUP(WWWW[[#This Row],[Village  Name]],SiteDB6[[Site Name]:[Location Type]],8,FALSE)</f>
        <v>Village</v>
      </c>
      <c r="H249" s="728" t="s">
        <v>806</v>
      </c>
      <c r="I249" s="775">
        <v>160</v>
      </c>
      <c r="J249" s="775">
        <v>728</v>
      </c>
      <c r="K249" s="784">
        <v>43359</v>
      </c>
      <c r="L249" s="785">
        <v>44196</v>
      </c>
      <c r="M249" s="775">
        <v>177</v>
      </c>
      <c r="N249" s="775"/>
      <c r="O249" s="773"/>
      <c r="P249" s="775"/>
      <c r="Q249" s="775">
        <v>0</v>
      </c>
      <c r="R249" s="775"/>
      <c r="S249" s="775">
        <v>728</v>
      </c>
      <c r="T249" s="775">
        <v>0</v>
      </c>
      <c r="U249" s="776"/>
      <c r="V249" s="775">
        <v>10</v>
      </c>
      <c r="W249" s="775" t="s">
        <v>126</v>
      </c>
      <c r="X249" s="775">
        <v>2</v>
      </c>
      <c r="Y249" s="775">
        <v>11</v>
      </c>
      <c r="Z249" s="775"/>
      <c r="AA249" s="775"/>
      <c r="AB249" s="775"/>
      <c r="AC249" s="776"/>
      <c r="AD249" s="775"/>
      <c r="AE249" s="775"/>
      <c r="AF249" s="775"/>
      <c r="AG249" s="775"/>
      <c r="AH249" s="775"/>
      <c r="AI249" s="775"/>
      <c r="AJ249" s="773"/>
      <c r="AK249" s="775"/>
      <c r="AL249" s="773"/>
      <c r="AM249" s="773"/>
      <c r="AN249" s="776"/>
      <c r="AO249" s="769"/>
      <c r="AP249" s="769"/>
      <c r="AQ249" s="773"/>
      <c r="AR249" s="773"/>
      <c r="AS249" s="773"/>
      <c r="AT24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49" s="779">
        <f>WWWW[[#This Row],[%Equitable and continuous access to sufficient quantity of safe drinking water]]*WWWW[[#This Row],[Total PoP ]]</f>
        <v>0</v>
      </c>
      <c r="AV24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49" s="779">
        <f>WWWW[[#This Row],[% Access to unimproved water points]]*WWWW[[#This Row],[Total PoP ]]</f>
        <v>728</v>
      </c>
      <c r="AX24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4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728</v>
      </c>
      <c r="AZ249" s="779">
        <f>WWWW[[#This Row],[HRP1]]/250</f>
        <v>2.9119999999999999</v>
      </c>
      <c r="BA249" s="780">
        <f>1-WWWW[[#This Row],[% Equitable and continuous access to sufficient quantity of domestic water]]</f>
        <v>0</v>
      </c>
      <c r="BB249" s="779">
        <f>WWWW[[#This Row],[%equitable and continuous access to sufficient quantity of safe drinking and domestic water''s GAP]]*WWWW[[#This Row],[Total PoP ]]</f>
        <v>0</v>
      </c>
      <c r="BC249" s="781">
        <f>IF(WWWW[[#This Row],[Total required water points]]-WWWW[[#This Row],['#Water points coverage]]&lt;0,0,WWWW[[#This Row],[Total required water points]]-WWWW[[#This Row],['#Water points coverage]])</f>
        <v>8.8000000000000078E-2</v>
      </c>
      <c r="BD249" s="781">
        <f>ROUND(IF(WWWW[[#This Row],[Total PoP ]]&lt;250,1,WWWW[[#This Row],[Total PoP ]]/250),0)</f>
        <v>3</v>
      </c>
      <c r="BE24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8.2417582417582416E-2</v>
      </c>
      <c r="BF249" s="779">
        <f>WWWW[[#This Row],[% people access to functioning Latrine]]*WWWW[[#This Row],[Total PoP ]]</f>
        <v>60</v>
      </c>
      <c r="BG249" s="781">
        <f>WWWW[[#This Row],['#_of_Functioning_latrines_in_school]]*50</f>
        <v>100</v>
      </c>
      <c r="BH249" s="781">
        <f>ROUND((WWWW[[#This Row],[Total PoP ]]/6),0)</f>
        <v>121</v>
      </c>
      <c r="BI249" s="781">
        <f>IF(WWWW[[#This Row],[Total required Latrines]]-(WWWW[[#This Row],['#_of_sanitary_fly-proof_HH_latrines]])&lt;0,0,WWWW[[#This Row],[Total required Latrines]]-(WWWW[[#This Row],['#_of_sanitary_fly-proof_HH_latrines]]))</f>
        <v>111</v>
      </c>
      <c r="BJ249" s="778">
        <f>1-WWWW[[#This Row],[% people access to functioning Latrine]]</f>
        <v>0.91758241758241754</v>
      </c>
      <c r="BK24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49" s="772">
        <f>IF(WWWW[[#This Row],['#_of_functional_handwashing_facilities_at_HH_level]]*6&gt;WWWW[[#This Row],[Total PoP ]],WWWW[[#This Row],[Total PoP ]],WWWW[[#This Row],['#_of_functional_handwashing_facilities_at_HH_level]]*6)</f>
        <v>0</v>
      </c>
      <c r="BM249" s="781">
        <f>IF(WWWW[[#This Row],['# people reached by regular dedicated hygiene promotion]]&gt;WWWW[[#This Row],['# People received regular supply of hygiene items]],WWWW[[#This Row],['# people reached by regular dedicated hygiene promotion]],WWWW[[#This Row],['# People received regular supply of hygiene items]])</f>
        <v>0</v>
      </c>
      <c r="BN249" s="780">
        <f>IF(WWWW[[#This Row],[HRP3]]/WWWW[[#This Row],[Total PoP ]]&gt;100%,100%,WWWW[[#This Row],[HRP3]]/WWWW[[#This Row],[Total PoP ]])</f>
        <v>0</v>
      </c>
      <c r="BO249" s="778">
        <f>1-WWWW[[#This Row],[Hygiene Coverage%]]</f>
        <v>1</v>
      </c>
      <c r="BP249" s="777">
        <f>WWWW[[#This Row],['# people reached by regular dedicated hygiene promotion]]/WWWW[[#This Row],[Total PoP ]]</f>
        <v>0</v>
      </c>
      <c r="BQ24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49" s="770">
        <f>WWWW[[#This Row],['#_of_affected_women_and_girls_receiving_a_sufficient_quantity_of_sanitary_pads]]</f>
        <v>0</v>
      </c>
      <c r="BS249" s="773">
        <f>IF(WWWW[[#This Row],['# People with access to soap]]&gt;WWWW[[#This Row],['# People with access to Sanity Pads]],WWWW[[#This Row],['# People with access to soap]],WWWW[[#This Row],['# People with access to Sanity Pads]])</f>
        <v>0</v>
      </c>
      <c r="BT249" s="772" t="str">
        <f>IF(OR(WWWW[[#This Row],['#of students in school]]="",WWWW[[#This Row],['#of students in school]]=0),"No","Yes")</f>
        <v>Yes</v>
      </c>
      <c r="BU249" s="782" t="str">
        <f>VLOOKUP(WWWW[[#This Row],[Village  Name]],SiteDB6[[Site Name]:[Location Type 1]],9,FALSE)</f>
        <v>Village</v>
      </c>
      <c r="BV249" s="782" t="str">
        <f>VLOOKUP(WWWW[[#This Row],[Village  Name]],SiteDB6[[Site Name]:[Type of Accommodation]],10,FALSE)</f>
        <v>Village</v>
      </c>
      <c r="BW249" s="782">
        <f>VLOOKUP(WWWW[[#This Row],[Village  Name]],SiteDB6[[Site Name]:[Ethnic or GCA/NGCA]],11,FALSE)</f>
        <v>0</v>
      </c>
      <c r="BX249" s="782">
        <f>VLOOKUP(WWWW[[#This Row],[Village  Name]],SiteDB6[[Site Name]:[Lat]],12,FALSE)</f>
        <v>19.94882965</v>
      </c>
      <c r="BY249" s="782">
        <f>VLOOKUP(WWWW[[#This Row],[Village  Name]],SiteDB6[[Site Name]:[Long]],13,FALSE)</f>
        <v>92.978782649999999</v>
      </c>
      <c r="BZ249" s="782">
        <f>VLOOKUP(WWWW[[#This Row],[Village  Name]],SiteDB6[[Site Name]:[Pcode]],3,FALSE)</f>
        <v>197566</v>
      </c>
      <c r="CA249" s="782" t="str">
        <f t="shared" si="17"/>
        <v>Covered</v>
      </c>
      <c r="CB249" s="783"/>
    </row>
    <row r="250" spans="1:80">
      <c r="A250" s="774" t="s">
        <v>3199</v>
      </c>
      <c r="B250" s="727" t="s">
        <v>314</v>
      </c>
      <c r="C250" s="728" t="s">
        <v>314</v>
      </c>
      <c r="D250" s="728" t="s">
        <v>327</v>
      </c>
      <c r="E250" s="728" t="s">
        <v>2648</v>
      </c>
      <c r="F250" s="728" t="s">
        <v>295</v>
      </c>
      <c r="G250" s="644" t="str">
        <f>VLOOKUP(WWWW[[#This Row],[Village  Name]],SiteDB6[[Site Name]:[Location Type]],8,FALSE)</f>
        <v>Village</v>
      </c>
      <c r="H250" s="728" t="s">
        <v>2577</v>
      </c>
      <c r="I250" s="775">
        <v>192</v>
      </c>
      <c r="J250" s="775">
        <v>1083</v>
      </c>
      <c r="K250" s="784">
        <v>42736</v>
      </c>
      <c r="L250" s="785">
        <v>44551</v>
      </c>
      <c r="M250" s="775"/>
      <c r="N250" s="775"/>
      <c r="O250" s="773">
        <v>2</v>
      </c>
      <c r="P250" s="775">
        <v>52</v>
      </c>
      <c r="Q250" s="775">
        <v>3</v>
      </c>
      <c r="R250" s="775">
        <v>53</v>
      </c>
      <c r="S250" s="775"/>
      <c r="T250" s="775"/>
      <c r="U250" s="776"/>
      <c r="V250" s="775">
        <v>112</v>
      </c>
      <c r="W250" s="775" t="s">
        <v>130</v>
      </c>
      <c r="X250" s="775"/>
      <c r="Y250" s="775"/>
      <c r="Z250" s="775"/>
      <c r="AA250" s="775"/>
      <c r="AB250" s="775"/>
      <c r="AC250" s="776"/>
      <c r="AD250" s="775"/>
      <c r="AE250" s="775"/>
      <c r="AF250" s="775"/>
      <c r="AG250" s="775"/>
      <c r="AH250" s="775"/>
      <c r="AI250" s="775"/>
      <c r="AJ250" s="773"/>
      <c r="AK250" s="775"/>
      <c r="AL250" s="773"/>
      <c r="AM250" s="773"/>
      <c r="AN250" s="776"/>
      <c r="AO250" s="769"/>
      <c r="AP250" s="769"/>
      <c r="AQ250" s="773"/>
      <c r="AR250" s="773"/>
      <c r="AS250" s="773"/>
      <c r="AT25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50" s="779">
        <f>WWWW[[#This Row],[%Equitable and continuous access to sufficient quantity of safe drinking water]]*WWWW[[#This Row],[Total PoP ]]</f>
        <v>1083</v>
      </c>
      <c r="AV25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50" s="779">
        <f>WWWW[[#This Row],[% Access to unimproved water points]]*WWWW[[#This Row],[Total PoP ]]</f>
        <v>1083</v>
      </c>
      <c r="AX25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5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1083</v>
      </c>
      <c r="AZ250" s="779">
        <f>WWWW[[#This Row],[HRP1]]/250</f>
        <v>4.3319999999999999</v>
      </c>
      <c r="BA250" s="780">
        <f>1-WWWW[[#This Row],[% Equitable and continuous access to sufficient quantity of domestic water]]</f>
        <v>0</v>
      </c>
      <c r="BB250" s="779">
        <f>WWWW[[#This Row],[%equitable and continuous access to sufficient quantity of safe drinking and domestic water''s GAP]]*WWWW[[#This Row],[Total PoP ]]</f>
        <v>0</v>
      </c>
      <c r="BC250" s="781">
        <f>IF(WWWW[[#This Row],[Total required water points]]-WWWW[[#This Row],['#Water points coverage]]&lt;0,0,WWWW[[#This Row],[Total required water points]]-WWWW[[#This Row],['#Water points coverage]])</f>
        <v>0</v>
      </c>
      <c r="BD250" s="781">
        <f>ROUND(IF(WWWW[[#This Row],[Total PoP ]]&lt;250,1,WWWW[[#This Row],[Total PoP ]]/250),0)</f>
        <v>4</v>
      </c>
      <c r="BE25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0.62049861495844871</v>
      </c>
      <c r="BF250" s="779">
        <f>WWWW[[#This Row],[% people access to functioning Latrine]]*WWWW[[#This Row],[Total PoP ]]</f>
        <v>672</v>
      </c>
      <c r="BG250" s="781">
        <f>WWWW[[#This Row],['#_of_Functioning_latrines_in_school]]*50</f>
        <v>0</v>
      </c>
      <c r="BH250" s="781">
        <f>ROUND((WWWW[[#This Row],[Total PoP ]]/6),0)</f>
        <v>181</v>
      </c>
      <c r="BI250" s="781">
        <f>IF(WWWW[[#This Row],[Total required Latrines]]-(WWWW[[#This Row],['#_of_sanitary_fly-proof_HH_latrines]])&lt;0,0,WWWW[[#This Row],[Total required Latrines]]-(WWWW[[#This Row],['#_of_sanitary_fly-proof_HH_latrines]]))</f>
        <v>69</v>
      </c>
      <c r="BJ250" s="778">
        <f>1-WWWW[[#This Row],[% people access to functioning Latrine]]</f>
        <v>0.37950138504155129</v>
      </c>
      <c r="BK25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0" s="772">
        <f>IF(WWWW[[#This Row],['#_of_functional_handwashing_facilities_at_HH_level]]*6&gt;WWWW[[#This Row],[Total PoP ]],WWWW[[#This Row],[Total PoP ]],WWWW[[#This Row],['#_of_functional_handwashing_facilities_at_HH_level]]*6)</f>
        <v>0</v>
      </c>
      <c r="BM250" s="781">
        <f>IF(WWWW[[#This Row],['# people reached by regular dedicated hygiene promotion]]&gt;WWWW[[#This Row],['# People received regular supply of hygiene items]],WWWW[[#This Row],['# people reached by regular dedicated hygiene promotion]],WWWW[[#This Row],['# People received regular supply of hygiene items]])</f>
        <v>0</v>
      </c>
      <c r="BN250" s="780">
        <f>IF(WWWW[[#This Row],[HRP3]]/WWWW[[#This Row],[Total PoP ]]&gt;100%,100%,WWWW[[#This Row],[HRP3]]/WWWW[[#This Row],[Total PoP ]])</f>
        <v>0</v>
      </c>
      <c r="BO250" s="778">
        <f>1-WWWW[[#This Row],[Hygiene Coverage%]]</f>
        <v>1</v>
      </c>
      <c r="BP250" s="777">
        <f>WWWW[[#This Row],['# people reached by regular dedicated hygiene promotion]]/WWWW[[#This Row],[Total PoP ]]</f>
        <v>0</v>
      </c>
      <c r="BQ25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0" s="770">
        <f>WWWW[[#This Row],['#_of_affected_women_and_girls_receiving_a_sufficient_quantity_of_sanitary_pads]]</f>
        <v>0</v>
      </c>
      <c r="BS250" s="773">
        <f>IF(WWWW[[#This Row],['# People with access to soap]]&gt;WWWW[[#This Row],['# People with access to Sanity Pads]],WWWW[[#This Row],['# People with access to soap]],WWWW[[#This Row],['# People with access to Sanity Pads]])</f>
        <v>0</v>
      </c>
      <c r="BT250" s="772" t="str">
        <f>IF(OR(WWWW[[#This Row],['#of students in school]]="",WWWW[[#This Row],['#of students in school]]=0),"No","Yes")</f>
        <v>No</v>
      </c>
      <c r="BU250" s="782" t="str">
        <f>VLOOKUP(WWWW[[#This Row],[Village  Name]],SiteDB6[[Site Name]:[Location Type 1]],9,FALSE)</f>
        <v>Village</v>
      </c>
      <c r="BV250" s="782" t="str">
        <f>VLOOKUP(WWWW[[#This Row],[Village  Name]],SiteDB6[[Site Name]:[Type of Accommodation]],10,FALSE)</f>
        <v>Village</v>
      </c>
      <c r="BW250" s="782">
        <f>VLOOKUP(WWWW[[#This Row],[Village  Name]],SiteDB6[[Site Name]:[Ethnic or GCA/NGCA]],11,FALSE)</f>
        <v>0</v>
      </c>
      <c r="BX250" s="782">
        <f>VLOOKUP(WWWW[[#This Row],[Village  Name]],SiteDB6[[Site Name]:[Lat]],12,FALSE)</f>
        <v>20.2034397125244</v>
      </c>
      <c r="BY250" s="782">
        <f>VLOOKUP(WWWW[[#This Row],[Village  Name]],SiteDB6[[Site Name]:[Long]],13,FALSE)</f>
        <v>92.909606933593807</v>
      </c>
      <c r="BZ250" s="782">
        <f>VLOOKUP(WWWW[[#This Row],[Village  Name]],SiteDB6[[Site Name]:[Pcode]],3,FALSE)</f>
        <v>196132</v>
      </c>
      <c r="CA250" s="782" t="str">
        <f t="shared" si="17"/>
        <v>Covered</v>
      </c>
      <c r="CB250" s="783"/>
    </row>
    <row r="251" spans="1:80">
      <c r="A251" s="774" t="s">
        <v>3199</v>
      </c>
      <c r="B251" s="727" t="s">
        <v>314</v>
      </c>
      <c r="C251" s="728" t="s">
        <v>314</v>
      </c>
      <c r="D251" s="728" t="s">
        <v>327</v>
      </c>
      <c r="E251" s="728" t="s">
        <v>2648</v>
      </c>
      <c r="F251" s="728" t="s">
        <v>295</v>
      </c>
      <c r="G251" s="644" t="str">
        <f>VLOOKUP(WWWW[[#This Row],[Village  Name]],SiteDB6[[Site Name]:[Location Type]],8,FALSE)</f>
        <v>Village</v>
      </c>
      <c r="H251" s="728" t="s">
        <v>2578</v>
      </c>
      <c r="I251" s="775">
        <v>65</v>
      </c>
      <c r="J251" s="775">
        <v>373</v>
      </c>
      <c r="K251" s="784">
        <v>42736</v>
      </c>
      <c r="L251" s="785">
        <v>44551</v>
      </c>
      <c r="M251" s="775"/>
      <c r="N251" s="775"/>
      <c r="O251" s="773">
        <v>4</v>
      </c>
      <c r="P251" s="775">
        <v>31</v>
      </c>
      <c r="Q251" s="775">
        <v>1</v>
      </c>
      <c r="R251" s="775"/>
      <c r="S251" s="775"/>
      <c r="T251" s="775"/>
      <c r="U251" s="776"/>
      <c r="V251" s="775">
        <v>44</v>
      </c>
      <c r="W251" s="775" t="s">
        <v>130</v>
      </c>
      <c r="X251" s="775"/>
      <c r="Y251" s="775"/>
      <c r="Z251" s="775"/>
      <c r="AA251" s="775"/>
      <c r="AB251" s="775"/>
      <c r="AC251" s="776"/>
      <c r="AD251" s="775"/>
      <c r="AE251" s="775"/>
      <c r="AF251" s="775"/>
      <c r="AG251" s="775"/>
      <c r="AH251" s="775"/>
      <c r="AI251" s="775"/>
      <c r="AJ251" s="773"/>
      <c r="AK251" s="775"/>
      <c r="AL251" s="773"/>
      <c r="AM251" s="773"/>
      <c r="AN251" s="776"/>
      <c r="AO251" s="769"/>
      <c r="AP251" s="769"/>
      <c r="AQ251" s="773"/>
      <c r="AR251" s="773"/>
      <c r="AS251" s="773"/>
      <c r="AT25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51" s="779">
        <f>WWWW[[#This Row],[%Equitable and continuous access to sufficient quantity of safe drinking water]]*WWWW[[#This Row],[Total PoP ]]</f>
        <v>373</v>
      </c>
      <c r="AV25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51" s="779">
        <f>WWWW[[#This Row],[% Access to unimproved water points]]*WWWW[[#This Row],[Total PoP ]]</f>
        <v>373</v>
      </c>
      <c r="AX25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5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373</v>
      </c>
      <c r="AZ251" s="779">
        <f>WWWW[[#This Row],[HRP1]]/250</f>
        <v>1.492</v>
      </c>
      <c r="BA251" s="780">
        <f>1-WWWW[[#This Row],[% Equitable and continuous access to sufficient quantity of domestic water]]</f>
        <v>0</v>
      </c>
      <c r="BB251" s="779">
        <f>WWWW[[#This Row],[%equitable and continuous access to sufficient quantity of safe drinking and domestic water''s GAP]]*WWWW[[#This Row],[Total PoP ]]</f>
        <v>0</v>
      </c>
      <c r="BC251" s="781">
        <f>IF(WWWW[[#This Row],[Total required water points]]-WWWW[[#This Row],['#Water points coverage]]&lt;0,0,WWWW[[#This Row],[Total required water points]]-WWWW[[#This Row],['#Water points coverage]])</f>
        <v>0</v>
      </c>
      <c r="BD251" s="781">
        <f>ROUND(IF(WWWW[[#This Row],[Total PoP ]]&lt;250,1,WWWW[[#This Row],[Total PoP ]]/250),0)</f>
        <v>1</v>
      </c>
      <c r="BE25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0.70777479892761397</v>
      </c>
      <c r="BF251" s="779">
        <f>WWWW[[#This Row],[% people access to functioning Latrine]]*WWWW[[#This Row],[Total PoP ]]</f>
        <v>264</v>
      </c>
      <c r="BG251" s="781">
        <f>WWWW[[#This Row],['#_of_Functioning_latrines_in_school]]*50</f>
        <v>0</v>
      </c>
      <c r="BH251" s="781">
        <f>ROUND((WWWW[[#This Row],[Total PoP ]]/6),0)</f>
        <v>62</v>
      </c>
      <c r="BI251" s="781">
        <f>IF(WWWW[[#This Row],[Total required Latrines]]-(WWWW[[#This Row],['#_of_sanitary_fly-proof_HH_latrines]])&lt;0,0,WWWW[[#This Row],[Total required Latrines]]-(WWWW[[#This Row],['#_of_sanitary_fly-proof_HH_latrines]]))</f>
        <v>18</v>
      </c>
      <c r="BJ251" s="778">
        <f>1-WWWW[[#This Row],[% people access to functioning Latrine]]</f>
        <v>0.29222520107238603</v>
      </c>
      <c r="BK25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1" s="772">
        <f>IF(WWWW[[#This Row],['#_of_functional_handwashing_facilities_at_HH_level]]*6&gt;WWWW[[#This Row],[Total PoP ]],WWWW[[#This Row],[Total PoP ]],WWWW[[#This Row],['#_of_functional_handwashing_facilities_at_HH_level]]*6)</f>
        <v>0</v>
      </c>
      <c r="BM251" s="781">
        <f>IF(WWWW[[#This Row],['# people reached by regular dedicated hygiene promotion]]&gt;WWWW[[#This Row],['# People received regular supply of hygiene items]],WWWW[[#This Row],['# people reached by regular dedicated hygiene promotion]],WWWW[[#This Row],['# People received regular supply of hygiene items]])</f>
        <v>0</v>
      </c>
      <c r="BN251" s="780">
        <f>IF(WWWW[[#This Row],[HRP3]]/WWWW[[#This Row],[Total PoP ]]&gt;100%,100%,WWWW[[#This Row],[HRP3]]/WWWW[[#This Row],[Total PoP ]])</f>
        <v>0</v>
      </c>
      <c r="BO251" s="778">
        <f>1-WWWW[[#This Row],[Hygiene Coverage%]]</f>
        <v>1</v>
      </c>
      <c r="BP251" s="777">
        <f>WWWW[[#This Row],['# people reached by regular dedicated hygiene promotion]]/WWWW[[#This Row],[Total PoP ]]</f>
        <v>0</v>
      </c>
      <c r="BQ25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1" s="770">
        <f>WWWW[[#This Row],['#_of_affected_women_and_girls_receiving_a_sufficient_quantity_of_sanitary_pads]]</f>
        <v>0</v>
      </c>
      <c r="BS251" s="773">
        <f>IF(WWWW[[#This Row],['# People with access to soap]]&gt;WWWW[[#This Row],['# People with access to Sanity Pads]],WWWW[[#This Row],['# People with access to soap]],WWWW[[#This Row],['# People with access to Sanity Pads]])</f>
        <v>0</v>
      </c>
      <c r="BT251" s="772" t="str">
        <f>IF(OR(WWWW[[#This Row],['#of students in school]]="",WWWW[[#This Row],['#of students in school]]=0),"No","Yes")</f>
        <v>No</v>
      </c>
      <c r="BU251" s="782" t="str">
        <f>VLOOKUP(WWWW[[#This Row],[Village  Name]],SiteDB6[[Site Name]:[Location Type 1]],9,FALSE)</f>
        <v>Village</v>
      </c>
      <c r="BV251" s="782" t="str">
        <f>VLOOKUP(WWWW[[#This Row],[Village  Name]],SiteDB6[[Site Name]:[Type of Accommodation]],10,FALSE)</f>
        <v>Village</v>
      </c>
      <c r="BW251" s="782">
        <f>VLOOKUP(WWWW[[#This Row],[Village  Name]],SiteDB6[[Site Name]:[Ethnic or GCA/NGCA]],11,FALSE)</f>
        <v>0</v>
      </c>
      <c r="BX251" s="782">
        <f>VLOOKUP(WWWW[[#This Row],[Village  Name]],SiteDB6[[Site Name]:[Lat]],12,FALSE)</f>
        <v>20.191799163818398</v>
      </c>
      <c r="BY251" s="782">
        <f>VLOOKUP(WWWW[[#This Row],[Village  Name]],SiteDB6[[Site Name]:[Long]],13,FALSE)</f>
        <v>92.9066162109375</v>
      </c>
      <c r="BZ251" s="782">
        <f>VLOOKUP(WWWW[[#This Row],[Village  Name]],SiteDB6[[Site Name]:[Pcode]],3,FALSE)</f>
        <v>196135</v>
      </c>
      <c r="CA251" s="782" t="str">
        <f t="shared" si="17"/>
        <v>Covered</v>
      </c>
      <c r="CB251" s="783"/>
    </row>
    <row r="252" spans="1:80">
      <c r="A252" s="774" t="s">
        <v>3199</v>
      </c>
      <c r="B252" s="727" t="s">
        <v>314</v>
      </c>
      <c r="C252" s="728" t="s">
        <v>314</v>
      </c>
      <c r="D252" s="728" t="s">
        <v>327</v>
      </c>
      <c r="E252" s="728" t="s">
        <v>2648</v>
      </c>
      <c r="F252" s="728" t="s">
        <v>295</v>
      </c>
      <c r="G252" s="644" t="str">
        <f>VLOOKUP(WWWW[[#This Row],[Village  Name]],SiteDB6[[Site Name]:[Location Type]],8,FALSE)</f>
        <v>Village</v>
      </c>
      <c r="H252" s="728" t="s">
        <v>2579</v>
      </c>
      <c r="I252" s="775">
        <v>86</v>
      </c>
      <c r="J252" s="775">
        <v>481</v>
      </c>
      <c r="K252" s="784">
        <v>42736</v>
      </c>
      <c r="L252" s="785">
        <v>44551</v>
      </c>
      <c r="M252" s="775"/>
      <c r="N252" s="775"/>
      <c r="O252" s="773">
        <v>8</v>
      </c>
      <c r="P252" s="775">
        <v>34</v>
      </c>
      <c r="Q252" s="775">
        <v>2</v>
      </c>
      <c r="R252" s="775"/>
      <c r="S252" s="775"/>
      <c r="T252" s="775"/>
      <c r="U252" s="776"/>
      <c r="V252" s="775">
        <v>67</v>
      </c>
      <c r="W252" s="775" t="s">
        <v>130</v>
      </c>
      <c r="X252" s="775"/>
      <c r="Y252" s="775"/>
      <c r="Z252" s="775"/>
      <c r="AA252" s="775"/>
      <c r="AB252" s="775"/>
      <c r="AC252" s="776"/>
      <c r="AD252" s="775"/>
      <c r="AE252" s="775"/>
      <c r="AF252" s="775"/>
      <c r="AG252" s="775"/>
      <c r="AH252" s="775"/>
      <c r="AI252" s="775"/>
      <c r="AJ252" s="773"/>
      <c r="AK252" s="775"/>
      <c r="AL252" s="773"/>
      <c r="AM252" s="773"/>
      <c r="AN252" s="776"/>
      <c r="AO252" s="769"/>
      <c r="AP252" s="769"/>
      <c r="AQ252" s="773"/>
      <c r="AR252" s="773"/>
      <c r="AS252" s="773"/>
      <c r="AT25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52" s="779">
        <f>WWWW[[#This Row],[%Equitable and continuous access to sufficient quantity of safe drinking water]]*WWWW[[#This Row],[Total PoP ]]</f>
        <v>481</v>
      </c>
      <c r="AV25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52" s="779">
        <f>WWWW[[#This Row],[% Access to unimproved water points]]*WWWW[[#This Row],[Total PoP ]]</f>
        <v>481</v>
      </c>
      <c r="AX25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5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481</v>
      </c>
      <c r="AZ252" s="779">
        <f>WWWW[[#This Row],[HRP1]]/250</f>
        <v>1.9239999999999999</v>
      </c>
      <c r="BA252" s="780">
        <f>1-WWWW[[#This Row],[% Equitable and continuous access to sufficient quantity of domestic water]]</f>
        <v>0</v>
      </c>
      <c r="BB252" s="779">
        <f>WWWW[[#This Row],[%equitable and continuous access to sufficient quantity of safe drinking and domestic water''s GAP]]*WWWW[[#This Row],[Total PoP ]]</f>
        <v>0</v>
      </c>
      <c r="BC252" s="781">
        <f>IF(WWWW[[#This Row],[Total required water points]]-WWWW[[#This Row],['#Water points coverage]]&lt;0,0,WWWW[[#This Row],[Total required water points]]-WWWW[[#This Row],['#Water points coverage]])</f>
        <v>7.6000000000000068E-2</v>
      </c>
      <c r="BD252" s="781">
        <f>ROUND(IF(WWWW[[#This Row],[Total PoP ]]&lt;250,1,WWWW[[#This Row],[Total PoP ]]/250),0)</f>
        <v>2</v>
      </c>
      <c r="BE25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0.83575883575883581</v>
      </c>
      <c r="BF252" s="779">
        <f>WWWW[[#This Row],[% people access to functioning Latrine]]*WWWW[[#This Row],[Total PoP ]]</f>
        <v>402</v>
      </c>
      <c r="BG252" s="781">
        <f>WWWW[[#This Row],['#_of_Functioning_latrines_in_school]]*50</f>
        <v>0</v>
      </c>
      <c r="BH252" s="781">
        <f>ROUND((WWWW[[#This Row],[Total PoP ]]/6),0)</f>
        <v>80</v>
      </c>
      <c r="BI252" s="781">
        <f>IF(WWWW[[#This Row],[Total required Latrines]]-(WWWW[[#This Row],['#_of_sanitary_fly-proof_HH_latrines]])&lt;0,0,WWWW[[#This Row],[Total required Latrines]]-(WWWW[[#This Row],['#_of_sanitary_fly-proof_HH_latrines]]))</f>
        <v>13</v>
      </c>
      <c r="BJ252" s="778">
        <f>1-WWWW[[#This Row],[% people access to functioning Latrine]]</f>
        <v>0.16424116424116419</v>
      </c>
      <c r="BK25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2" s="772">
        <f>IF(WWWW[[#This Row],['#_of_functional_handwashing_facilities_at_HH_level]]*6&gt;WWWW[[#This Row],[Total PoP ]],WWWW[[#This Row],[Total PoP ]],WWWW[[#This Row],['#_of_functional_handwashing_facilities_at_HH_level]]*6)</f>
        <v>0</v>
      </c>
      <c r="BM252" s="781">
        <f>IF(WWWW[[#This Row],['# people reached by regular dedicated hygiene promotion]]&gt;WWWW[[#This Row],['# People received regular supply of hygiene items]],WWWW[[#This Row],['# people reached by regular dedicated hygiene promotion]],WWWW[[#This Row],['# People received regular supply of hygiene items]])</f>
        <v>0</v>
      </c>
      <c r="BN252" s="780">
        <f>IF(WWWW[[#This Row],[HRP3]]/WWWW[[#This Row],[Total PoP ]]&gt;100%,100%,WWWW[[#This Row],[HRP3]]/WWWW[[#This Row],[Total PoP ]])</f>
        <v>0</v>
      </c>
      <c r="BO252" s="778">
        <f>1-WWWW[[#This Row],[Hygiene Coverage%]]</f>
        <v>1</v>
      </c>
      <c r="BP252" s="777">
        <f>WWWW[[#This Row],['# people reached by regular dedicated hygiene promotion]]/WWWW[[#This Row],[Total PoP ]]</f>
        <v>0</v>
      </c>
      <c r="BQ25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2" s="770">
        <f>WWWW[[#This Row],['#_of_affected_women_and_girls_receiving_a_sufficient_quantity_of_sanitary_pads]]</f>
        <v>0</v>
      </c>
      <c r="BS252" s="773">
        <f>IF(WWWW[[#This Row],['# People with access to soap]]&gt;WWWW[[#This Row],['# People with access to Sanity Pads]],WWWW[[#This Row],['# People with access to soap]],WWWW[[#This Row],['# People with access to Sanity Pads]])</f>
        <v>0</v>
      </c>
      <c r="BT252" s="772" t="str">
        <f>IF(OR(WWWW[[#This Row],['#of students in school]]="",WWWW[[#This Row],['#of students in school]]=0),"No","Yes")</f>
        <v>No</v>
      </c>
      <c r="BU252" s="782" t="str">
        <f>VLOOKUP(WWWW[[#This Row],[Village  Name]],SiteDB6[[Site Name]:[Location Type 1]],9,FALSE)</f>
        <v>Village</v>
      </c>
      <c r="BV252" s="782" t="str">
        <f>VLOOKUP(WWWW[[#This Row],[Village  Name]],SiteDB6[[Site Name]:[Type of Accommodation]],10,FALSE)</f>
        <v>Village</v>
      </c>
      <c r="BW252" s="782">
        <f>VLOOKUP(WWWW[[#This Row],[Village  Name]],SiteDB6[[Site Name]:[Ethnic or GCA/NGCA]],11,FALSE)</f>
        <v>0</v>
      </c>
      <c r="BX252" s="782">
        <f>VLOOKUP(WWWW[[#This Row],[Village  Name]],SiteDB6[[Site Name]:[Lat]],12,FALSE)</f>
        <v>20.187860488891602</v>
      </c>
      <c r="BY252" s="782">
        <f>VLOOKUP(WWWW[[#This Row],[Village  Name]],SiteDB6[[Site Name]:[Long]],13,FALSE)</f>
        <v>92.903419494628906</v>
      </c>
      <c r="BZ252" s="782">
        <f>VLOOKUP(WWWW[[#This Row],[Village  Name]],SiteDB6[[Site Name]:[Pcode]],3,FALSE)</f>
        <v>196134</v>
      </c>
      <c r="CA252" s="782" t="str">
        <f t="shared" si="17"/>
        <v>Covered</v>
      </c>
      <c r="CB252" s="783"/>
    </row>
    <row r="253" spans="1:80">
      <c r="A253" s="774" t="s">
        <v>3199</v>
      </c>
      <c r="B253" s="727" t="s">
        <v>314</v>
      </c>
      <c r="C253" s="728" t="s">
        <v>314</v>
      </c>
      <c r="D253" s="728" t="s">
        <v>327</v>
      </c>
      <c r="E253" s="728" t="s">
        <v>2648</v>
      </c>
      <c r="F253" s="728" t="s">
        <v>295</v>
      </c>
      <c r="G253" s="644" t="str">
        <f>VLOOKUP(WWWW[[#This Row],[Village  Name]],SiteDB6[[Site Name]:[Location Type]],8,FALSE)</f>
        <v>Village</v>
      </c>
      <c r="H253" s="728" t="s">
        <v>2580</v>
      </c>
      <c r="I253" s="775">
        <v>88</v>
      </c>
      <c r="J253" s="775">
        <v>454</v>
      </c>
      <c r="K253" s="784">
        <v>42736</v>
      </c>
      <c r="L253" s="785">
        <v>44551</v>
      </c>
      <c r="M253" s="775"/>
      <c r="N253" s="775"/>
      <c r="O253" s="773">
        <v>6</v>
      </c>
      <c r="P253" s="775">
        <v>41</v>
      </c>
      <c r="Q253" s="775">
        <v>1</v>
      </c>
      <c r="R253" s="775"/>
      <c r="S253" s="775"/>
      <c r="T253" s="775"/>
      <c r="U253" s="776"/>
      <c r="V253" s="775">
        <v>76</v>
      </c>
      <c r="W253" s="775" t="s">
        <v>130</v>
      </c>
      <c r="X253" s="775"/>
      <c r="Y253" s="775"/>
      <c r="Z253" s="775"/>
      <c r="AA253" s="775"/>
      <c r="AB253" s="775"/>
      <c r="AC253" s="776"/>
      <c r="AD253" s="775"/>
      <c r="AE253" s="775"/>
      <c r="AF253" s="775"/>
      <c r="AG253" s="775"/>
      <c r="AH253" s="775"/>
      <c r="AI253" s="775"/>
      <c r="AJ253" s="773"/>
      <c r="AK253" s="775"/>
      <c r="AL253" s="773"/>
      <c r="AM253" s="773"/>
      <c r="AN253" s="776"/>
      <c r="AO253" s="769"/>
      <c r="AP253" s="769"/>
      <c r="AQ253" s="773"/>
      <c r="AR253" s="773"/>
      <c r="AS253" s="773"/>
      <c r="AT25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53" s="779">
        <f>WWWW[[#This Row],[%Equitable and continuous access to sufficient quantity of safe drinking water]]*WWWW[[#This Row],[Total PoP ]]</f>
        <v>454</v>
      </c>
      <c r="AV25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53" s="779">
        <f>WWWW[[#This Row],[% Access to unimproved water points]]*WWWW[[#This Row],[Total PoP ]]</f>
        <v>454</v>
      </c>
      <c r="AX25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5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454</v>
      </c>
      <c r="AZ253" s="779">
        <f>WWWW[[#This Row],[HRP1]]/250</f>
        <v>1.8160000000000001</v>
      </c>
      <c r="BA253" s="780">
        <f>1-WWWW[[#This Row],[% Equitable and continuous access to sufficient quantity of domestic water]]</f>
        <v>0</v>
      </c>
      <c r="BB253" s="779">
        <f>WWWW[[#This Row],[%equitable and continuous access to sufficient quantity of safe drinking and domestic water''s GAP]]*WWWW[[#This Row],[Total PoP ]]</f>
        <v>0</v>
      </c>
      <c r="BC253" s="781">
        <f>IF(WWWW[[#This Row],[Total required water points]]-WWWW[[#This Row],['#Water points coverage]]&lt;0,0,WWWW[[#This Row],[Total required water points]]-WWWW[[#This Row],['#Water points coverage]])</f>
        <v>0.18399999999999994</v>
      </c>
      <c r="BD253" s="781">
        <f>ROUND(IF(WWWW[[#This Row],[Total PoP ]]&lt;250,1,WWWW[[#This Row],[Total PoP ]]/250),0)</f>
        <v>2</v>
      </c>
      <c r="BE25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53" s="779">
        <f>WWWW[[#This Row],[% people access to functioning Latrine]]*WWWW[[#This Row],[Total PoP ]]</f>
        <v>454</v>
      </c>
      <c r="BG253" s="781">
        <f>WWWW[[#This Row],['#_of_Functioning_latrines_in_school]]*50</f>
        <v>0</v>
      </c>
      <c r="BH253" s="781">
        <f>ROUND((WWWW[[#This Row],[Total PoP ]]/6),0)</f>
        <v>76</v>
      </c>
      <c r="BI253" s="781">
        <f>IF(WWWW[[#This Row],[Total required Latrines]]-(WWWW[[#This Row],['#_of_sanitary_fly-proof_HH_latrines]])&lt;0,0,WWWW[[#This Row],[Total required Latrines]]-(WWWW[[#This Row],['#_of_sanitary_fly-proof_HH_latrines]]))</f>
        <v>0</v>
      </c>
      <c r="BJ253" s="778">
        <f>1-WWWW[[#This Row],[% people access to functioning Latrine]]</f>
        <v>0</v>
      </c>
      <c r="BK25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3" s="772">
        <f>IF(WWWW[[#This Row],['#_of_functional_handwashing_facilities_at_HH_level]]*6&gt;WWWW[[#This Row],[Total PoP ]],WWWW[[#This Row],[Total PoP ]],WWWW[[#This Row],['#_of_functional_handwashing_facilities_at_HH_level]]*6)</f>
        <v>0</v>
      </c>
      <c r="BM253" s="781">
        <f>IF(WWWW[[#This Row],['# people reached by regular dedicated hygiene promotion]]&gt;WWWW[[#This Row],['# People received regular supply of hygiene items]],WWWW[[#This Row],['# people reached by regular dedicated hygiene promotion]],WWWW[[#This Row],['# People received regular supply of hygiene items]])</f>
        <v>0</v>
      </c>
      <c r="BN253" s="780">
        <f>IF(WWWW[[#This Row],[HRP3]]/WWWW[[#This Row],[Total PoP ]]&gt;100%,100%,WWWW[[#This Row],[HRP3]]/WWWW[[#This Row],[Total PoP ]])</f>
        <v>0</v>
      </c>
      <c r="BO253" s="778">
        <f>1-WWWW[[#This Row],[Hygiene Coverage%]]</f>
        <v>1</v>
      </c>
      <c r="BP253" s="777">
        <f>WWWW[[#This Row],['# people reached by regular dedicated hygiene promotion]]/WWWW[[#This Row],[Total PoP ]]</f>
        <v>0</v>
      </c>
      <c r="BQ25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3" s="770">
        <f>WWWW[[#This Row],['#_of_affected_women_and_girls_receiving_a_sufficient_quantity_of_sanitary_pads]]</f>
        <v>0</v>
      </c>
      <c r="BS253" s="773">
        <f>IF(WWWW[[#This Row],['# People with access to soap]]&gt;WWWW[[#This Row],['# People with access to Sanity Pads]],WWWW[[#This Row],['# People with access to soap]],WWWW[[#This Row],['# People with access to Sanity Pads]])</f>
        <v>0</v>
      </c>
      <c r="BT253" s="772" t="str">
        <f>IF(OR(WWWW[[#This Row],['#of students in school]]="",WWWW[[#This Row],['#of students in school]]=0),"No","Yes")</f>
        <v>No</v>
      </c>
      <c r="BU253" s="782" t="str">
        <f>VLOOKUP(WWWW[[#This Row],[Village  Name]],SiteDB6[[Site Name]:[Location Type 1]],9,FALSE)</f>
        <v>Village</v>
      </c>
      <c r="BV253" s="782" t="str">
        <f>VLOOKUP(WWWW[[#This Row],[Village  Name]],SiteDB6[[Site Name]:[Type of Accommodation]],10,FALSE)</f>
        <v>Village</v>
      </c>
      <c r="BW253" s="782">
        <f>VLOOKUP(WWWW[[#This Row],[Village  Name]],SiteDB6[[Site Name]:[Ethnic or GCA/NGCA]],11,FALSE)</f>
        <v>0</v>
      </c>
      <c r="BX253" s="782">
        <f>VLOOKUP(WWWW[[#This Row],[Village  Name]],SiteDB6[[Site Name]:[Lat]],12,FALSE)</f>
        <v>20.1899604797363</v>
      </c>
      <c r="BY253" s="782">
        <f>VLOOKUP(WWWW[[#This Row],[Village  Name]],SiteDB6[[Site Name]:[Long]],13,FALSE)</f>
        <v>92.895767211914105</v>
      </c>
      <c r="BZ253" s="782">
        <f>VLOOKUP(WWWW[[#This Row],[Village  Name]],SiteDB6[[Site Name]:[Pcode]],3,FALSE)</f>
        <v>196136</v>
      </c>
      <c r="CA253" s="782" t="str">
        <f t="shared" si="17"/>
        <v>Covered</v>
      </c>
      <c r="CB253" s="783"/>
    </row>
    <row r="254" spans="1:80">
      <c r="A254" s="774" t="s">
        <v>3199</v>
      </c>
      <c r="B254" s="727" t="s">
        <v>314</v>
      </c>
      <c r="C254" s="728" t="s">
        <v>314</v>
      </c>
      <c r="D254" s="728" t="s">
        <v>307</v>
      </c>
      <c r="E254" s="728" t="s">
        <v>2648</v>
      </c>
      <c r="F254" s="728" t="s">
        <v>295</v>
      </c>
      <c r="G254" s="644" t="str">
        <f>VLOOKUP(WWWW[[#This Row],[Village  Name]],SiteDB6[[Site Name]:[Location Type]],8,FALSE)</f>
        <v>Village</v>
      </c>
      <c r="H254" s="728" t="s">
        <v>2581</v>
      </c>
      <c r="I254" s="775">
        <v>218</v>
      </c>
      <c r="J254" s="775">
        <v>978</v>
      </c>
      <c r="K254" s="784">
        <v>42736</v>
      </c>
      <c r="L254" s="785">
        <v>44551</v>
      </c>
      <c r="M254" s="775"/>
      <c r="N254" s="775"/>
      <c r="O254" s="773">
        <v>9</v>
      </c>
      <c r="P254" s="775">
        <v>76</v>
      </c>
      <c r="Q254" s="775">
        <v>3</v>
      </c>
      <c r="R254" s="775"/>
      <c r="S254" s="775"/>
      <c r="T254" s="775"/>
      <c r="U254" s="776"/>
      <c r="V254" s="775">
        <v>118</v>
      </c>
      <c r="W254" s="775" t="s">
        <v>130</v>
      </c>
      <c r="X254" s="775"/>
      <c r="Y254" s="775"/>
      <c r="Z254" s="775"/>
      <c r="AA254" s="775"/>
      <c r="AB254" s="775"/>
      <c r="AC254" s="776"/>
      <c r="AD254" s="775"/>
      <c r="AE254" s="775"/>
      <c r="AF254" s="775"/>
      <c r="AG254" s="775"/>
      <c r="AH254" s="775"/>
      <c r="AI254" s="775"/>
      <c r="AJ254" s="773"/>
      <c r="AK254" s="775"/>
      <c r="AL254" s="773"/>
      <c r="AM254" s="773"/>
      <c r="AN254" s="776"/>
      <c r="AO254" s="769"/>
      <c r="AP254" s="769"/>
      <c r="AQ254" s="773"/>
      <c r="AR254" s="773"/>
      <c r="AS254" s="773"/>
      <c r="AT25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54" s="779">
        <f>WWWW[[#This Row],[%Equitable and continuous access to sufficient quantity of safe drinking water]]*WWWW[[#This Row],[Total PoP ]]</f>
        <v>978</v>
      </c>
      <c r="AV25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54" s="779">
        <f>WWWW[[#This Row],[% Access to unimproved water points]]*WWWW[[#This Row],[Total PoP ]]</f>
        <v>978</v>
      </c>
      <c r="AX25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5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978</v>
      </c>
      <c r="AZ254" s="779">
        <f>WWWW[[#This Row],[HRP1]]/250</f>
        <v>3.9119999999999999</v>
      </c>
      <c r="BA254" s="780">
        <f>1-WWWW[[#This Row],[% Equitable and continuous access to sufficient quantity of domestic water]]</f>
        <v>0</v>
      </c>
      <c r="BB254" s="779">
        <f>WWWW[[#This Row],[%equitable and continuous access to sufficient quantity of safe drinking and domestic water''s GAP]]*WWWW[[#This Row],[Total PoP ]]</f>
        <v>0</v>
      </c>
      <c r="BC254" s="781">
        <f>IF(WWWW[[#This Row],[Total required water points]]-WWWW[[#This Row],['#Water points coverage]]&lt;0,0,WWWW[[#This Row],[Total required water points]]-WWWW[[#This Row],['#Water points coverage]])</f>
        <v>8.8000000000000078E-2</v>
      </c>
      <c r="BD254" s="781">
        <f>ROUND(IF(WWWW[[#This Row],[Total PoP ]]&lt;250,1,WWWW[[#This Row],[Total PoP ]]/250),0)</f>
        <v>4</v>
      </c>
      <c r="BE25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0.7239263803680982</v>
      </c>
      <c r="BF254" s="779">
        <f>WWWW[[#This Row],[% people access to functioning Latrine]]*WWWW[[#This Row],[Total PoP ]]</f>
        <v>708</v>
      </c>
      <c r="BG254" s="781">
        <f>WWWW[[#This Row],['#_of_Functioning_latrines_in_school]]*50</f>
        <v>0</v>
      </c>
      <c r="BH254" s="781">
        <f>ROUND((WWWW[[#This Row],[Total PoP ]]/6),0)</f>
        <v>163</v>
      </c>
      <c r="BI254" s="781">
        <f>IF(WWWW[[#This Row],[Total required Latrines]]-(WWWW[[#This Row],['#_of_sanitary_fly-proof_HH_latrines]])&lt;0,0,WWWW[[#This Row],[Total required Latrines]]-(WWWW[[#This Row],['#_of_sanitary_fly-proof_HH_latrines]]))</f>
        <v>45</v>
      </c>
      <c r="BJ254" s="778">
        <f>1-WWWW[[#This Row],[% people access to functioning Latrine]]</f>
        <v>0.2760736196319018</v>
      </c>
      <c r="BK25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4" s="772">
        <f>IF(WWWW[[#This Row],['#_of_functional_handwashing_facilities_at_HH_level]]*6&gt;WWWW[[#This Row],[Total PoP ]],WWWW[[#This Row],[Total PoP ]],WWWW[[#This Row],['#_of_functional_handwashing_facilities_at_HH_level]]*6)</f>
        <v>0</v>
      </c>
      <c r="BM254" s="781">
        <f>IF(WWWW[[#This Row],['# people reached by regular dedicated hygiene promotion]]&gt;WWWW[[#This Row],['# People received regular supply of hygiene items]],WWWW[[#This Row],['# people reached by regular dedicated hygiene promotion]],WWWW[[#This Row],['# People received regular supply of hygiene items]])</f>
        <v>0</v>
      </c>
      <c r="BN254" s="780">
        <f>IF(WWWW[[#This Row],[HRP3]]/WWWW[[#This Row],[Total PoP ]]&gt;100%,100%,WWWW[[#This Row],[HRP3]]/WWWW[[#This Row],[Total PoP ]])</f>
        <v>0</v>
      </c>
      <c r="BO254" s="778">
        <f>1-WWWW[[#This Row],[Hygiene Coverage%]]</f>
        <v>1</v>
      </c>
      <c r="BP254" s="777">
        <f>WWWW[[#This Row],['# people reached by regular dedicated hygiene promotion]]/WWWW[[#This Row],[Total PoP ]]</f>
        <v>0</v>
      </c>
      <c r="BQ25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4" s="770">
        <f>WWWW[[#This Row],['#_of_affected_women_and_girls_receiving_a_sufficient_quantity_of_sanitary_pads]]</f>
        <v>0</v>
      </c>
      <c r="BS254" s="773">
        <f>IF(WWWW[[#This Row],['# People with access to soap]]&gt;WWWW[[#This Row],['# People with access to Sanity Pads]],WWWW[[#This Row],['# People with access to soap]],WWWW[[#This Row],['# People with access to Sanity Pads]])</f>
        <v>0</v>
      </c>
      <c r="BT254" s="772" t="str">
        <f>IF(OR(WWWW[[#This Row],['#of students in school]]="",WWWW[[#This Row],['#of students in school]]=0),"No","Yes")</f>
        <v>No</v>
      </c>
      <c r="BU254" s="782" t="str">
        <f>VLOOKUP(WWWW[[#This Row],[Village  Name]],SiteDB6[[Site Name]:[Location Type 1]],9,FALSE)</f>
        <v>Village</v>
      </c>
      <c r="BV254" s="782" t="str">
        <f>VLOOKUP(WWWW[[#This Row],[Village  Name]],SiteDB6[[Site Name]:[Type of Accommodation]],10,FALSE)</f>
        <v>Village</v>
      </c>
      <c r="BW254" s="782">
        <f>VLOOKUP(WWWW[[#This Row],[Village  Name]],SiteDB6[[Site Name]:[Ethnic or GCA/NGCA]],11,FALSE)</f>
        <v>0</v>
      </c>
      <c r="BX254" s="782">
        <f>VLOOKUP(WWWW[[#This Row],[Village  Name]],SiteDB6[[Site Name]:[Lat]],12,FALSE)</f>
        <v>20.2630290985107</v>
      </c>
      <c r="BY254" s="782">
        <f>VLOOKUP(WWWW[[#This Row],[Village  Name]],SiteDB6[[Site Name]:[Long]],13,FALSE)</f>
        <v>92.858856201171903</v>
      </c>
      <c r="BZ254" s="782">
        <f>VLOOKUP(WWWW[[#This Row],[Village  Name]],SiteDB6[[Site Name]:[Pcode]],3,FALSE)</f>
        <v>196166</v>
      </c>
      <c r="CA254" s="782" t="str">
        <f t="shared" si="17"/>
        <v>Covered</v>
      </c>
      <c r="CB254" s="783"/>
    </row>
    <row r="255" spans="1:80">
      <c r="A255" s="774" t="s">
        <v>3199</v>
      </c>
      <c r="B255" s="727" t="s">
        <v>314</v>
      </c>
      <c r="C255" s="728" t="s">
        <v>314</v>
      </c>
      <c r="D255" s="728" t="s">
        <v>307</v>
      </c>
      <c r="E255" s="728" t="s">
        <v>2648</v>
      </c>
      <c r="F255" s="728" t="s">
        <v>295</v>
      </c>
      <c r="G255" s="644" t="str">
        <f>VLOOKUP(WWWW[[#This Row],[Village  Name]],SiteDB6[[Site Name]:[Location Type]],8,FALSE)</f>
        <v>Village</v>
      </c>
      <c r="H255" s="728" t="s">
        <v>2582</v>
      </c>
      <c r="I255" s="775">
        <v>147</v>
      </c>
      <c r="J255" s="775">
        <v>741</v>
      </c>
      <c r="K255" s="784">
        <v>42736</v>
      </c>
      <c r="L255" s="785">
        <v>44551</v>
      </c>
      <c r="M255" s="775"/>
      <c r="N255" s="775"/>
      <c r="O255" s="773">
        <v>4</v>
      </c>
      <c r="P255" s="775">
        <v>42</v>
      </c>
      <c r="Q255" s="775">
        <v>2</v>
      </c>
      <c r="R255" s="775"/>
      <c r="S255" s="775"/>
      <c r="T255" s="775"/>
      <c r="U255" s="776"/>
      <c r="V255" s="775">
        <v>123</v>
      </c>
      <c r="W255" s="775" t="s">
        <v>130</v>
      </c>
      <c r="X255" s="775"/>
      <c r="Y255" s="775"/>
      <c r="Z255" s="775"/>
      <c r="AA255" s="775"/>
      <c r="AB255" s="775"/>
      <c r="AC255" s="776"/>
      <c r="AD255" s="775"/>
      <c r="AE255" s="775"/>
      <c r="AF255" s="775"/>
      <c r="AG255" s="775"/>
      <c r="AH255" s="775"/>
      <c r="AI255" s="775"/>
      <c r="AJ255" s="773"/>
      <c r="AK255" s="775"/>
      <c r="AL255" s="773"/>
      <c r="AM255" s="773"/>
      <c r="AN255" s="776"/>
      <c r="AO255" s="769"/>
      <c r="AP255" s="769"/>
      <c r="AQ255" s="773"/>
      <c r="AR255" s="773"/>
      <c r="AS255" s="773"/>
      <c r="AT25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55" s="779">
        <f>WWWW[[#This Row],[%Equitable and continuous access to sufficient quantity of safe drinking water]]*WWWW[[#This Row],[Total PoP ]]</f>
        <v>741</v>
      </c>
      <c r="AV25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55" s="779">
        <f>WWWW[[#This Row],[% Access to unimproved water points]]*WWWW[[#This Row],[Total PoP ]]</f>
        <v>741</v>
      </c>
      <c r="AX25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5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741</v>
      </c>
      <c r="AZ255" s="779">
        <f>WWWW[[#This Row],[HRP1]]/250</f>
        <v>2.964</v>
      </c>
      <c r="BA255" s="780">
        <f>1-WWWW[[#This Row],[% Equitable and continuous access to sufficient quantity of domestic water]]</f>
        <v>0</v>
      </c>
      <c r="BB255" s="779">
        <f>WWWW[[#This Row],[%equitable and continuous access to sufficient quantity of safe drinking and domestic water''s GAP]]*WWWW[[#This Row],[Total PoP ]]</f>
        <v>0</v>
      </c>
      <c r="BC255" s="781">
        <f>IF(WWWW[[#This Row],[Total required water points]]-WWWW[[#This Row],['#Water points coverage]]&lt;0,0,WWWW[[#This Row],[Total required water points]]-WWWW[[#This Row],['#Water points coverage]])</f>
        <v>3.6000000000000032E-2</v>
      </c>
      <c r="BD255" s="781">
        <f>ROUND(IF(WWWW[[#This Row],[Total PoP ]]&lt;250,1,WWWW[[#This Row],[Total PoP ]]/250),0)</f>
        <v>3</v>
      </c>
      <c r="BE25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0.99595141700404854</v>
      </c>
      <c r="BF255" s="779">
        <f>WWWW[[#This Row],[% people access to functioning Latrine]]*WWWW[[#This Row],[Total PoP ]]</f>
        <v>738</v>
      </c>
      <c r="BG255" s="781">
        <f>WWWW[[#This Row],['#_of_Functioning_latrines_in_school]]*50</f>
        <v>0</v>
      </c>
      <c r="BH255" s="781">
        <f>ROUND((WWWW[[#This Row],[Total PoP ]]/6),0)</f>
        <v>124</v>
      </c>
      <c r="BI255" s="781">
        <f>IF(WWWW[[#This Row],[Total required Latrines]]-(WWWW[[#This Row],['#_of_sanitary_fly-proof_HH_latrines]])&lt;0,0,WWWW[[#This Row],[Total required Latrines]]-(WWWW[[#This Row],['#_of_sanitary_fly-proof_HH_latrines]]))</f>
        <v>1</v>
      </c>
      <c r="BJ255" s="778">
        <f>1-WWWW[[#This Row],[% people access to functioning Latrine]]</f>
        <v>4.0485829959514552E-3</v>
      </c>
      <c r="BK25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5" s="772">
        <f>IF(WWWW[[#This Row],['#_of_functional_handwashing_facilities_at_HH_level]]*6&gt;WWWW[[#This Row],[Total PoP ]],WWWW[[#This Row],[Total PoP ]],WWWW[[#This Row],['#_of_functional_handwashing_facilities_at_HH_level]]*6)</f>
        <v>0</v>
      </c>
      <c r="BM255" s="781">
        <f>IF(WWWW[[#This Row],['# people reached by regular dedicated hygiene promotion]]&gt;WWWW[[#This Row],['# People received regular supply of hygiene items]],WWWW[[#This Row],['# people reached by regular dedicated hygiene promotion]],WWWW[[#This Row],['# People received regular supply of hygiene items]])</f>
        <v>0</v>
      </c>
      <c r="BN255" s="780">
        <f>IF(WWWW[[#This Row],[HRP3]]/WWWW[[#This Row],[Total PoP ]]&gt;100%,100%,WWWW[[#This Row],[HRP3]]/WWWW[[#This Row],[Total PoP ]])</f>
        <v>0</v>
      </c>
      <c r="BO255" s="778">
        <f>1-WWWW[[#This Row],[Hygiene Coverage%]]</f>
        <v>1</v>
      </c>
      <c r="BP255" s="777">
        <f>WWWW[[#This Row],['# people reached by regular dedicated hygiene promotion]]/WWWW[[#This Row],[Total PoP ]]</f>
        <v>0</v>
      </c>
      <c r="BQ25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5" s="770">
        <f>WWWW[[#This Row],['#_of_affected_women_and_girls_receiving_a_sufficient_quantity_of_sanitary_pads]]</f>
        <v>0</v>
      </c>
      <c r="BS255" s="773">
        <f>IF(WWWW[[#This Row],['# People with access to soap]]&gt;WWWW[[#This Row],['# People with access to Sanity Pads]],WWWW[[#This Row],['# People with access to soap]],WWWW[[#This Row],['# People with access to Sanity Pads]])</f>
        <v>0</v>
      </c>
      <c r="BT255" s="772" t="str">
        <f>IF(OR(WWWW[[#This Row],['#of students in school]]="",WWWW[[#This Row],['#of students in school]]=0),"No","Yes")</f>
        <v>No</v>
      </c>
      <c r="BU255" s="782" t="str">
        <f>VLOOKUP(WWWW[[#This Row],[Village  Name]],SiteDB6[[Site Name]:[Location Type 1]],9,FALSE)</f>
        <v>Village</v>
      </c>
      <c r="BV255" s="782" t="str">
        <f>VLOOKUP(WWWW[[#This Row],[Village  Name]],SiteDB6[[Site Name]:[Type of Accommodation]],10,FALSE)</f>
        <v>Village</v>
      </c>
      <c r="BW255" s="782">
        <f>VLOOKUP(WWWW[[#This Row],[Village  Name]],SiteDB6[[Site Name]:[Ethnic or GCA/NGCA]],11,FALSE)</f>
        <v>0</v>
      </c>
      <c r="BX255" s="782">
        <f>VLOOKUP(WWWW[[#This Row],[Village  Name]],SiteDB6[[Site Name]:[Lat]],12,FALSE)</f>
        <v>20.248519897460898</v>
      </c>
      <c r="BY255" s="782">
        <f>VLOOKUP(WWWW[[#This Row],[Village  Name]],SiteDB6[[Site Name]:[Long]],13,FALSE)</f>
        <v>92.8621826171875</v>
      </c>
      <c r="BZ255" s="782">
        <f>VLOOKUP(WWWW[[#This Row],[Village  Name]],SiteDB6[[Site Name]:[Pcode]],3,FALSE)</f>
        <v>196170</v>
      </c>
      <c r="CA255" s="782" t="str">
        <f t="shared" si="17"/>
        <v>Covered</v>
      </c>
      <c r="CB255" s="783"/>
    </row>
    <row r="256" spans="1:80">
      <c r="A256" s="774" t="s">
        <v>3199</v>
      </c>
      <c r="B256" s="727" t="s">
        <v>314</v>
      </c>
      <c r="C256" s="728" t="s">
        <v>314</v>
      </c>
      <c r="D256" s="728" t="s">
        <v>307</v>
      </c>
      <c r="E256" s="728" t="s">
        <v>2648</v>
      </c>
      <c r="F256" s="728" t="s">
        <v>295</v>
      </c>
      <c r="G256" s="644" t="str">
        <f>VLOOKUP(WWWW[[#This Row],[Village  Name]],SiteDB6[[Site Name]:[Location Type]],8,FALSE)</f>
        <v>Village</v>
      </c>
      <c r="H256" s="728" t="s">
        <v>2583</v>
      </c>
      <c r="I256" s="775">
        <v>235</v>
      </c>
      <c r="J256" s="775">
        <v>1117</v>
      </c>
      <c r="K256" s="784">
        <v>42736</v>
      </c>
      <c r="L256" s="785">
        <v>44551</v>
      </c>
      <c r="M256" s="775"/>
      <c r="N256" s="775"/>
      <c r="O256" s="773">
        <v>2</v>
      </c>
      <c r="P256" s="775">
        <v>132</v>
      </c>
      <c r="Q256" s="775">
        <v>3</v>
      </c>
      <c r="R256" s="775"/>
      <c r="S256" s="775"/>
      <c r="T256" s="775"/>
      <c r="U256" s="776"/>
      <c r="V256" s="775">
        <v>216</v>
      </c>
      <c r="W256" s="775" t="s">
        <v>130</v>
      </c>
      <c r="X256" s="775"/>
      <c r="Y256" s="775"/>
      <c r="Z256" s="775"/>
      <c r="AA256" s="775"/>
      <c r="AB256" s="775"/>
      <c r="AC256" s="776"/>
      <c r="AD256" s="775"/>
      <c r="AE256" s="775"/>
      <c r="AF256" s="775"/>
      <c r="AG256" s="775"/>
      <c r="AH256" s="775"/>
      <c r="AI256" s="775"/>
      <c r="AJ256" s="773"/>
      <c r="AK256" s="775"/>
      <c r="AL256" s="773"/>
      <c r="AM256" s="773"/>
      <c r="AN256" s="776"/>
      <c r="AO256" s="769"/>
      <c r="AP256" s="769"/>
      <c r="AQ256" s="773"/>
      <c r="AR256" s="773"/>
      <c r="AS256" s="773"/>
      <c r="AT25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56" s="779">
        <f>WWWW[[#This Row],[%Equitable and continuous access to sufficient quantity of safe drinking water]]*WWWW[[#This Row],[Total PoP ]]</f>
        <v>1117</v>
      </c>
      <c r="AV25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56" s="779">
        <f>WWWW[[#This Row],[% Access to unimproved water points]]*WWWW[[#This Row],[Total PoP ]]</f>
        <v>1117</v>
      </c>
      <c r="AX25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5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1117</v>
      </c>
      <c r="AZ256" s="779">
        <f>WWWW[[#This Row],[HRP1]]/250</f>
        <v>4.468</v>
      </c>
      <c r="BA256" s="780">
        <f>1-WWWW[[#This Row],[% Equitable and continuous access to sufficient quantity of domestic water]]</f>
        <v>0</v>
      </c>
      <c r="BB256" s="779">
        <f>WWWW[[#This Row],[%equitable and continuous access to sufficient quantity of safe drinking and domestic water''s GAP]]*WWWW[[#This Row],[Total PoP ]]</f>
        <v>0</v>
      </c>
      <c r="BC256" s="781">
        <f>IF(WWWW[[#This Row],[Total required water points]]-WWWW[[#This Row],['#Water points coverage]]&lt;0,0,WWWW[[#This Row],[Total required water points]]-WWWW[[#This Row],['#Water points coverage]])</f>
        <v>0</v>
      </c>
      <c r="BD256" s="781">
        <f>ROUND(IF(WWWW[[#This Row],[Total PoP ]]&lt;250,1,WWWW[[#This Row],[Total PoP ]]/250),0)</f>
        <v>4</v>
      </c>
      <c r="BE25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56" s="779">
        <f>WWWW[[#This Row],[% people access to functioning Latrine]]*WWWW[[#This Row],[Total PoP ]]</f>
        <v>1117</v>
      </c>
      <c r="BG256" s="781">
        <f>WWWW[[#This Row],['#_of_Functioning_latrines_in_school]]*50</f>
        <v>0</v>
      </c>
      <c r="BH256" s="781">
        <f>ROUND((WWWW[[#This Row],[Total PoP ]]/6),0)</f>
        <v>186</v>
      </c>
      <c r="BI256" s="781">
        <f>IF(WWWW[[#This Row],[Total required Latrines]]-(WWWW[[#This Row],['#_of_sanitary_fly-proof_HH_latrines]])&lt;0,0,WWWW[[#This Row],[Total required Latrines]]-(WWWW[[#This Row],['#_of_sanitary_fly-proof_HH_latrines]]))</f>
        <v>0</v>
      </c>
      <c r="BJ256" s="778">
        <f>1-WWWW[[#This Row],[% people access to functioning Latrine]]</f>
        <v>0</v>
      </c>
      <c r="BK25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6" s="772">
        <f>IF(WWWW[[#This Row],['#_of_functional_handwashing_facilities_at_HH_level]]*6&gt;WWWW[[#This Row],[Total PoP ]],WWWW[[#This Row],[Total PoP ]],WWWW[[#This Row],['#_of_functional_handwashing_facilities_at_HH_level]]*6)</f>
        <v>0</v>
      </c>
      <c r="BM256" s="781">
        <f>IF(WWWW[[#This Row],['# people reached by regular dedicated hygiene promotion]]&gt;WWWW[[#This Row],['# People received regular supply of hygiene items]],WWWW[[#This Row],['# people reached by regular dedicated hygiene promotion]],WWWW[[#This Row],['# People received regular supply of hygiene items]])</f>
        <v>0</v>
      </c>
      <c r="BN256" s="780">
        <f>IF(WWWW[[#This Row],[HRP3]]/WWWW[[#This Row],[Total PoP ]]&gt;100%,100%,WWWW[[#This Row],[HRP3]]/WWWW[[#This Row],[Total PoP ]])</f>
        <v>0</v>
      </c>
      <c r="BO256" s="778">
        <f>1-WWWW[[#This Row],[Hygiene Coverage%]]</f>
        <v>1</v>
      </c>
      <c r="BP256" s="777">
        <f>WWWW[[#This Row],['# people reached by regular dedicated hygiene promotion]]/WWWW[[#This Row],[Total PoP ]]</f>
        <v>0</v>
      </c>
      <c r="BQ25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6" s="770">
        <f>WWWW[[#This Row],['#_of_affected_women_and_girls_receiving_a_sufficient_quantity_of_sanitary_pads]]</f>
        <v>0</v>
      </c>
      <c r="BS256" s="773">
        <f>IF(WWWW[[#This Row],['# People with access to soap]]&gt;WWWW[[#This Row],['# People with access to Sanity Pads]],WWWW[[#This Row],['# People with access to soap]],WWWW[[#This Row],['# People with access to Sanity Pads]])</f>
        <v>0</v>
      </c>
      <c r="BT256" s="772" t="str">
        <f>IF(OR(WWWW[[#This Row],['#of students in school]]="",WWWW[[#This Row],['#of students in school]]=0),"No","Yes")</f>
        <v>No</v>
      </c>
      <c r="BU256" s="782" t="str">
        <f>VLOOKUP(WWWW[[#This Row],[Village  Name]],SiteDB6[[Site Name]:[Location Type 1]],9,FALSE)</f>
        <v>Village</v>
      </c>
      <c r="BV256" s="782" t="str">
        <f>VLOOKUP(WWWW[[#This Row],[Village  Name]],SiteDB6[[Site Name]:[Type of Accommodation]],10,FALSE)</f>
        <v>Village</v>
      </c>
      <c r="BW256" s="782">
        <f>VLOOKUP(WWWW[[#This Row],[Village  Name]],SiteDB6[[Site Name]:[Ethnic or GCA/NGCA]],11,FALSE)</f>
        <v>0</v>
      </c>
      <c r="BX256" s="782">
        <f>VLOOKUP(WWWW[[#This Row],[Village  Name]],SiteDB6[[Site Name]:[Lat]],12,FALSE)</f>
        <v>20.2375602722168</v>
      </c>
      <c r="BY256" s="782">
        <f>VLOOKUP(WWWW[[#This Row],[Village  Name]],SiteDB6[[Site Name]:[Long]],13,FALSE)</f>
        <v>92.861152648925795</v>
      </c>
      <c r="BZ256" s="782">
        <f>VLOOKUP(WWWW[[#This Row],[Village  Name]],SiteDB6[[Site Name]:[Pcode]],3,FALSE)</f>
        <v>196169</v>
      </c>
      <c r="CA256" s="782" t="str">
        <f t="shared" si="17"/>
        <v>Covered</v>
      </c>
      <c r="CB256" s="783"/>
    </row>
    <row r="257" spans="1:80">
      <c r="A257" s="774" t="s">
        <v>3199</v>
      </c>
      <c r="B257" s="727" t="s">
        <v>314</v>
      </c>
      <c r="C257" s="728" t="s">
        <v>314</v>
      </c>
      <c r="D257" s="728" t="s">
        <v>307</v>
      </c>
      <c r="E257" s="728" t="s">
        <v>2648</v>
      </c>
      <c r="F257" s="728" t="s">
        <v>295</v>
      </c>
      <c r="G257" s="644" t="str">
        <f>VLOOKUP(WWWW[[#This Row],[Village  Name]],SiteDB6[[Site Name]:[Location Type]],8,FALSE)</f>
        <v>Village</v>
      </c>
      <c r="H257" s="728" t="s">
        <v>446</v>
      </c>
      <c r="I257" s="775">
        <v>156</v>
      </c>
      <c r="J257" s="775">
        <v>658</v>
      </c>
      <c r="K257" s="784">
        <v>42736</v>
      </c>
      <c r="L257" s="785">
        <v>44551</v>
      </c>
      <c r="M257" s="775"/>
      <c r="N257" s="775"/>
      <c r="O257" s="773"/>
      <c r="P257" s="775">
        <v>88</v>
      </c>
      <c r="Q257" s="775">
        <v>2</v>
      </c>
      <c r="R257" s="775"/>
      <c r="S257" s="775"/>
      <c r="T257" s="775"/>
      <c r="U257" s="776"/>
      <c r="V257" s="775">
        <v>98</v>
      </c>
      <c r="W257" s="775" t="s">
        <v>130</v>
      </c>
      <c r="X257" s="775"/>
      <c r="Y257" s="775"/>
      <c r="Z257" s="775"/>
      <c r="AA257" s="775"/>
      <c r="AB257" s="775"/>
      <c r="AC257" s="776"/>
      <c r="AD257" s="775"/>
      <c r="AE257" s="775"/>
      <c r="AF257" s="775"/>
      <c r="AG257" s="775"/>
      <c r="AH257" s="775"/>
      <c r="AI257" s="775"/>
      <c r="AJ257" s="773"/>
      <c r="AK257" s="775"/>
      <c r="AL257" s="773"/>
      <c r="AM257" s="773"/>
      <c r="AN257" s="776"/>
      <c r="AO257" s="769"/>
      <c r="AP257" s="769"/>
      <c r="AQ257" s="773"/>
      <c r="AR257" s="773"/>
      <c r="AS257" s="773"/>
      <c r="AT25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57" s="779">
        <f>WWWW[[#This Row],[%Equitable and continuous access to sufficient quantity of safe drinking water]]*WWWW[[#This Row],[Total PoP ]]</f>
        <v>658</v>
      </c>
      <c r="AV25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57" s="779">
        <f>WWWW[[#This Row],[% Access to unimproved water points]]*WWWW[[#This Row],[Total PoP ]]</f>
        <v>658</v>
      </c>
      <c r="AX25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5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658</v>
      </c>
      <c r="AZ257" s="779">
        <f>WWWW[[#This Row],[HRP1]]/250</f>
        <v>2.6320000000000001</v>
      </c>
      <c r="BA257" s="780">
        <f>1-WWWW[[#This Row],[% Equitable and continuous access to sufficient quantity of domestic water]]</f>
        <v>0</v>
      </c>
      <c r="BB257" s="779">
        <f>WWWW[[#This Row],[%equitable and continuous access to sufficient quantity of safe drinking and domestic water''s GAP]]*WWWW[[#This Row],[Total PoP ]]</f>
        <v>0</v>
      </c>
      <c r="BC257" s="781">
        <f>IF(WWWW[[#This Row],[Total required water points]]-WWWW[[#This Row],['#Water points coverage]]&lt;0,0,WWWW[[#This Row],[Total required water points]]-WWWW[[#This Row],['#Water points coverage]])</f>
        <v>0.36799999999999988</v>
      </c>
      <c r="BD257" s="781">
        <f>ROUND(IF(WWWW[[#This Row],[Total PoP ]]&lt;250,1,WWWW[[#This Row],[Total PoP ]]/250),0)</f>
        <v>3</v>
      </c>
      <c r="BE25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0.8936170212765957</v>
      </c>
      <c r="BF257" s="779">
        <f>WWWW[[#This Row],[% people access to functioning Latrine]]*WWWW[[#This Row],[Total PoP ]]</f>
        <v>588</v>
      </c>
      <c r="BG257" s="781">
        <f>WWWW[[#This Row],['#_of_Functioning_latrines_in_school]]*50</f>
        <v>0</v>
      </c>
      <c r="BH257" s="781">
        <f>ROUND((WWWW[[#This Row],[Total PoP ]]/6),0)</f>
        <v>110</v>
      </c>
      <c r="BI257" s="781">
        <f>IF(WWWW[[#This Row],[Total required Latrines]]-(WWWW[[#This Row],['#_of_sanitary_fly-proof_HH_latrines]])&lt;0,0,WWWW[[#This Row],[Total required Latrines]]-(WWWW[[#This Row],['#_of_sanitary_fly-proof_HH_latrines]]))</f>
        <v>12</v>
      </c>
      <c r="BJ257" s="778">
        <f>1-WWWW[[#This Row],[% people access to functioning Latrine]]</f>
        <v>0.1063829787234043</v>
      </c>
      <c r="BK25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7" s="772">
        <f>IF(WWWW[[#This Row],['#_of_functional_handwashing_facilities_at_HH_level]]*6&gt;WWWW[[#This Row],[Total PoP ]],WWWW[[#This Row],[Total PoP ]],WWWW[[#This Row],['#_of_functional_handwashing_facilities_at_HH_level]]*6)</f>
        <v>0</v>
      </c>
      <c r="BM257" s="781">
        <f>IF(WWWW[[#This Row],['# people reached by regular dedicated hygiene promotion]]&gt;WWWW[[#This Row],['# People received regular supply of hygiene items]],WWWW[[#This Row],['# people reached by regular dedicated hygiene promotion]],WWWW[[#This Row],['# People received regular supply of hygiene items]])</f>
        <v>0</v>
      </c>
      <c r="BN257" s="780">
        <f>IF(WWWW[[#This Row],[HRP3]]/WWWW[[#This Row],[Total PoP ]]&gt;100%,100%,WWWW[[#This Row],[HRP3]]/WWWW[[#This Row],[Total PoP ]])</f>
        <v>0</v>
      </c>
      <c r="BO257" s="778">
        <f>1-WWWW[[#This Row],[Hygiene Coverage%]]</f>
        <v>1</v>
      </c>
      <c r="BP257" s="777">
        <f>WWWW[[#This Row],['# people reached by regular dedicated hygiene promotion]]/WWWW[[#This Row],[Total PoP ]]</f>
        <v>0</v>
      </c>
      <c r="BQ25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7" s="770">
        <f>WWWW[[#This Row],['#_of_affected_women_and_girls_receiving_a_sufficient_quantity_of_sanitary_pads]]</f>
        <v>0</v>
      </c>
      <c r="BS257" s="773">
        <f>IF(WWWW[[#This Row],['# People with access to soap]]&gt;WWWW[[#This Row],['# People with access to Sanity Pads]],WWWW[[#This Row],['# People with access to soap]],WWWW[[#This Row],['# People with access to Sanity Pads]])</f>
        <v>0</v>
      </c>
      <c r="BT257" s="772" t="str">
        <f>IF(OR(WWWW[[#This Row],['#of students in school]]="",WWWW[[#This Row],['#of students in school]]=0),"No","Yes")</f>
        <v>No</v>
      </c>
      <c r="BU257" s="782" t="str">
        <f>VLOOKUP(WWWW[[#This Row],[Village  Name]],SiteDB6[[Site Name]:[Location Type 1]],9,FALSE)</f>
        <v>Village</v>
      </c>
      <c r="BV257" s="782" t="str">
        <f>VLOOKUP(WWWW[[#This Row],[Village  Name]],SiteDB6[[Site Name]:[Type of Accommodation]],10,FALSE)</f>
        <v>Village</v>
      </c>
      <c r="BW257" s="782" t="str">
        <f>VLOOKUP(WWWW[[#This Row],[Village  Name]],SiteDB6[[Site Name]:[Ethnic or GCA/NGCA]],11,FALSE)</f>
        <v>Rakhine</v>
      </c>
      <c r="BX257" s="782">
        <f>VLOOKUP(WWWW[[#This Row],[Village  Name]],SiteDB6[[Site Name]:[Lat]],12,FALSE)</f>
        <v>20.22929001</v>
      </c>
      <c r="BY257" s="782">
        <f>VLOOKUP(WWWW[[#This Row],[Village  Name]],SiteDB6[[Site Name]:[Long]],13,FALSE)</f>
        <v>92.864669800000001</v>
      </c>
      <c r="BZ257" s="782">
        <f>VLOOKUP(WWWW[[#This Row],[Village  Name]],SiteDB6[[Site Name]:[Pcode]],3,FALSE)</f>
        <v>196167</v>
      </c>
      <c r="CA257" s="782" t="str">
        <f t="shared" si="17"/>
        <v>Covered</v>
      </c>
      <c r="CB257" s="783"/>
    </row>
    <row r="258" spans="1:80">
      <c r="A258" s="774" t="s">
        <v>3199</v>
      </c>
      <c r="B258" s="727" t="s">
        <v>314</v>
      </c>
      <c r="C258" s="728" t="s">
        <v>314</v>
      </c>
      <c r="D258" s="728" t="s">
        <v>307</v>
      </c>
      <c r="E258" s="728" t="s">
        <v>2648</v>
      </c>
      <c r="F258" s="728" t="s">
        <v>295</v>
      </c>
      <c r="G258" s="644" t="str">
        <f>VLOOKUP(WWWW[[#This Row],[Village  Name]],SiteDB6[[Site Name]:[Location Type]],8,FALSE)</f>
        <v>Village</v>
      </c>
      <c r="H258" s="728" t="s">
        <v>2002</v>
      </c>
      <c r="I258" s="775">
        <v>113</v>
      </c>
      <c r="J258" s="775">
        <v>656</v>
      </c>
      <c r="K258" s="784">
        <v>42736</v>
      </c>
      <c r="L258" s="785">
        <v>44551</v>
      </c>
      <c r="M258" s="775"/>
      <c r="N258" s="775"/>
      <c r="O258" s="773">
        <v>9</v>
      </c>
      <c r="P258" s="775">
        <v>41</v>
      </c>
      <c r="Q258" s="775">
        <v>3</v>
      </c>
      <c r="R258" s="775"/>
      <c r="S258" s="775"/>
      <c r="T258" s="775"/>
      <c r="U258" s="776"/>
      <c r="V258" s="775">
        <v>78</v>
      </c>
      <c r="W258" s="775" t="s">
        <v>130</v>
      </c>
      <c r="X258" s="775"/>
      <c r="Y258" s="775"/>
      <c r="Z258" s="775"/>
      <c r="AA258" s="775"/>
      <c r="AB258" s="775"/>
      <c r="AC258" s="776"/>
      <c r="AD258" s="775"/>
      <c r="AE258" s="775"/>
      <c r="AF258" s="775"/>
      <c r="AG258" s="775"/>
      <c r="AH258" s="775"/>
      <c r="AI258" s="775"/>
      <c r="AJ258" s="773"/>
      <c r="AK258" s="775"/>
      <c r="AL258" s="773"/>
      <c r="AM258" s="773"/>
      <c r="AN258" s="776"/>
      <c r="AO258" s="769"/>
      <c r="AP258" s="769"/>
      <c r="AQ258" s="773"/>
      <c r="AR258" s="773"/>
      <c r="AS258" s="773"/>
      <c r="AT25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58" s="779">
        <f>WWWW[[#This Row],[%Equitable and continuous access to sufficient quantity of safe drinking water]]*WWWW[[#This Row],[Total PoP ]]</f>
        <v>656</v>
      </c>
      <c r="AV25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58" s="779">
        <f>WWWW[[#This Row],[% Access to unimproved water points]]*WWWW[[#This Row],[Total PoP ]]</f>
        <v>656</v>
      </c>
      <c r="AX25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5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656</v>
      </c>
      <c r="AZ258" s="779">
        <f>WWWW[[#This Row],[HRP1]]/250</f>
        <v>2.6240000000000001</v>
      </c>
      <c r="BA258" s="780">
        <f>1-WWWW[[#This Row],[% Equitable and continuous access to sufficient quantity of domestic water]]</f>
        <v>0</v>
      </c>
      <c r="BB258" s="779">
        <f>WWWW[[#This Row],[%equitable and continuous access to sufficient quantity of safe drinking and domestic water''s GAP]]*WWWW[[#This Row],[Total PoP ]]</f>
        <v>0</v>
      </c>
      <c r="BC258" s="781">
        <f>IF(WWWW[[#This Row],[Total required water points]]-WWWW[[#This Row],['#Water points coverage]]&lt;0,0,WWWW[[#This Row],[Total required water points]]-WWWW[[#This Row],['#Water points coverage]])</f>
        <v>0.37599999999999989</v>
      </c>
      <c r="BD258" s="781">
        <f>ROUND(IF(WWWW[[#This Row],[Total PoP ]]&lt;250,1,WWWW[[#This Row],[Total PoP ]]/250),0)</f>
        <v>3</v>
      </c>
      <c r="BE25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0.71341463414634143</v>
      </c>
      <c r="BF258" s="779">
        <f>WWWW[[#This Row],[% people access to functioning Latrine]]*WWWW[[#This Row],[Total PoP ]]</f>
        <v>468</v>
      </c>
      <c r="BG258" s="781">
        <f>WWWW[[#This Row],['#_of_Functioning_latrines_in_school]]*50</f>
        <v>0</v>
      </c>
      <c r="BH258" s="781">
        <f>ROUND((WWWW[[#This Row],[Total PoP ]]/6),0)</f>
        <v>109</v>
      </c>
      <c r="BI258" s="781">
        <f>IF(WWWW[[#This Row],[Total required Latrines]]-(WWWW[[#This Row],['#_of_sanitary_fly-proof_HH_latrines]])&lt;0,0,WWWW[[#This Row],[Total required Latrines]]-(WWWW[[#This Row],['#_of_sanitary_fly-proof_HH_latrines]]))</f>
        <v>31</v>
      </c>
      <c r="BJ258" s="778">
        <f>1-WWWW[[#This Row],[% people access to functioning Latrine]]</f>
        <v>0.28658536585365857</v>
      </c>
      <c r="BK25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8" s="772">
        <f>IF(WWWW[[#This Row],['#_of_functional_handwashing_facilities_at_HH_level]]*6&gt;WWWW[[#This Row],[Total PoP ]],WWWW[[#This Row],[Total PoP ]],WWWW[[#This Row],['#_of_functional_handwashing_facilities_at_HH_level]]*6)</f>
        <v>0</v>
      </c>
      <c r="BM258" s="781">
        <f>IF(WWWW[[#This Row],['# people reached by regular dedicated hygiene promotion]]&gt;WWWW[[#This Row],['# People received regular supply of hygiene items]],WWWW[[#This Row],['# people reached by regular dedicated hygiene promotion]],WWWW[[#This Row],['# People received regular supply of hygiene items]])</f>
        <v>0</v>
      </c>
      <c r="BN258" s="780">
        <f>IF(WWWW[[#This Row],[HRP3]]/WWWW[[#This Row],[Total PoP ]]&gt;100%,100%,WWWW[[#This Row],[HRP3]]/WWWW[[#This Row],[Total PoP ]])</f>
        <v>0</v>
      </c>
      <c r="BO258" s="778">
        <f>1-WWWW[[#This Row],[Hygiene Coverage%]]</f>
        <v>1</v>
      </c>
      <c r="BP258" s="777">
        <f>WWWW[[#This Row],['# people reached by regular dedicated hygiene promotion]]/WWWW[[#This Row],[Total PoP ]]</f>
        <v>0</v>
      </c>
      <c r="BQ25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8" s="770">
        <f>WWWW[[#This Row],['#_of_affected_women_and_girls_receiving_a_sufficient_quantity_of_sanitary_pads]]</f>
        <v>0</v>
      </c>
      <c r="BS258" s="773">
        <f>IF(WWWW[[#This Row],['# People with access to soap]]&gt;WWWW[[#This Row],['# People with access to Sanity Pads]],WWWW[[#This Row],['# People with access to soap]],WWWW[[#This Row],['# People with access to Sanity Pads]])</f>
        <v>0</v>
      </c>
      <c r="BT258" s="772" t="str">
        <f>IF(OR(WWWW[[#This Row],['#of students in school]]="",WWWW[[#This Row],['#of students in school]]=0),"No","Yes")</f>
        <v>No</v>
      </c>
      <c r="BU258" s="782" t="str">
        <f>VLOOKUP(WWWW[[#This Row],[Village  Name]],SiteDB6[[Site Name]:[Location Type 1]],9,FALSE)</f>
        <v>Village</v>
      </c>
      <c r="BV258" s="782" t="str">
        <f>VLOOKUP(WWWW[[#This Row],[Village  Name]],SiteDB6[[Site Name]:[Type of Accommodation]],10,FALSE)</f>
        <v>Village</v>
      </c>
      <c r="BW258" s="782" t="str">
        <f>VLOOKUP(WWWW[[#This Row],[Village  Name]],SiteDB6[[Site Name]:[Ethnic or GCA/NGCA]],11,FALSE)</f>
        <v>rakhine</v>
      </c>
      <c r="BX258" s="782">
        <f>VLOOKUP(WWWW[[#This Row],[Village  Name]],SiteDB6[[Site Name]:[Lat]],12,FALSE)</f>
        <v>20.2315197</v>
      </c>
      <c r="BY258" s="782">
        <f>VLOOKUP(WWWW[[#This Row],[Village  Name]],SiteDB6[[Site Name]:[Long]],13,FALSE)</f>
        <v>92.876129149999997</v>
      </c>
      <c r="BZ258" s="782">
        <f>VLOOKUP(WWWW[[#This Row],[Village  Name]],SiteDB6[[Site Name]:[Pcode]],3,FALSE)</f>
        <v>196180</v>
      </c>
      <c r="CA258" s="782" t="str">
        <f t="shared" si="17"/>
        <v>Covered</v>
      </c>
      <c r="CB258" s="783"/>
    </row>
    <row r="259" spans="1:80">
      <c r="A259" s="774" t="s">
        <v>3199</v>
      </c>
      <c r="B259" s="727" t="s">
        <v>314</v>
      </c>
      <c r="C259" s="728" t="s">
        <v>314</v>
      </c>
      <c r="D259" s="728" t="s">
        <v>307</v>
      </c>
      <c r="E259" s="728" t="s">
        <v>2648</v>
      </c>
      <c r="F259" s="728" t="s">
        <v>295</v>
      </c>
      <c r="G259" s="644" t="str">
        <f>VLOOKUP(WWWW[[#This Row],[Village  Name]],SiteDB6[[Site Name]:[Location Type]],8,FALSE)</f>
        <v>Village</v>
      </c>
      <c r="H259" s="728" t="s">
        <v>1089</v>
      </c>
      <c r="I259" s="775">
        <v>172</v>
      </c>
      <c r="J259" s="775">
        <v>1435</v>
      </c>
      <c r="K259" s="784">
        <v>42736</v>
      </c>
      <c r="L259" s="785">
        <v>44551</v>
      </c>
      <c r="M259" s="775"/>
      <c r="N259" s="775"/>
      <c r="O259" s="773">
        <v>8</v>
      </c>
      <c r="P259" s="775">
        <v>97</v>
      </c>
      <c r="Q259" s="775">
        <v>3</v>
      </c>
      <c r="R259" s="775"/>
      <c r="S259" s="775"/>
      <c r="T259" s="775"/>
      <c r="U259" s="776"/>
      <c r="V259" s="775">
        <v>132</v>
      </c>
      <c r="W259" s="775" t="s">
        <v>130</v>
      </c>
      <c r="X259" s="775"/>
      <c r="Y259" s="775"/>
      <c r="Z259" s="775"/>
      <c r="AA259" s="775"/>
      <c r="AB259" s="775"/>
      <c r="AC259" s="776"/>
      <c r="AD259" s="775"/>
      <c r="AE259" s="775"/>
      <c r="AF259" s="775"/>
      <c r="AG259" s="775"/>
      <c r="AH259" s="775"/>
      <c r="AI259" s="775"/>
      <c r="AJ259" s="773"/>
      <c r="AK259" s="775"/>
      <c r="AL259" s="773"/>
      <c r="AM259" s="773"/>
      <c r="AN259" s="776"/>
      <c r="AO259" s="769"/>
      <c r="AP259" s="769"/>
      <c r="AQ259" s="773"/>
      <c r="AR259" s="773"/>
      <c r="AS259" s="773"/>
      <c r="AT25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59" s="779">
        <f>WWWW[[#This Row],[%Equitable and continuous access to sufficient quantity of safe drinking water]]*WWWW[[#This Row],[Total PoP ]]</f>
        <v>1435</v>
      </c>
      <c r="AV25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59" s="779">
        <f>WWWW[[#This Row],[% Access to unimproved water points]]*WWWW[[#This Row],[Total PoP ]]</f>
        <v>1435</v>
      </c>
      <c r="AX25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5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1435</v>
      </c>
      <c r="AZ259" s="779">
        <f>WWWW[[#This Row],[HRP1]]/250</f>
        <v>5.74</v>
      </c>
      <c r="BA259" s="780">
        <f>1-WWWW[[#This Row],[% Equitable and continuous access to sufficient quantity of domestic water]]</f>
        <v>0</v>
      </c>
      <c r="BB259" s="779">
        <f>WWWW[[#This Row],[%equitable and continuous access to sufficient quantity of safe drinking and domestic water''s GAP]]*WWWW[[#This Row],[Total PoP ]]</f>
        <v>0</v>
      </c>
      <c r="BC259" s="781">
        <f>IF(WWWW[[#This Row],[Total required water points]]-WWWW[[#This Row],['#Water points coverage]]&lt;0,0,WWWW[[#This Row],[Total required water points]]-WWWW[[#This Row],['#Water points coverage]])</f>
        <v>0.25999999999999979</v>
      </c>
      <c r="BD259" s="781">
        <f>ROUND(IF(WWWW[[#This Row],[Total PoP ]]&lt;250,1,WWWW[[#This Row],[Total PoP ]]/250),0)</f>
        <v>6</v>
      </c>
      <c r="BE25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0.55191637630662016</v>
      </c>
      <c r="BF259" s="779">
        <f>WWWW[[#This Row],[% people access to functioning Latrine]]*WWWW[[#This Row],[Total PoP ]]</f>
        <v>791.99999999999989</v>
      </c>
      <c r="BG259" s="781">
        <f>WWWW[[#This Row],['#_of_Functioning_latrines_in_school]]*50</f>
        <v>0</v>
      </c>
      <c r="BH259" s="781">
        <f>ROUND((WWWW[[#This Row],[Total PoP ]]/6),0)</f>
        <v>239</v>
      </c>
      <c r="BI259" s="781">
        <f>IF(WWWW[[#This Row],[Total required Latrines]]-(WWWW[[#This Row],['#_of_sanitary_fly-proof_HH_latrines]])&lt;0,0,WWWW[[#This Row],[Total required Latrines]]-(WWWW[[#This Row],['#_of_sanitary_fly-proof_HH_latrines]]))</f>
        <v>107</v>
      </c>
      <c r="BJ259" s="778">
        <f>1-WWWW[[#This Row],[% people access to functioning Latrine]]</f>
        <v>0.44808362369337984</v>
      </c>
      <c r="BK25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59" s="772">
        <f>IF(WWWW[[#This Row],['#_of_functional_handwashing_facilities_at_HH_level]]*6&gt;WWWW[[#This Row],[Total PoP ]],WWWW[[#This Row],[Total PoP ]],WWWW[[#This Row],['#_of_functional_handwashing_facilities_at_HH_level]]*6)</f>
        <v>0</v>
      </c>
      <c r="BM259" s="781">
        <f>IF(WWWW[[#This Row],['# people reached by regular dedicated hygiene promotion]]&gt;WWWW[[#This Row],['# People received regular supply of hygiene items]],WWWW[[#This Row],['# people reached by regular dedicated hygiene promotion]],WWWW[[#This Row],['# People received regular supply of hygiene items]])</f>
        <v>0</v>
      </c>
      <c r="BN259" s="780">
        <f>IF(WWWW[[#This Row],[HRP3]]/WWWW[[#This Row],[Total PoP ]]&gt;100%,100%,WWWW[[#This Row],[HRP3]]/WWWW[[#This Row],[Total PoP ]])</f>
        <v>0</v>
      </c>
      <c r="BO259" s="778">
        <f>1-WWWW[[#This Row],[Hygiene Coverage%]]</f>
        <v>1</v>
      </c>
      <c r="BP259" s="777">
        <f>WWWW[[#This Row],['# people reached by regular dedicated hygiene promotion]]/WWWW[[#This Row],[Total PoP ]]</f>
        <v>0</v>
      </c>
      <c r="BQ25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59" s="770">
        <f>WWWW[[#This Row],['#_of_affected_women_and_girls_receiving_a_sufficient_quantity_of_sanitary_pads]]</f>
        <v>0</v>
      </c>
      <c r="BS259" s="773">
        <f>IF(WWWW[[#This Row],['# People with access to soap]]&gt;WWWW[[#This Row],['# People with access to Sanity Pads]],WWWW[[#This Row],['# People with access to soap]],WWWW[[#This Row],['# People with access to Sanity Pads]])</f>
        <v>0</v>
      </c>
      <c r="BT259" s="772" t="str">
        <f>IF(OR(WWWW[[#This Row],['#of students in school]]="",WWWW[[#This Row],['#of students in school]]=0),"No","Yes")</f>
        <v>No</v>
      </c>
      <c r="BU259" s="782" t="str">
        <f>VLOOKUP(WWWW[[#This Row],[Village  Name]],SiteDB6[[Site Name]:[Location Type 1]],9,FALSE)</f>
        <v>Village</v>
      </c>
      <c r="BV259" s="782" t="str">
        <f>VLOOKUP(WWWW[[#This Row],[Village  Name]],SiteDB6[[Site Name]:[Type of Accommodation]],10,FALSE)</f>
        <v>Village</v>
      </c>
      <c r="BW259" s="782" t="str">
        <f>VLOOKUP(WWWW[[#This Row],[Village  Name]],SiteDB6[[Site Name]:[Ethnic or GCA/NGCA]],11,FALSE)</f>
        <v>Muslim</v>
      </c>
      <c r="BX259" s="782">
        <f>VLOOKUP(WWWW[[#This Row],[Village  Name]],SiteDB6[[Site Name]:[Lat]],12,FALSE)</f>
        <v>0</v>
      </c>
      <c r="BY259" s="782">
        <f>VLOOKUP(WWWW[[#This Row],[Village  Name]],SiteDB6[[Site Name]:[Long]],13,FALSE)</f>
        <v>0</v>
      </c>
      <c r="BZ259" s="782">
        <f>VLOOKUP(WWWW[[#This Row],[Village  Name]],SiteDB6[[Site Name]:[Pcode]],3,FALSE)</f>
        <v>0</v>
      </c>
      <c r="CA259" s="782" t="str">
        <f t="shared" si="17"/>
        <v>Covered</v>
      </c>
      <c r="CB259" s="783"/>
    </row>
    <row r="260" spans="1:80">
      <c r="A260" s="774" t="s">
        <v>3199</v>
      </c>
      <c r="B260" s="727" t="s">
        <v>314</v>
      </c>
      <c r="C260" s="728" t="s">
        <v>314</v>
      </c>
      <c r="D260" s="728" t="s">
        <v>307</v>
      </c>
      <c r="E260" s="728" t="s">
        <v>2648</v>
      </c>
      <c r="F260" s="728" t="s">
        <v>295</v>
      </c>
      <c r="G260" s="644" t="str">
        <f>VLOOKUP(WWWW[[#This Row],[Village  Name]],SiteDB6[[Site Name]:[Location Type]],8,FALSE)</f>
        <v>Village</v>
      </c>
      <c r="H260" s="728" t="s">
        <v>2586</v>
      </c>
      <c r="I260" s="775">
        <v>241</v>
      </c>
      <c r="J260" s="775">
        <v>1027</v>
      </c>
      <c r="K260" s="784">
        <v>42736</v>
      </c>
      <c r="L260" s="785">
        <v>44551</v>
      </c>
      <c r="M260" s="775"/>
      <c r="N260" s="775"/>
      <c r="O260" s="773">
        <v>26</v>
      </c>
      <c r="P260" s="775">
        <v>33</v>
      </c>
      <c r="Q260" s="775">
        <v>2</v>
      </c>
      <c r="R260" s="775"/>
      <c r="S260" s="775"/>
      <c r="T260" s="775"/>
      <c r="U260" s="776"/>
      <c r="V260" s="775">
        <v>66</v>
      </c>
      <c r="W260" s="775" t="s">
        <v>130</v>
      </c>
      <c r="X260" s="775"/>
      <c r="Y260" s="775"/>
      <c r="Z260" s="775"/>
      <c r="AA260" s="775"/>
      <c r="AB260" s="775"/>
      <c r="AC260" s="776"/>
      <c r="AD260" s="775"/>
      <c r="AE260" s="775"/>
      <c r="AF260" s="775"/>
      <c r="AG260" s="775"/>
      <c r="AH260" s="775"/>
      <c r="AI260" s="775"/>
      <c r="AJ260" s="773"/>
      <c r="AK260" s="775"/>
      <c r="AL260" s="773"/>
      <c r="AM260" s="773"/>
      <c r="AN260" s="776"/>
      <c r="AO260" s="769"/>
      <c r="AP260" s="769"/>
      <c r="AQ260" s="773"/>
      <c r="AR260" s="773"/>
      <c r="AS260" s="773"/>
      <c r="AT26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60" s="779">
        <f>WWWW[[#This Row],[%Equitable and continuous access to sufficient quantity of safe drinking water]]*WWWW[[#This Row],[Total PoP ]]</f>
        <v>1027</v>
      </c>
      <c r="AV26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60" s="779">
        <f>WWWW[[#This Row],[% Access to unimproved water points]]*WWWW[[#This Row],[Total PoP ]]</f>
        <v>1027</v>
      </c>
      <c r="AX26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6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1027</v>
      </c>
      <c r="AZ260" s="779">
        <f>WWWW[[#This Row],[HRP1]]/250</f>
        <v>4.1079999999999997</v>
      </c>
      <c r="BA260" s="780">
        <f>1-WWWW[[#This Row],[% Equitable and continuous access to sufficient quantity of domestic water]]</f>
        <v>0</v>
      </c>
      <c r="BB260" s="779">
        <f>WWWW[[#This Row],[%equitable and continuous access to sufficient quantity of safe drinking and domestic water''s GAP]]*WWWW[[#This Row],[Total PoP ]]</f>
        <v>0</v>
      </c>
      <c r="BC260" s="781">
        <f>IF(WWWW[[#This Row],[Total required water points]]-WWWW[[#This Row],['#Water points coverage]]&lt;0,0,WWWW[[#This Row],[Total required water points]]-WWWW[[#This Row],['#Water points coverage]])</f>
        <v>0</v>
      </c>
      <c r="BD260" s="781">
        <f>ROUND(IF(WWWW[[#This Row],[Total PoP ]]&lt;250,1,WWWW[[#This Row],[Total PoP ]]/250),0)</f>
        <v>4</v>
      </c>
      <c r="BE26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0.38558909444985395</v>
      </c>
      <c r="BF260" s="779">
        <f>WWWW[[#This Row],[% people access to functioning Latrine]]*WWWW[[#This Row],[Total PoP ]]</f>
        <v>396</v>
      </c>
      <c r="BG260" s="781">
        <f>WWWW[[#This Row],['#_of_Functioning_latrines_in_school]]*50</f>
        <v>0</v>
      </c>
      <c r="BH260" s="781">
        <f>ROUND((WWWW[[#This Row],[Total PoP ]]/6),0)</f>
        <v>171</v>
      </c>
      <c r="BI260" s="781">
        <f>IF(WWWW[[#This Row],[Total required Latrines]]-(WWWW[[#This Row],['#_of_sanitary_fly-proof_HH_latrines]])&lt;0,0,WWWW[[#This Row],[Total required Latrines]]-(WWWW[[#This Row],['#_of_sanitary_fly-proof_HH_latrines]]))</f>
        <v>105</v>
      </c>
      <c r="BJ260" s="778">
        <f>1-WWWW[[#This Row],[% people access to functioning Latrine]]</f>
        <v>0.6144109055501461</v>
      </c>
      <c r="BK26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60" s="772">
        <f>IF(WWWW[[#This Row],['#_of_functional_handwashing_facilities_at_HH_level]]*6&gt;WWWW[[#This Row],[Total PoP ]],WWWW[[#This Row],[Total PoP ]],WWWW[[#This Row],['#_of_functional_handwashing_facilities_at_HH_level]]*6)</f>
        <v>0</v>
      </c>
      <c r="BM260" s="781">
        <f>IF(WWWW[[#This Row],['# people reached by regular dedicated hygiene promotion]]&gt;WWWW[[#This Row],['# People received regular supply of hygiene items]],WWWW[[#This Row],['# people reached by regular dedicated hygiene promotion]],WWWW[[#This Row],['# People received regular supply of hygiene items]])</f>
        <v>0</v>
      </c>
      <c r="BN260" s="780">
        <f>IF(WWWW[[#This Row],[HRP3]]/WWWW[[#This Row],[Total PoP ]]&gt;100%,100%,WWWW[[#This Row],[HRP3]]/WWWW[[#This Row],[Total PoP ]])</f>
        <v>0</v>
      </c>
      <c r="BO260" s="778">
        <f>1-WWWW[[#This Row],[Hygiene Coverage%]]</f>
        <v>1</v>
      </c>
      <c r="BP260" s="777">
        <f>WWWW[[#This Row],['# people reached by regular dedicated hygiene promotion]]/WWWW[[#This Row],[Total PoP ]]</f>
        <v>0</v>
      </c>
      <c r="BQ26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0" s="770">
        <f>WWWW[[#This Row],['#_of_affected_women_and_girls_receiving_a_sufficient_quantity_of_sanitary_pads]]</f>
        <v>0</v>
      </c>
      <c r="BS260" s="773">
        <f>IF(WWWW[[#This Row],['# People with access to soap]]&gt;WWWW[[#This Row],['# People with access to Sanity Pads]],WWWW[[#This Row],['# People with access to soap]],WWWW[[#This Row],['# People with access to Sanity Pads]])</f>
        <v>0</v>
      </c>
      <c r="BT260" s="772" t="str">
        <f>IF(OR(WWWW[[#This Row],['#of students in school]]="",WWWW[[#This Row],['#of students in school]]=0),"No","Yes")</f>
        <v>No</v>
      </c>
      <c r="BU260" s="782" t="str">
        <f>VLOOKUP(WWWW[[#This Row],[Village  Name]],SiteDB6[[Site Name]:[Location Type 1]],9,FALSE)</f>
        <v>Village</v>
      </c>
      <c r="BV260" s="782" t="str">
        <f>VLOOKUP(WWWW[[#This Row],[Village  Name]],SiteDB6[[Site Name]:[Type of Accommodation]],10,FALSE)</f>
        <v>Village</v>
      </c>
      <c r="BW260" s="782">
        <f>VLOOKUP(WWWW[[#This Row],[Village  Name]],SiteDB6[[Site Name]:[Ethnic or GCA/NGCA]],11,FALSE)</f>
        <v>0</v>
      </c>
      <c r="BX260" s="782">
        <f>VLOOKUP(WWWW[[#This Row],[Village  Name]],SiteDB6[[Site Name]:[Lat]],12,FALSE)</f>
        <v>20.2105598449707</v>
      </c>
      <c r="BY260" s="782">
        <f>VLOOKUP(WWWW[[#This Row],[Village  Name]],SiteDB6[[Site Name]:[Long]],13,FALSE)</f>
        <v>92.836456298828097</v>
      </c>
      <c r="BZ260" s="782">
        <f>VLOOKUP(WWWW[[#This Row],[Village  Name]],SiteDB6[[Site Name]:[Pcode]],3,FALSE)</f>
        <v>196125</v>
      </c>
      <c r="CA260" s="782" t="str">
        <f t="shared" si="17"/>
        <v>Covered</v>
      </c>
      <c r="CB260" s="783"/>
    </row>
    <row r="261" spans="1:80">
      <c r="A261" s="774" t="s">
        <v>3199</v>
      </c>
      <c r="B261" s="727" t="s">
        <v>314</v>
      </c>
      <c r="C261" s="728" t="s">
        <v>314</v>
      </c>
      <c r="D261" s="728" t="s">
        <v>307</v>
      </c>
      <c r="E261" s="728" t="s">
        <v>2648</v>
      </c>
      <c r="F261" s="728" t="s">
        <v>295</v>
      </c>
      <c r="G261" s="644" t="str">
        <f>VLOOKUP(WWWW[[#This Row],[Village  Name]],SiteDB6[[Site Name]:[Location Type]],8,FALSE)</f>
        <v>Village</v>
      </c>
      <c r="H261" s="728" t="s">
        <v>2587</v>
      </c>
      <c r="I261" s="775">
        <v>77</v>
      </c>
      <c r="J261" s="775">
        <v>370</v>
      </c>
      <c r="K261" s="784">
        <v>42736</v>
      </c>
      <c r="L261" s="785">
        <v>44551</v>
      </c>
      <c r="M261" s="775"/>
      <c r="N261" s="775"/>
      <c r="O261" s="773">
        <v>14</v>
      </c>
      <c r="P261" s="775">
        <v>208</v>
      </c>
      <c r="Q261" s="775">
        <v>4</v>
      </c>
      <c r="R261" s="775"/>
      <c r="S261" s="775"/>
      <c r="T261" s="775"/>
      <c r="U261" s="776"/>
      <c r="V261" s="775">
        <v>201</v>
      </c>
      <c r="W261" s="775" t="s">
        <v>130</v>
      </c>
      <c r="X261" s="775"/>
      <c r="Y261" s="775"/>
      <c r="Z261" s="775"/>
      <c r="AA261" s="775"/>
      <c r="AB261" s="775"/>
      <c r="AC261" s="776"/>
      <c r="AD261" s="775"/>
      <c r="AE261" s="775"/>
      <c r="AF261" s="775"/>
      <c r="AG261" s="775"/>
      <c r="AH261" s="775"/>
      <c r="AI261" s="775"/>
      <c r="AJ261" s="773"/>
      <c r="AK261" s="775"/>
      <c r="AL261" s="773"/>
      <c r="AM261" s="773"/>
      <c r="AN261" s="776"/>
      <c r="AO261" s="769"/>
      <c r="AP261" s="769"/>
      <c r="AQ261" s="773"/>
      <c r="AR261" s="773"/>
      <c r="AS261" s="773"/>
      <c r="AT26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61" s="779">
        <f>WWWW[[#This Row],[%Equitable and continuous access to sufficient quantity of safe drinking water]]*WWWW[[#This Row],[Total PoP ]]</f>
        <v>370</v>
      </c>
      <c r="AV26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61" s="779">
        <f>WWWW[[#This Row],[% Access to unimproved water points]]*WWWW[[#This Row],[Total PoP ]]</f>
        <v>370</v>
      </c>
      <c r="AX26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6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370</v>
      </c>
      <c r="AZ261" s="779">
        <f>WWWW[[#This Row],[HRP1]]/250</f>
        <v>1.48</v>
      </c>
      <c r="BA261" s="780">
        <f>1-WWWW[[#This Row],[% Equitable and continuous access to sufficient quantity of domestic water]]</f>
        <v>0</v>
      </c>
      <c r="BB261" s="779">
        <f>WWWW[[#This Row],[%equitable and continuous access to sufficient quantity of safe drinking and domestic water''s GAP]]*WWWW[[#This Row],[Total PoP ]]</f>
        <v>0</v>
      </c>
      <c r="BC261" s="781">
        <f>IF(WWWW[[#This Row],[Total required water points]]-WWWW[[#This Row],['#Water points coverage]]&lt;0,0,WWWW[[#This Row],[Total required water points]]-WWWW[[#This Row],['#Water points coverage]])</f>
        <v>0</v>
      </c>
      <c r="BD261" s="781">
        <f>ROUND(IF(WWWW[[#This Row],[Total PoP ]]&lt;250,1,WWWW[[#This Row],[Total PoP ]]/250),0)</f>
        <v>1</v>
      </c>
      <c r="BE26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61" s="779">
        <f>WWWW[[#This Row],[% people access to functioning Latrine]]*WWWW[[#This Row],[Total PoP ]]</f>
        <v>370</v>
      </c>
      <c r="BG261" s="781">
        <f>WWWW[[#This Row],['#_of_Functioning_latrines_in_school]]*50</f>
        <v>0</v>
      </c>
      <c r="BH261" s="781">
        <f>ROUND((WWWW[[#This Row],[Total PoP ]]/6),0)</f>
        <v>62</v>
      </c>
      <c r="BI261" s="781">
        <f>IF(WWWW[[#This Row],[Total required Latrines]]-(WWWW[[#This Row],['#_of_sanitary_fly-proof_HH_latrines]])&lt;0,0,WWWW[[#This Row],[Total required Latrines]]-(WWWW[[#This Row],['#_of_sanitary_fly-proof_HH_latrines]]))</f>
        <v>0</v>
      </c>
      <c r="BJ261" s="778">
        <f>1-WWWW[[#This Row],[% people access to functioning Latrine]]</f>
        <v>0</v>
      </c>
      <c r="BK26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61" s="772">
        <f>IF(WWWW[[#This Row],['#_of_functional_handwashing_facilities_at_HH_level]]*6&gt;WWWW[[#This Row],[Total PoP ]],WWWW[[#This Row],[Total PoP ]],WWWW[[#This Row],['#_of_functional_handwashing_facilities_at_HH_level]]*6)</f>
        <v>0</v>
      </c>
      <c r="BM261" s="781">
        <f>IF(WWWW[[#This Row],['# people reached by regular dedicated hygiene promotion]]&gt;WWWW[[#This Row],['# People received regular supply of hygiene items]],WWWW[[#This Row],['# people reached by regular dedicated hygiene promotion]],WWWW[[#This Row],['# People received regular supply of hygiene items]])</f>
        <v>0</v>
      </c>
      <c r="BN261" s="780">
        <f>IF(WWWW[[#This Row],[HRP3]]/WWWW[[#This Row],[Total PoP ]]&gt;100%,100%,WWWW[[#This Row],[HRP3]]/WWWW[[#This Row],[Total PoP ]])</f>
        <v>0</v>
      </c>
      <c r="BO261" s="778">
        <f>1-WWWW[[#This Row],[Hygiene Coverage%]]</f>
        <v>1</v>
      </c>
      <c r="BP261" s="777">
        <f>WWWW[[#This Row],['# people reached by regular dedicated hygiene promotion]]/WWWW[[#This Row],[Total PoP ]]</f>
        <v>0</v>
      </c>
      <c r="BQ26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1" s="770">
        <f>WWWW[[#This Row],['#_of_affected_women_and_girls_receiving_a_sufficient_quantity_of_sanitary_pads]]</f>
        <v>0</v>
      </c>
      <c r="BS261" s="773">
        <f>IF(WWWW[[#This Row],['# People with access to soap]]&gt;WWWW[[#This Row],['# People with access to Sanity Pads]],WWWW[[#This Row],['# People with access to soap]],WWWW[[#This Row],['# People with access to Sanity Pads]])</f>
        <v>0</v>
      </c>
      <c r="BT261" s="772" t="str">
        <f>IF(OR(WWWW[[#This Row],['#of students in school]]="",WWWW[[#This Row],['#of students in school]]=0),"No","Yes")</f>
        <v>No</v>
      </c>
      <c r="BU261" s="782" t="str">
        <f>VLOOKUP(WWWW[[#This Row],[Village  Name]],SiteDB6[[Site Name]:[Location Type 1]],9,FALSE)</f>
        <v>Village</v>
      </c>
      <c r="BV261" s="782" t="str">
        <f>VLOOKUP(WWWW[[#This Row],[Village  Name]],SiteDB6[[Site Name]:[Type of Accommodation]],10,FALSE)</f>
        <v>Village</v>
      </c>
      <c r="BW261" s="782" t="str">
        <f>VLOOKUP(WWWW[[#This Row],[Village  Name]],SiteDB6[[Site Name]:[Ethnic or GCA/NGCA]],11,FALSE)</f>
        <v>Rakhine</v>
      </c>
      <c r="BX261" s="782">
        <f>VLOOKUP(WWWW[[#This Row],[Village  Name]],SiteDB6[[Site Name]:[Lat]],12,FALSE)</f>
        <v>20.236940383911101</v>
      </c>
      <c r="BY261" s="782">
        <f>VLOOKUP(WWWW[[#This Row],[Village  Name]],SiteDB6[[Site Name]:[Long]],13,FALSE)</f>
        <v>92.833259582519503</v>
      </c>
      <c r="BZ261" s="782">
        <f>VLOOKUP(WWWW[[#This Row],[Village  Name]],SiteDB6[[Site Name]:[Pcode]],3,FALSE)</f>
        <v>196130</v>
      </c>
      <c r="CA261" s="782" t="str">
        <f t="shared" si="17"/>
        <v>Covered</v>
      </c>
      <c r="CB261" s="783"/>
    </row>
    <row r="262" spans="1:80">
      <c r="A262" s="774" t="s">
        <v>3199</v>
      </c>
      <c r="B262" s="727" t="s">
        <v>314</v>
      </c>
      <c r="C262" s="728" t="s">
        <v>314</v>
      </c>
      <c r="D262" s="728" t="s">
        <v>307</v>
      </c>
      <c r="E262" s="728" t="s">
        <v>2648</v>
      </c>
      <c r="F262" s="728" t="s">
        <v>295</v>
      </c>
      <c r="G262" s="644" t="str">
        <f>VLOOKUP(WWWW[[#This Row],[Village  Name]],SiteDB6[[Site Name]:[Location Type]],8,FALSE)</f>
        <v>village</v>
      </c>
      <c r="H262" s="728" t="s">
        <v>874</v>
      </c>
      <c r="I262" s="775">
        <v>509</v>
      </c>
      <c r="J262" s="775">
        <v>1574</v>
      </c>
      <c r="K262" s="784">
        <v>42736</v>
      </c>
      <c r="L262" s="785">
        <v>44551</v>
      </c>
      <c r="M262" s="775"/>
      <c r="N262" s="775"/>
      <c r="O262" s="773">
        <v>9</v>
      </c>
      <c r="P262" s="775">
        <v>94</v>
      </c>
      <c r="Q262" s="775">
        <v>2</v>
      </c>
      <c r="R262" s="775"/>
      <c r="S262" s="775"/>
      <c r="T262" s="775"/>
      <c r="U262" s="776"/>
      <c r="V262" s="775">
        <v>136</v>
      </c>
      <c r="W262" s="775" t="s">
        <v>130</v>
      </c>
      <c r="X262" s="775"/>
      <c r="Y262" s="775"/>
      <c r="Z262" s="775"/>
      <c r="AA262" s="775"/>
      <c r="AB262" s="775"/>
      <c r="AC262" s="776"/>
      <c r="AD262" s="775"/>
      <c r="AE262" s="775"/>
      <c r="AF262" s="775"/>
      <c r="AG262" s="775"/>
      <c r="AH262" s="775"/>
      <c r="AI262" s="775"/>
      <c r="AJ262" s="773"/>
      <c r="AK262" s="775"/>
      <c r="AL262" s="773"/>
      <c r="AM262" s="773"/>
      <c r="AN262" s="776"/>
      <c r="AO262" s="769"/>
      <c r="AP262" s="769"/>
      <c r="AQ262" s="773"/>
      <c r="AR262" s="773"/>
      <c r="AS262" s="773"/>
      <c r="AT26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62" s="779">
        <f>WWWW[[#This Row],[%Equitable and continuous access to sufficient quantity of safe drinking water]]*WWWW[[#This Row],[Total PoP ]]</f>
        <v>1574</v>
      </c>
      <c r="AV26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62" s="779">
        <f>WWWW[[#This Row],[% Access to unimproved water points]]*WWWW[[#This Row],[Total PoP ]]</f>
        <v>1574</v>
      </c>
      <c r="AX26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6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1574</v>
      </c>
      <c r="AZ262" s="779">
        <f>WWWW[[#This Row],[HRP1]]/250</f>
        <v>6.2960000000000003</v>
      </c>
      <c r="BA262" s="780">
        <f>1-WWWW[[#This Row],[% Equitable and continuous access to sufficient quantity of domestic water]]</f>
        <v>0</v>
      </c>
      <c r="BB262" s="779">
        <f>WWWW[[#This Row],[%equitable and continuous access to sufficient quantity of safe drinking and domestic water''s GAP]]*WWWW[[#This Row],[Total PoP ]]</f>
        <v>0</v>
      </c>
      <c r="BC262" s="781">
        <f>IF(WWWW[[#This Row],[Total required water points]]-WWWW[[#This Row],['#Water points coverage]]&lt;0,0,WWWW[[#This Row],[Total required water points]]-WWWW[[#This Row],['#Water points coverage]])</f>
        <v>0</v>
      </c>
      <c r="BD262" s="781">
        <f>ROUND(IF(WWWW[[#This Row],[Total PoP ]]&lt;250,1,WWWW[[#This Row],[Total PoP ]]/250),0)</f>
        <v>6</v>
      </c>
      <c r="BE26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0.51842439644218552</v>
      </c>
      <c r="BF262" s="779">
        <f>WWWW[[#This Row],[% people access to functioning Latrine]]*WWWW[[#This Row],[Total PoP ]]</f>
        <v>816</v>
      </c>
      <c r="BG262" s="781">
        <f>WWWW[[#This Row],['#_of_Functioning_latrines_in_school]]*50</f>
        <v>0</v>
      </c>
      <c r="BH262" s="781">
        <f>ROUND((WWWW[[#This Row],[Total PoP ]]/6),0)</f>
        <v>262</v>
      </c>
      <c r="BI262" s="781">
        <f>IF(WWWW[[#This Row],[Total required Latrines]]-(WWWW[[#This Row],['#_of_sanitary_fly-proof_HH_latrines]])&lt;0,0,WWWW[[#This Row],[Total required Latrines]]-(WWWW[[#This Row],['#_of_sanitary_fly-proof_HH_latrines]]))</f>
        <v>126</v>
      </c>
      <c r="BJ262" s="778">
        <f>1-WWWW[[#This Row],[% people access to functioning Latrine]]</f>
        <v>0.48157560355781448</v>
      </c>
      <c r="BK26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62" s="772">
        <f>IF(WWWW[[#This Row],['#_of_functional_handwashing_facilities_at_HH_level]]*6&gt;WWWW[[#This Row],[Total PoP ]],WWWW[[#This Row],[Total PoP ]],WWWW[[#This Row],['#_of_functional_handwashing_facilities_at_HH_level]]*6)</f>
        <v>0</v>
      </c>
      <c r="BM262" s="781">
        <f>IF(WWWW[[#This Row],['# people reached by regular dedicated hygiene promotion]]&gt;WWWW[[#This Row],['# People received regular supply of hygiene items]],WWWW[[#This Row],['# people reached by regular dedicated hygiene promotion]],WWWW[[#This Row],['# People received regular supply of hygiene items]])</f>
        <v>0</v>
      </c>
      <c r="BN262" s="780">
        <f>IF(WWWW[[#This Row],[HRP3]]/WWWW[[#This Row],[Total PoP ]]&gt;100%,100%,WWWW[[#This Row],[HRP3]]/WWWW[[#This Row],[Total PoP ]])</f>
        <v>0</v>
      </c>
      <c r="BO262" s="778">
        <f>1-WWWW[[#This Row],[Hygiene Coverage%]]</f>
        <v>1</v>
      </c>
      <c r="BP262" s="777">
        <f>WWWW[[#This Row],['# people reached by regular dedicated hygiene promotion]]/WWWW[[#This Row],[Total PoP ]]</f>
        <v>0</v>
      </c>
      <c r="BQ26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2" s="770">
        <f>WWWW[[#This Row],['#_of_affected_women_and_girls_receiving_a_sufficient_quantity_of_sanitary_pads]]</f>
        <v>0</v>
      </c>
      <c r="BS262" s="773">
        <f>IF(WWWW[[#This Row],['# People with access to soap]]&gt;WWWW[[#This Row],['# People with access to Sanity Pads]],WWWW[[#This Row],['# People with access to soap]],WWWW[[#This Row],['# People with access to Sanity Pads]])</f>
        <v>0</v>
      </c>
      <c r="BT262" s="772" t="str">
        <f>IF(OR(WWWW[[#This Row],['#of students in school]]="",WWWW[[#This Row],['#of students in school]]=0),"No","Yes")</f>
        <v>No</v>
      </c>
      <c r="BU262" s="782" t="str">
        <f>VLOOKUP(WWWW[[#This Row],[Village  Name]],SiteDB6[[Site Name]:[Location Type 1]],9,FALSE)</f>
        <v>Village</v>
      </c>
      <c r="BV262" s="782" t="str">
        <f>VLOOKUP(WWWW[[#This Row],[Village  Name]],SiteDB6[[Site Name]:[Type of Accommodation]],10,FALSE)</f>
        <v>village</v>
      </c>
      <c r="BW262" s="782" t="str">
        <f>VLOOKUP(WWWW[[#This Row],[Village  Name]],SiteDB6[[Site Name]:[Ethnic or GCA/NGCA]],11,FALSE)</f>
        <v>Rakhine</v>
      </c>
      <c r="BX262" s="782">
        <f>VLOOKUP(WWWW[[#This Row],[Village  Name]],SiteDB6[[Site Name]:[Lat]],12,FALSE)</f>
        <v>20.226730346679702</v>
      </c>
      <c r="BY262" s="782">
        <f>VLOOKUP(WWWW[[#This Row],[Village  Name]],SiteDB6[[Site Name]:[Long]],13,FALSE)</f>
        <v>92.836929321289105</v>
      </c>
      <c r="BZ262" s="782">
        <f>VLOOKUP(WWWW[[#This Row],[Village  Name]],SiteDB6[[Site Name]:[Pcode]],3,FALSE)</f>
        <v>196129</v>
      </c>
      <c r="CA262" s="782" t="str">
        <f t="shared" si="17"/>
        <v>Covered</v>
      </c>
      <c r="CB262" s="783"/>
    </row>
    <row r="263" spans="1:80">
      <c r="A263" s="774" t="s">
        <v>3199</v>
      </c>
      <c r="B263" s="727" t="s">
        <v>314</v>
      </c>
      <c r="C263" s="728" t="s">
        <v>314</v>
      </c>
      <c r="D263" s="728" t="s">
        <v>307</v>
      </c>
      <c r="E263" s="728" t="s">
        <v>2648</v>
      </c>
      <c r="F263" s="728" t="s">
        <v>295</v>
      </c>
      <c r="G263" s="644" t="str">
        <f>VLOOKUP(WWWW[[#This Row],[Village  Name]],SiteDB6[[Site Name]:[Location Type]],8,FALSE)</f>
        <v>Village</v>
      </c>
      <c r="H263" s="728" t="s">
        <v>2005</v>
      </c>
      <c r="I263" s="775">
        <v>301</v>
      </c>
      <c r="J263" s="775">
        <v>1529</v>
      </c>
      <c r="K263" s="784">
        <v>42736</v>
      </c>
      <c r="L263" s="785">
        <v>44551</v>
      </c>
      <c r="M263" s="775"/>
      <c r="N263" s="775"/>
      <c r="O263" s="773">
        <v>7</v>
      </c>
      <c r="P263" s="775">
        <v>117</v>
      </c>
      <c r="Q263" s="775">
        <v>3</v>
      </c>
      <c r="R263" s="775"/>
      <c r="S263" s="775"/>
      <c r="T263" s="775"/>
      <c r="U263" s="776"/>
      <c r="V263" s="775">
        <v>186</v>
      </c>
      <c r="W263" s="775" t="s">
        <v>130</v>
      </c>
      <c r="X263" s="775"/>
      <c r="Y263" s="775"/>
      <c r="Z263" s="775"/>
      <c r="AA263" s="775"/>
      <c r="AB263" s="775"/>
      <c r="AC263" s="776"/>
      <c r="AD263" s="775"/>
      <c r="AE263" s="775"/>
      <c r="AF263" s="775"/>
      <c r="AG263" s="775"/>
      <c r="AH263" s="775"/>
      <c r="AI263" s="775"/>
      <c r="AJ263" s="773"/>
      <c r="AK263" s="775"/>
      <c r="AL263" s="773"/>
      <c r="AM263" s="773"/>
      <c r="AN263" s="776"/>
      <c r="AO263" s="769"/>
      <c r="AP263" s="769"/>
      <c r="AQ263" s="773"/>
      <c r="AR263" s="773"/>
      <c r="AS263" s="773"/>
      <c r="AT26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63" s="779">
        <f>WWWW[[#This Row],[%Equitable and continuous access to sufficient quantity of safe drinking water]]*WWWW[[#This Row],[Total PoP ]]</f>
        <v>1529</v>
      </c>
      <c r="AV26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63" s="779">
        <f>WWWW[[#This Row],[% Access to unimproved water points]]*WWWW[[#This Row],[Total PoP ]]</f>
        <v>1529</v>
      </c>
      <c r="AX26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6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1529</v>
      </c>
      <c r="AZ263" s="779">
        <f>WWWW[[#This Row],[HRP1]]/250</f>
        <v>6.1159999999999997</v>
      </c>
      <c r="BA263" s="780">
        <f>1-WWWW[[#This Row],[% Equitable and continuous access to sufficient quantity of domestic water]]</f>
        <v>0</v>
      </c>
      <c r="BB263" s="779">
        <f>WWWW[[#This Row],[%equitable and continuous access to sufficient quantity of safe drinking and domestic water''s GAP]]*WWWW[[#This Row],[Total PoP ]]</f>
        <v>0</v>
      </c>
      <c r="BC263" s="781">
        <f>IF(WWWW[[#This Row],[Total required water points]]-WWWW[[#This Row],['#Water points coverage]]&lt;0,0,WWWW[[#This Row],[Total required water points]]-WWWW[[#This Row],['#Water points coverage]])</f>
        <v>0</v>
      </c>
      <c r="BD263" s="781">
        <f>ROUND(IF(WWWW[[#This Row],[Total PoP ]]&lt;250,1,WWWW[[#This Row],[Total PoP ]]/250),0)</f>
        <v>6</v>
      </c>
      <c r="BE26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0.72988881621975144</v>
      </c>
      <c r="BF263" s="779">
        <f>WWWW[[#This Row],[% people access to functioning Latrine]]*WWWW[[#This Row],[Total PoP ]]</f>
        <v>1116</v>
      </c>
      <c r="BG263" s="781">
        <f>WWWW[[#This Row],['#_of_Functioning_latrines_in_school]]*50</f>
        <v>0</v>
      </c>
      <c r="BH263" s="781">
        <f>ROUND((WWWW[[#This Row],[Total PoP ]]/6),0)</f>
        <v>255</v>
      </c>
      <c r="BI263" s="781">
        <f>IF(WWWW[[#This Row],[Total required Latrines]]-(WWWW[[#This Row],['#_of_sanitary_fly-proof_HH_latrines]])&lt;0,0,WWWW[[#This Row],[Total required Latrines]]-(WWWW[[#This Row],['#_of_sanitary_fly-proof_HH_latrines]]))</f>
        <v>69</v>
      </c>
      <c r="BJ263" s="778">
        <f>1-WWWW[[#This Row],[% people access to functioning Latrine]]</f>
        <v>0.27011118378024856</v>
      </c>
      <c r="BK26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63" s="772">
        <f>IF(WWWW[[#This Row],['#_of_functional_handwashing_facilities_at_HH_level]]*6&gt;WWWW[[#This Row],[Total PoP ]],WWWW[[#This Row],[Total PoP ]],WWWW[[#This Row],['#_of_functional_handwashing_facilities_at_HH_level]]*6)</f>
        <v>0</v>
      </c>
      <c r="BM263" s="781">
        <f>IF(WWWW[[#This Row],['# people reached by regular dedicated hygiene promotion]]&gt;WWWW[[#This Row],['# People received regular supply of hygiene items]],WWWW[[#This Row],['# people reached by regular dedicated hygiene promotion]],WWWW[[#This Row],['# People received regular supply of hygiene items]])</f>
        <v>0</v>
      </c>
      <c r="BN263" s="780">
        <f>IF(WWWW[[#This Row],[HRP3]]/WWWW[[#This Row],[Total PoP ]]&gt;100%,100%,WWWW[[#This Row],[HRP3]]/WWWW[[#This Row],[Total PoP ]])</f>
        <v>0</v>
      </c>
      <c r="BO263" s="778">
        <f>1-WWWW[[#This Row],[Hygiene Coverage%]]</f>
        <v>1</v>
      </c>
      <c r="BP263" s="777">
        <f>WWWW[[#This Row],['# people reached by regular dedicated hygiene promotion]]/WWWW[[#This Row],[Total PoP ]]</f>
        <v>0</v>
      </c>
      <c r="BQ26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3" s="770">
        <f>WWWW[[#This Row],['#_of_affected_women_and_girls_receiving_a_sufficient_quantity_of_sanitary_pads]]</f>
        <v>0</v>
      </c>
      <c r="BS263" s="773">
        <f>IF(WWWW[[#This Row],['# People with access to soap]]&gt;WWWW[[#This Row],['# People with access to Sanity Pads]],WWWW[[#This Row],['# People with access to soap]],WWWW[[#This Row],['# People with access to Sanity Pads]])</f>
        <v>0</v>
      </c>
      <c r="BT263" s="772" t="str">
        <f>IF(OR(WWWW[[#This Row],['#of students in school]]="",WWWW[[#This Row],['#of students in school]]=0),"No","Yes")</f>
        <v>No</v>
      </c>
      <c r="BU263" s="782" t="str">
        <f>VLOOKUP(WWWW[[#This Row],[Village  Name]],SiteDB6[[Site Name]:[Location Type 1]],9,FALSE)</f>
        <v>Village</v>
      </c>
      <c r="BV263" s="782" t="str">
        <f>VLOOKUP(WWWW[[#This Row],[Village  Name]],SiteDB6[[Site Name]:[Type of Accommodation]],10,FALSE)</f>
        <v>Village</v>
      </c>
      <c r="BW263" s="782" t="str">
        <f>VLOOKUP(WWWW[[#This Row],[Village  Name]],SiteDB6[[Site Name]:[Ethnic or GCA/NGCA]],11,FALSE)</f>
        <v>Rakhine</v>
      </c>
      <c r="BX263" s="782">
        <f>VLOOKUP(WWWW[[#This Row],[Village  Name]],SiteDB6[[Site Name]:[Lat]],12,FALSE)</f>
        <v>20.257850650000002</v>
      </c>
      <c r="BY263" s="782">
        <f>VLOOKUP(WWWW[[#This Row],[Village  Name]],SiteDB6[[Site Name]:[Long]],13,FALSE)</f>
        <v>92.811126709999996</v>
      </c>
      <c r="BZ263" s="782">
        <f>VLOOKUP(WWWW[[#This Row],[Village  Name]],SiteDB6[[Site Name]:[Pcode]],3,FALSE)</f>
        <v>196161</v>
      </c>
      <c r="CA263" s="782" t="str">
        <f t="shared" si="17"/>
        <v>Covered</v>
      </c>
      <c r="CB263" s="783"/>
    </row>
    <row r="264" spans="1:80">
      <c r="A264" s="774" t="s">
        <v>3199</v>
      </c>
      <c r="B264" s="727" t="s">
        <v>314</v>
      </c>
      <c r="C264" s="728" t="s">
        <v>314</v>
      </c>
      <c r="D264" s="728" t="s">
        <v>307</v>
      </c>
      <c r="E264" s="728" t="s">
        <v>2648</v>
      </c>
      <c r="F264" s="728" t="s">
        <v>295</v>
      </c>
      <c r="G264" s="644" t="str">
        <f>VLOOKUP(WWWW[[#This Row],[Village  Name]],SiteDB6[[Site Name]:[Location Type]],8,FALSE)</f>
        <v>Village</v>
      </c>
      <c r="H264" s="728" t="s">
        <v>2588</v>
      </c>
      <c r="I264" s="775">
        <v>85</v>
      </c>
      <c r="J264" s="775">
        <v>369</v>
      </c>
      <c r="K264" s="784">
        <v>42736</v>
      </c>
      <c r="L264" s="785">
        <v>44551</v>
      </c>
      <c r="M264" s="775"/>
      <c r="N264" s="775"/>
      <c r="O264" s="773">
        <v>2</v>
      </c>
      <c r="P264" s="775">
        <v>56</v>
      </c>
      <c r="Q264" s="775">
        <v>2</v>
      </c>
      <c r="R264" s="775"/>
      <c r="S264" s="775"/>
      <c r="T264" s="775"/>
      <c r="U264" s="776"/>
      <c r="V264" s="775">
        <v>58</v>
      </c>
      <c r="W264" s="775" t="s">
        <v>130</v>
      </c>
      <c r="X264" s="775"/>
      <c r="Y264" s="775"/>
      <c r="Z264" s="775"/>
      <c r="AA264" s="775"/>
      <c r="AB264" s="775"/>
      <c r="AC264" s="776"/>
      <c r="AD264" s="775"/>
      <c r="AE264" s="775"/>
      <c r="AF264" s="775"/>
      <c r="AG264" s="775"/>
      <c r="AH264" s="775"/>
      <c r="AI264" s="775"/>
      <c r="AJ264" s="773"/>
      <c r="AK264" s="775"/>
      <c r="AL264" s="773"/>
      <c r="AM264" s="773"/>
      <c r="AN264" s="776"/>
      <c r="AO264" s="769"/>
      <c r="AP264" s="769"/>
      <c r="AQ264" s="773"/>
      <c r="AR264" s="773"/>
      <c r="AS264" s="773"/>
      <c r="AT26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64" s="779">
        <f>WWWW[[#This Row],[%Equitable and continuous access to sufficient quantity of safe drinking water]]*WWWW[[#This Row],[Total PoP ]]</f>
        <v>369</v>
      </c>
      <c r="AV26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64" s="779">
        <f>WWWW[[#This Row],[% Access to unimproved water points]]*WWWW[[#This Row],[Total PoP ]]</f>
        <v>369</v>
      </c>
      <c r="AX26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6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369</v>
      </c>
      <c r="AZ264" s="779">
        <f>WWWW[[#This Row],[HRP1]]/250</f>
        <v>1.476</v>
      </c>
      <c r="BA264" s="780">
        <f>1-WWWW[[#This Row],[% Equitable and continuous access to sufficient quantity of domestic water]]</f>
        <v>0</v>
      </c>
      <c r="BB264" s="779">
        <f>WWWW[[#This Row],[%equitable and continuous access to sufficient quantity of safe drinking and domestic water''s GAP]]*WWWW[[#This Row],[Total PoP ]]</f>
        <v>0</v>
      </c>
      <c r="BC264" s="781">
        <f>IF(WWWW[[#This Row],[Total required water points]]-WWWW[[#This Row],['#Water points coverage]]&lt;0,0,WWWW[[#This Row],[Total required water points]]-WWWW[[#This Row],['#Water points coverage]])</f>
        <v>0</v>
      </c>
      <c r="BD264" s="781">
        <f>ROUND(IF(WWWW[[#This Row],[Total PoP ]]&lt;250,1,WWWW[[#This Row],[Total PoP ]]/250),0)</f>
        <v>1</v>
      </c>
      <c r="BE26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0.94308943089430897</v>
      </c>
      <c r="BF264" s="779">
        <f>WWWW[[#This Row],[% people access to functioning Latrine]]*WWWW[[#This Row],[Total PoP ]]</f>
        <v>348</v>
      </c>
      <c r="BG264" s="781">
        <f>WWWW[[#This Row],['#_of_Functioning_latrines_in_school]]*50</f>
        <v>0</v>
      </c>
      <c r="BH264" s="781">
        <f>ROUND((WWWW[[#This Row],[Total PoP ]]/6),0)</f>
        <v>62</v>
      </c>
      <c r="BI264" s="781">
        <f>IF(WWWW[[#This Row],[Total required Latrines]]-(WWWW[[#This Row],['#_of_sanitary_fly-proof_HH_latrines]])&lt;0,0,WWWW[[#This Row],[Total required Latrines]]-(WWWW[[#This Row],['#_of_sanitary_fly-proof_HH_latrines]]))</f>
        <v>4</v>
      </c>
      <c r="BJ264" s="778">
        <f>1-WWWW[[#This Row],[% people access to functioning Latrine]]</f>
        <v>5.6910569105691033E-2</v>
      </c>
      <c r="BK26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64" s="772">
        <f>IF(WWWW[[#This Row],['#_of_functional_handwashing_facilities_at_HH_level]]*6&gt;WWWW[[#This Row],[Total PoP ]],WWWW[[#This Row],[Total PoP ]],WWWW[[#This Row],['#_of_functional_handwashing_facilities_at_HH_level]]*6)</f>
        <v>0</v>
      </c>
      <c r="BM264" s="781">
        <f>IF(WWWW[[#This Row],['# people reached by regular dedicated hygiene promotion]]&gt;WWWW[[#This Row],['# People received regular supply of hygiene items]],WWWW[[#This Row],['# people reached by regular dedicated hygiene promotion]],WWWW[[#This Row],['# People received regular supply of hygiene items]])</f>
        <v>0</v>
      </c>
      <c r="BN264" s="780">
        <f>IF(WWWW[[#This Row],[HRP3]]/WWWW[[#This Row],[Total PoP ]]&gt;100%,100%,WWWW[[#This Row],[HRP3]]/WWWW[[#This Row],[Total PoP ]])</f>
        <v>0</v>
      </c>
      <c r="BO264" s="778">
        <f>1-WWWW[[#This Row],[Hygiene Coverage%]]</f>
        <v>1</v>
      </c>
      <c r="BP264" s="777">
        <f>WWWW[[#This Row],['# people reached by regular dedicated hygiene promotion]]/WWWW[[#This Row],[Total PoP ]]</f>
        <v>0</v>
      </c>
      <c r="BQ26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4" s="770">
        <f>WWWW[[#This Row],['#_of_affected_women_and_girls_receiving_a_sufficient_quantity_of_sanitary_pads]]</f>
        <v>0</v>
      </c>
      <c r="BS264" s="773">
        <f>IF(WWWW[[#This Row],['# People with access to soap]]&gt;WWWW[[#This Row],['# People with access to Sanity Pads]],WWWW[[#This Row],['# People with access to soap]],WWWW[[#This Row],['# People with access to Sanity Pads]])</f>
        <v>0</v>
      </c>
      <c r="BT264" s="772" t="str">
        <f>IF(OR(WWWW[[#This Row],['#of students in school]]="",WWWW[[#This Row],['#of students in school]]=0),"No","Yes")</f>
        <v>No</v>
      </c>
      <c r="BU264" s="782" t="str">
        <f>VLOOKUP(WWWW[[#This Row],[Village  Name]],SiteDB6[[Site Name]:[Location Type 1]],9,FALSE)</f>
        <v>Village</v>
      </c>
      <c r="BV264" s="782" t="str">
        <f>VLOOKUP(WWWW[[#This Row],[Village  Name]],SiteDB6[[Site Name]:[Type of Accommodation]],10,FALSE)</f>
        <v>Village</v>
      </c>
      <c r="BW264" s="782">
        <f>VLOOKUP(WWWW[[#This Row],[Village  Name]],SiteDB6[[Site Name]:[Ethnic or GCA/NGCA]],11,FALSE)</f>
        <v>0</v>
      </c>
      <c r="BX264" s="782">
        <f>VLOOKUP(WWWW[[#This Row],[Village  Name]],SiteDB6[[Site Name]:[Lat]],12,FALSE)</f>
        <v>20.261358000000001</v>
      </c>
      <c r="BY264" s="782">
        <f>VLOOKUP(WWWW[[#This Row],[Village  Name]],SiteDB6[[Site Name]:[Long]],13,FALSE)</f>
        <v>92.805672999999999</v>
      </c>
      <c r="BZ264" s="782">
        <f>VLOOKUP(WWWW[[#This Row],[Village  Name]],SiteDB6[[Site Name]:[Pcode]],3,FALSE)</f>
        <v>220593</v>
      </c>
      <c r="CA264" s="782" t="str">
        <f t="shared" si="17"/>
        <v>Covered</v>
      </c>
      <c r="CB264" s="783"/>
    </row>
    <row r="265" spans="1:80">
      <c r="A265" s="774" t="s">
        <v>3199</v>
      </c>
      <c r="B265" s="727" t="s">
        <v>314</v>
      </c>
      <c r="C265" s="728" t="s">
        <v>314</v>
      </c>
      <c r="D265" s="728" t="s">
        <v>307</v>
      </c>
      <c r="E265" s="728" t="s">
        <v>2648</v>
      </c>
      <c r="F265" s="728" t="s">
        <v>295</v>
      </c>
      <c r="G265" s="644" t="str">
        <f>VLOOKUP(WWWW[[#This Row],[Village  Name]],SiteDB6[[Site Name]:[Location Type]],8,FALSE)</f>
        <v>Village</v>
      </c>
      <c r="H265" s="728" t="s">
        <v>2006</v>
      </c>
      <c r="I265" s="775">
        <v>355</v>
      </c>
      <c r="J265" s="775">
        <v>2168</v>
      </c>
      <c r="K265" s="784">
        <v>42736</v>
      </c>
      <c r="L265" s="785">
        <v>44551</v>
      </c>
      <c r="M265" s="775"/>
      <c r="N265" s="775"/>
      <c r="O265" s="773">
        <v>23</v>
      </c>
      <c r="P265" s="775">
        <v>374</v>
      </c>
      <c r="Q265" s="775">
        <v>2</v>
      </c>
      <c r="R265" s="775"/>
      <c r="S265" s="775"/>
      <c r="T265" s="775"/>
      <c r="U265" s="776"/>
      <c r="V265" s="775">
        <v>216</v>
      </c>
      <c r="W265" s="775" t="s">
        <v>130</v>
      </c>
      <c r="X265" s="775"/>
      <c r="Y265" s="775"/>
      <c r="Z265" s="775"/>
      <c r="AA265" s="775"/>
      <c r="AB265" s="775"/>
      <c r="AC265" s="776"/>
      <c r="AD265" s="775"/>
      <c r="AE265" s="775"/>
      <c r="AF265" s="775"/>
      <c r="AG265" s="775"/>
      <c r="AH265" s="775"/>
      <c r="AI265" s="775"/>
      <c r="AJ265" s="773"/>
      <c r="AK265" s="775"/>
      <c r="AL265" s="773"/>
      <c r="AM265" s="773"/>
      <c r="AN265" s="776"/>
      <c r="AO265" s="769"/>
      <c r="AP265" s="769"/>
      <c r="AQ265" s="773"/>
      <c r="AR265" s="773"/>
      <c r="AS265" s="773"/>
      <c r="AT26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65" s="779">
        <f>WWWW[[#This Row],[%Equitable and continuous access to sufficient quantity of safe drinking water]]*WWWW[[#This Row],[Total PoP ]]</f>
        <v>2168</v>
      </c>
      <c r="AV26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65" s="779">
        <f>WWWW[[#This Row],[% Access to unimproved water points]]*WWWW[[#This Row],[Total PoP ]]</f>
        <v>2168</v>
      </c>
      <c r="AX26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6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2168</v>
      </c>
      <c r="AZ265" s="779">
        <f>WWWW[[#This Row],[HRP1]]/250</f>
        <v>8.6720000000000006</v>
      </c>
      <c r="BA265" s="780">
        <f>1-WWWW[[#This Row],[% Equitable and continuous access to sufficient quantity of domestic water]]</f>
        <v>0</v>
      </c>
      <c r="BB265" s="779">
        <f>WWWW[[#This Row],[%equitable and continuous access to sufficient quantity of safe drinking and domestic water''s GAP]]*WWWW[[#This Row],[Total PoP ]]</f>
        <v>0</v>
      </c>
      <c r="BC265" s="781">
        <f>IF(WWWW[[#This Row],[Total required water points]]-WWWW[[#This Row],['#Water points coverage]]&lt;0,0,WWWW[[#This Row],[Total required water points]]-WWWW[[#This Row],['#Water points coverage]])</f>
        <v>0.3279999999999994</v>
      </c>
      <c r="BD265" s="781">
        <f>ROUND(IF(WWWW[[#This Row],[Total PoP ]]&lt;250,1,WWWW[[#This Row],[Total PoP ]]/250),0)</f>
        <v>9</v>
      </c>
      <c r="BE26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0.59778597785977861</v>
      </c>
      <c r="BF265" s="779">
        <f>WWWW[[#This Row],[% people access to functioning Latrine]]*WWWW[[#This Row],[Total PoP ]]</f>
        <v>1296</v>
      </c>
      <c r="BG265" s="781">
        <f>WWWW[[#This Row],['#_of_Functioning_latrines_in_school]]*50</f>
        <v>0</v>
      </c>
      <c r="BH265" s="781">
        <f>ROUND((WWWW[[#This Row],[Total PoP ]]/6),0)</f>
        <v>361</v>
      </c>
      <c r="BI265" s="781">
        <f>IF(WWWW[[#This Row],[Total required Latrines]]-(WWWW[[#This Row],['#_of_sanitary_fly-proof_HH_latrines]])&lt;0,0,WWWW[[#This Row],[Total required Latrines]]-(WWWW[[#This Row],['#_of_sanitary_fly-proof_HH_latrines]]))</f>
        <v>145</v>
      </c>
      <c r="BJ265" s="778">
        <f>1-WWWW[[#This Row],[% people access to functioning Latrine]]</f>
        <v>0.40221402214022139</v>
      </c>
      <c r="BK26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65" s="772">
        <f>IF(WWWW[[#This Row],['#_of_functional_handwashing_facilities_at_HH_level]]*6&gt;WWWW[[#This Row],[Total PoP ]],WWWW[[#This Row],[Total PoP ]],WWWW[[#This Row],['#_of_functional_handwashing_facilities_at_HH_level]]*6)</f>
        <v>0</v>
      </c>
      <c r="BM265" s="781">
        <f>IF(WWWW[[#This Row],['# people reached by regular dedicated hygiene promotion]]&gt;WWWW[[#This Row],['# People received regular supply of hygiene items]],WWWW[[#This Row],['# people reached by regular dedicated hygiene promotion]],WWWW[[#This Row],['# People received regular supply of hygiene items]])</f>
        <v>0</v>
      </c>
      <c r="BN265" s="780">
        <f>IF(WWWW[[#This Row],[HRP3]]/WWWW[[#This Row],[Total PoP ]]&gt;100%,100%,WWWW[[#This Row],[HRP3]]/WWWW[[#This Row],[Total PoP ]])</f>
        <v>0</v>
      </c>
      <c r="BO265" s="778">
        <f>1-WWWW[[#This Row],[Hygiene Coverage%]]</f>
        <v>1</v>
      </c>
      <c r="BP265" s="777">
        <f>WWWW[[#This Row],['# people reached by regular dedicated hygiene promotion]]/WWWW[[#This Row],[Total PoP ]]</f>
        <v>0</v>
      </c>
      <c r="BQ26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5" s="770">
        <f>WWWW[[#This Row],['#_of_affected_women_and_girls_receiving_a_sufficient_quantity_of_sanitary_pads]]</f>
        <v>0</v>
      </c>
      <c r="BS265" s="773">
        <f>IF(WWWW[[#This Row],['# People with access to soap]]&gt;WWWW[[#This Row],['# People with access to Sanity Pads]],WWWW[[#This Row],['# People with access to soap]],WWWW[[#This Row],['# People with access to Sanity Pads]])</f>
        <v>0</v>
      </c>
      <c r="BT265" s="772" t="str">
        <f>IF(OR(WWWW[[#This Row],['#of students in school]]="",WWWW[[#This Row],['#of students in school]]=0),"No","Yes")</f>
        <v>No</v>
      </c>
      <c r="BU265" s="782" t="str">
        <f>VLOOKUP(WWWW[[#This Row],[Village  Name]],SiteDB6[[Site Name]:[Location Type 1]],9,FALSE)</f>
        <v>Village</v>
      </c>
      <c r="BV265" s="782" t="str">
        <f>VLOOKUP(WWWW[[#This Row],[Village  Name]],SiteDB6[[Site Name]:[Type of Accommodation]],10,FALSE)</f>
        <v>Village</v>
      </c>
      <c r="BW265" s="782">
        <f>VLOOKUP(WWWW[[#This Row],[Village  Name]],SiteDB6[[Site Name]:[Ethnic or GCA/NGCA]],11,FALSE)</f>
        <v>0</v>
      </c>
      <c r="BX265" s="782">
        <f>VLOOKUP(WWWW[[#This Row],[Village  Name]],SiteDB6[[Site Name]:[Lat]],12,FALSE)</f>
        <v>20.246250152587901</v>
      </c>
      <c r="BY265" s="782">
        <f>VLOOKUP(WWWW[[#This Row],[Village  Name]],SiteDB6[[Site Name]:[Long]],13,FALSE)</f>
        <v>92.822059631347699</v>
      </c>
      <c r="BZ265" s="782">
        <f>VLOOKUP(WWWW[[#This Row],[Village  Name]],SiteDB6[[Site Name]:[Pcode]],3,FALSE)</f>
        <v>196160</v>
      </c>
      <c r="CA265" s="782" t="str">
        <f t="shared" si="17"/>
        <v>Covered</v>
      </c>
      <c r="CB265" s="783"/>
    </row>
    <row r="266" spans="1:80">
      <c r="A266" s="774" t="s">
        <v>3199</v>
      </c>
      <c r="B266" s="727" t="s">
        <v>314</v>
      </c>
      <c r="C266" s="728" t="s">
        <v>314</v>
      </c>
      <c r="D266" s="728" t="s">
        <v>307</v>
      </c>
      <c r="E266" s="728" t="s">
        <v>2648</v>
      </c>
      <c r="F266" s="728" t="s">
        <v>295</v>
      </c>
      <c r="G266" s="644" t="str">
        <f>VLOOKUP(WWWW[[#This Row],[Village  Name]],SiteDB6[[Site Name]:[Location Type]],8,FALSE)</f>
        <v>Village</v>
      </c>
      <c r="H266" s="728" t="s">
        <v>2589</v>
      </c>
      <c r="I266" s="775">
        <v>300</v>
      </c>
      <c r="J266" s="775">
        <v>1369</v>
      </c>
      <c r="K266" s="784">
        <v>42736</v>
      </c>
      <c r="L266" s="785">
        <v>44551</v>
      </c>
      <c r="M266" s="775"/>
      <c r="N266" s="775"/>
      <c r="O266" s="773">
        <v>8</v>
      </c>
      <c r="P266" s="775">
        <v>191</v>
      </c>
      <c r="Q266" s="775">
        <v>4</v>
      </c>
      <c r="R266" s="775"/>
      <c r="S266" s="775"/>
      <c r="T266" s="775"/>
      <c r="U266" s="776"/>
      <c r="V266" s="775">
        <v>219</v>
      </c>
      <c r="W266" s="775" t="s">
        <v>130</v>
      </c>
      <c r="X266" s="775"/>
      <c r="Y266" s="775"/>
      <c r="Z266" s="775"/>
      <c r="AA266" s="775"/>
      <c r="AB266" s="775"/>
      <c r="AC266" s="776"/>
      <c r="AD266" s="775"/>
      <c r="AE266" s="775"/>
      <c r="AF266" s="775"/>
      <c r="AG266" s="775"/>
      <c r="AH266" s="775"/>
      <c r="AI266" s="775"/>
      <c r="AJ266" s="773"/>
      <c r="AK266" s="775"/>
      <c r="AL266" s="773"/>
      <c r="AM266" s="773"/>
      <c r="AN266" s="776"/>
      <c r="AO266" s="769"/>
      <c r="AP266" s="769"/>
      <c r="AQ266" s="773"/>
      <c r="AR266" s="773"/>
      <c r="AS266" s="773"/>
      <c r="AT26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66" s="779">
        <f>WWWW[[#This Row],[%Equitable and continuous access to sufficient quantity of safe drinking water]]*WWWW[[#This Row],[Total PoP ]]</f>
        <v>1369</v>
      </c>
      <c r="AV26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66" s="779">
        <f>WWWW[[#This Row],[% Access to unimproved water points]]*WWWW[[#This Row],[Total PoP ]]</f>
        <v>1369</v>
      </c>
      <c r="AX26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6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1369</v>
      </c>
      <c r="AZ266" s="779">
        <f>WWWW[[#This Row],[HRP1]]/250</f>
        <v>5.476</v>
      </c>
      <c r="BA266" s="780">
        <f>1-WWWW[[#This Row],[% Equitable and continuous access to sufficient quantity of domestic water]]</f>
        <v>0</v>
      </c>
      <c r="BB266" s="779">
        <f>WWWW[[#This Row],[%equitable and continuous access to sufficient quantity of safe drinking and domestic water''s GAP]]*WWWW[[#This Row],[Total PoP ]]</f>
        <v>0</v>
      </c>
      <c r="BC266" s="781">
        <f>IF(WWWW[[#This Row],[Total required water points]]-WWWW[[#This Row],['#Water points coverage]]&lt;0,0,WWWW[[#This Row],[Total required water points]]-WWWW[[#This Row],['#Water points coverage]])</f>
        <v>0</v>
      </c>
      <c r="BD266" s="781">
        <f>ROUND(IF(WWWW[[#This Row],[Total PoP ]]&lt;250,1,WWWW[[#This Row],[Total PoP ]]/250),0)</f>
        <v>5</v>
      </c>
      <c r="BE26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0.95982468955441924</v>
      </c>
      <c r="BF266" s="779">
        <f>WWWW[[#This Row],[% people access to functioning Latrine]]*WWWW[[#This Row],[Total PoP ]]</f>
        <v>1314</v>
      </c>
      <c r="BG266" s="781">
        <f>WWWW[[#This Row],['#_of_Functioning_latrines_in_school]]*50</f>
        <v>0</v>
      </c>
      <c r="BH266" s="781">
        <f>ROUND((WWWW[[#This Row],[Total PoP ]]/6),0)</f>
        <v>228</v>
      </c>
      <c r="BI266" s="781">
        <f>IF(WWWW[[#This Row],[Total required Latrines]]-(WWWW[[#This Row],['#_of_sanitary_fly-proof_HH_latrines]])&lt;0,0,WWWW[[#This Row],[Total required Latrines]]-(WWWW[[#This Row],['#_of_sanitary_fly-proof_HH_latrines]]))</f>
        <v>9</v>
      </c>
      <c r="BJ266" s="778">
        <f>1-WWWW[[#This Row],[% people access to functioning Latrine]]</f>
        <v>4.0175310445580759E-2</v>
      </c>
      <c r="BK26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66" s="772">
        <f>IF(WWWW[[#This Row],['#_of_functional_handwashing_facilities_at_HH_level]]*6&gt;WWWW[[#This Row],[Total PoP ]],WWWW[[#This Row],[Total PoP ]],WWWW[[#This Row],['#_of_functional_handwashing_facilities_at_HH_level]]*6)</f>
        <v>0</v>
      </c>
      <c r="BM266" s="781">
        <f>IF(WWWW[[#This Row],['# people reached by regular dedicated hygiene promotion]]&gt;WWWW[[#This Row],['# People received regular supply of hygiene items]],WWWW[[#This Row],['# people reached by regular dedicated hygiene promotion]],WWWW[[#This Row],['# People received regular supply of hygiene items]])</f>
        <v>0</v>
      </c>
      <c r="BN266" s="780">
        <f>IF(WWWW[[#This Row],[HRP3]]/WWWW[[#This Row],[Total PoP ]]&gt;100%,100%,WWWW[[#This Row],[HRP3]]/WWWW[[#This Row],[Total PoP ]])</f>
        <v>0</v>
      </c>
      <c r="BO266" s="778">
        <f>1-WWWW[[#This Row],[Hygiene Coverage%]]</f>
        <v>1</v>
      </c>
      <c r="BP266" s="777">
        <f>WWWW[[#This Row],['# people reached by regular dedicated hygiene promotion]]/WWWW[[#This Row],[Total PoP ]]</f>
        <v>0</v>
      </c>
      <c r="BQ26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6" s="770">
        <f>WWWW[[#This Row],['#_of_affected_women_and_girls_receiving_a_sufficient_quantity_of_sanitary_pads]]</f>
        <v>0</v>
      </c>
      <c r="BS266" s="773">
        <f>IF(WWWW[[#This Row],['# People with access to soap]]&gt;WWWW[[#This Row],['# People with access to Sanity Pads]],WWWW[[#This Row],['# People with access to soap]],WWWW[[#This Row],['# People with access to Sanity Pads]])</f>
        <v>0</v>
      </c>
      <c r="BT266" s="772" t="str">
        <f>IF(OR(WWWW[[#This Row],['#of students in school]]="",WWWW[[#This Row],['#of students in school]]=0),"No","Yes")</f>
        <v>No</v>
      </c>
      <c r="BU266" s="782" t="str">
        <f>VLOOKUP(WWWW[[#This Row],[Village  Name]],SiteDB6[[Site Name]:[Location Type 1]],9,FALSE)</f>
        <v>Village</v>
      </c>
      <c r="BV266" s="782" t="str">
        <f>VLOOKUP(WWWW[[#This Row],[Village  Name]],SiteDB6[[Site Name]:[Type of Accommodation]],10,FALSE)</f>
        <v>Village</v>
      </c>
      <c r="BW266" s="782">
        <f>VLOOKUP(WWWW[[#This Row],[Village  Name]],SiteDB6[[Site Name]:[Ethnic or GCA/NGCA]],11,FALSE)</f>
        <v>0</v>
      </c>
      <c r="BX266" s="782">
        <f>VLOOKUP(WWWW[[#This Row],[Village  Name]],SiteDB6[[Site Name]:[Lat]],12,FALSE)</f>
        <v>20.239799499511701</v>
      </c>
      <c r="BY266" s="782">
        <f>VLOOKUP(WWWW[[#This Row],[Village  Name]],SiteDB6[[Site Name]:[Long]],13,FALSE)</f>
        <v>92.825088500976605</v>
      </c>
      <c r="BZ266" s="782">
        <f>VLOOKUP(WWWW[[#This Row],[Village  Name]],SiteDB6[[Site Name]:[Pcode]],3,FALSE)</f>
        <v>196131</v>
      </c>
      <c r="CA266" s="782" t="str">
        <f t="shared" si="17"/>
        <v>Covered</v>
      </c>
      <c r="CB266" s="783"/>
    </row>
    <row r="267" spans="1:80">
      <c r="A267" s="774" t="s">
        <v>3199</v>
      </c>
      <c r="B267" s="727" t="s">
        <v>314</v>
      </c>
      <c r="C267" s="728" t="s">
        <v>314</v>
      </c>
      <c r="D267" s="728" t="s">
        <v>327</v>
      </c>
      <c r="E267" s="728" t="s">
        <v>2648</v>
      </c>
      <c r="F267" s="728" t="s">
        <v>295</v>
      </c>
      <c r="G267" s="644" t="str">
        <f>VLOOKUP(WWWW[[#This Row],[Village  Name]],SiteDB6[[Site Name]:[Location Type]],8,FALSE)</f>
        <v>Village</v>
      </c>
      <c r="H267" s="728" t="s">
        <v>669</v>
      </c>
      <c r="I267" s="775">
        <v>331</v>
      </c>
      <c r="J267" s="775">
        <v>1473</v>
      </c>
      <c r="K267" s="784">
        <v>42736</v>
      </c>
      <c r="L267" s="785">
        <v>44551</v>
      </c>
      <c r="M267" s="775"/>
      <c r="N267" s="775"/>
      <c r="O267" s="773">
        <v>2</v>
      </c>
      <c r="P267" s="775">
        <v>68</v>
      </c>
      <c r="Q267" s="775">
        <v>2</v>
      </c>
      <c r="R267" s="775"/>
      <c r="S267" s="775"/>
      <c r="T267" s="775"/>
      <c r="U267" s="776"/>
      <c r="V267" s="775">
        <v>79</v>
      </c>
      <c r="W267" s="775" t="s">
        <v>130</v>
      </c>
      <c r="X267" s="775"/>
      <c r="Y267" s="775"/>
      <c r="Z267" s="775"/>
      <c r="AA267" s="775"/>
      <c r="AB267" s="775"/>
      <c r="AC267" s="776"/>
      <c r="AD267" s="775"/>
      <c r="AE267" s="775"/>
      <c r="AF267" s="775"/>
      <c r="AG267" s="775"/>
      <c r="AH267" s="775"/>
      <c r="AI267" s="775"/>
      <c r="AJ267" s="773"/>
      <c r="AK267" s="775"/>
      <c r="AL267" s="773"/>
      <c r="AM267" s="773"/>
      <c r="AN267" s="776"/>
      <c r="AO267" s="769"/>
      <c r="AP267" s="769"/>
      <c r="AQ267" s="773"/>
      <c r="AR267" s="773"/>
      <c r="AS267" s="773"/>
      <c r="AT26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67" s="779">
        <f>WWWW[[#This Row],[%Equitable and continuous access to sufficient quantity of safe drinking water]]*WWWW[[#This Row],[Total PoP ]]</f>
        <v>1473</v>
      </c>
      <c r="AV26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67" s="779">
        <f>WWWW[[#This Row],[% Access to unimproved water points]]*WWWW[[#This Row],[Total PoP ]]</f>
        <v>1473</v>
      </c>
      <c r="AX26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6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1473</v>
      </c>
      <c r="AZ267" s="779">
        <f>WWWW[[#This Row],[HRP1]]/250</f>
        <v>5.8920000000000003</v>
      </c>
      <c r="BA267" s="780">
        <f>1-WWWW[[#This Row],[% Equitable and continuous access to sufficient quantity of domestic water]]</f>
        <v>0</v>
      </c>
      <c r="BB267" s="779">
        <f>WWWW[[#This Row],[%equitable and continuous access to sufficient quantity of safe drinking and domestic water''s GAP]]*WWWW[[#This Row],[Total PoP ]]</f>
        <v>0</v>
      </c>
      <c r="BC267" s="781">
        <f>IF(WWWW[[#This Row],[Total required water points]]-WWWW[[#This Row],['#Water points coverage]]&lt;0,0,WWWW[[#This Row],[Total required water points]]-WWWW[[#This Row],['#Water points coverage]])</f>
        <v>0.10799999999999965</v>
      </c>
      <c r="BD267" s="781">
        <f>ROUND(IF(WWWW[[#This Row],[Total PoP ]]&lt;250,1,WWWW[[#This Row],[Total PoP ]]/250),0)</f>
        <v>6</v>
      </c>
      <c r="BE26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0.32179226069246436</v>
      </c>
      <c r="BF267" s="779">
        <f>WWWW[[#This Row],[% people access to functioning Latrine]]*WWWW[[#This Row],[Total PoP ]]</f>
        <v>474</v>
      </c>
      <c r="BG267" s="781">
        <f>WWWW[[#This Row],['#_of_Functioning_latrines_in_school]]*50</f>
        <v>0</v>
      </c>
      <c r="BH267" s="781">
        <f>ROUND((WWWW[[#This Row],[Total PoP ]]/6),0)</f>
        <v>246</v>
      </c>
      <c r="BI267" s="781">
        <f>IF(WWWW[[#This Row],[Total required Latrines]]-(WWWW[[#This Row],['#_of_sanitary_fly-proof_HH_latrines]])&lt;0,0,WWWW[[#This Row],[Total required Latrines]]-(WWWW[[#This Row],['#_of_sanitary_fly-proof_HH_latrines]]))</f>
        <v>167</v>
      </c>
      <c r="BJ267" s="778">
        <f>1-WWWW[[#This Row],[% people access to functioning Latrine]]</f>
        <v>0.67820773930753564</v>
      </c>
      <c r="BK26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67" s="772">
        <f>IF(WWWW[[#This Row],['#_of_functional_handwashing_facilities_at_HH_level]]*6&gt;WWWW[[#This Row],[Total PoP ]],WWWW[[#This Row],[Total PoP ]],WWWW[[#This Row],['#_of_functional_handwashing_facilities_at_HH_level]]*6)</f>
        <v>0</v>
      </c>
      <c r="BM267" s="781">
        <f>IF(WWWW[[#This Row],['# people reached by regular dedicated hygiene promotion]]&gt;WWWW[[#This Row],['# People received regular supply of hygiene items]],WWWW[[#This Row],['# people reached by regular dedicated hygiene promotion]],WWWW[[#This Row],['# People received regular supply of hygiene items]])</f>
        <v>0</v>
      </c>
      <c r="BN267" s="780">
        <f>IF(WWWW[[#This Row],[HRP3]]/WWWW[[#This Row],[Total PoP ]]&gt;100%,100%,WWWW[[#This Row],[HRP3]]/WWWW[[#This Row],[Total PoP ]])</f>
        <v>0</v>
      </c>
      <c r="BO267" s="778">
        <f>1-WWWW[[#This Row],[Hygiene Coverage%]]</f>
        <v>1</v>
      </c>
      <c r="BP267" s="777">
        <f>WWWW[[#This Row],['# people reached by regular dedicated hygiene promotion]]/WWWW[[#This Row],[Total PoP ]]</f>
        <v>0</v>
      </c>
      <c r="BQ26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7" s="770">
        <f>WWWW[[#This Row],['#_of_affected_women_and_girls_receiving_a_sufficient_quantity_of_sanitary_pads]]</f>
        <v>0</v>
      </c>
      <c r="BS267" s="773">
        <f>IF(WWWW[[#This Row],['# People with access to soap]]&gt;WWWW[[#This Row],['# People with access to Sanity Pads]],WWWW[[#This Row],['# People with access to soap]],WWWW[[#This Row],['# People with access to Sanity Pads]])</f>
        <v>0</v>
      </c>
      <c r="BT267" s="772" t="str">
        <f>IF(OR(WWWW[[#This Row],['#of students in school]]="",WWWW[[#This Row],['#of students in school]]=0),"No","Yes")</f>
        <v>No</v>
      </c>
      <c r="BU267" s="782" t="str">
        <f>VLOOKUP(WWWW[[#This Row],[Village  Name]],SiteDB6[[Site Name]:[Location Type 1]],9,FALSE)</f>
        <v>Village</v>
      </c>
      <c r="BV267" s="782" t="str">
        <f>VLOOKUP(WWWW[[#This Row],[Village  Name]],SiteDB6[[Site Name]:[Type of Accommodation]],10,FALSE)</f>
        <v>Village</v>
      </c>
      <c r="BW267" s="782">
        <f>VLOOKUP(WWWW[[#This Row],[Village  Name]],SiteDB6[[Site Name]:[Ethnic or GCA/NGCA]],11,FALSE)</f>
        <v>0</v>
      </c>
      <c r="BX267" s="782">
        <f>VLOOKUP(WWWW[[#This Row],[Village  Name]],SiteDB6[[Site Name]:[Lat]],12,FALSE)</f>
        <v>20.128850936889599</v>
      </c>
      <c r="BY267" s="782">
        <f>VLOOKUP(WWWW[[#This Row],[Village  Name]],SiteDB6[[Site Name]:[Long]],13,FALSE)</f>
        <v>92.872497558593807</v>
      </c>
      <c r="BZ267" s="782">
        <f>VLOOKUP(WWWW[[#This Row],[Village  Name]],SiteDB6[[Site Name]:[Pcode]],3,FALSE)</f>
        <v>196208</v>
      </c>
      <c r="CA267" s="782" t="str">
        <f t="shared" si="17"/>
        <v>Covered</v>
      </c>
      <c r="CB267" s="783"/>
    </row>
    <row r="268" spans="1:80">
      <c r="A268" s="774" t="s">
        <v>3199</v>
      </c>
      <c r="B268" s="727" t="s">
        <v>2282</v>
      </c>
      <c r="C268" s="728" t="s">
        <v>2282</v>
      </c>
      <c r="D268" s="728" t="s">
        <v>39</v>
      </c>
      <c r="E268" s="728" t="s">
        <v>2648</v>
      </c>
      <c r="F268" s="728" t="s">
        <v>295</v>
      </c>
      <c r="G268" s="644" t="str">
        <f>VLOOKUP(WWWW[[#This Row],[Village  Name]],SiteDB6[[Site Name]:[Location Type]],8,FALSE)</f>
        <v>Village</v>
      </c>
      <c r="H268" s="728" t="s">
        <v>436</v>
      </c>
      <c r="I268" s="775">
        <v>200</v>
      </c>
      <c r="J268" s="775">
        <v>1065</v>
      </c>
      <c r="K268" s="784">
        <v>43009</v>
      </c>
      <c r="L268" s="785">
        <v>44104</v>
      </c>
      <c r="M268" s="775"/>
      <c r="N268" s="775">
        <v>0</v>
      </c>
      <c r="O268" s="773"/>
      <c r="P268" s="775"/>
      <c r="Q268" s="775"/>
      <c r="R268" s="775"/>
      <c r="S268" s="775"/>
      <c r="T268" s="775"/>
      <c r="U268" s="776"/>
      <c r="V268" s="775"/>
      <c r="W268" s="773" t="s">
        <v>130</v>
      </c>
      <c r="X268" s="775"/>
      <c r="Y268" s="775"/>
      <c r="Z268" s="775"/>
      <c r="AA268" s="775"/>
      <c r="AB268" s="775"/>
      <c r="AC268" s="776"/>
      <c r="AD268" s="775">
        <v>174</v>
      </c>
      <c r="AE268" s="775">
        <v>166</v>
      </c>
      <c r="AF268" s="775"/>
      <c r="AG268" s="775"/>
      <c r="AH268" s="775"/>
      <c r="AI268" s="775">
        <v>213</v>
      </c>
      <c r="AJ268" s="773"/>
      <c r="AK268" s="775"/>
      <c r="AL268" s="773"/>
      <c r="AM268" s="773"/>
      <c r="AN268" s="776"/>
      <c r="AO268" s="769"/>
      <c r="AP268" s="769"/>
      <c r="AQ268" s="773"/>
      <c r="AR268" s="773"/>
      <c r="AS268" s="773"/>
      <c r="AT26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268" s="779">
        <f>WWWW[[#This Row],[%Equitable and continuous access to sufficient quantity of safe drinking water]]*WWWW[[#This Row],[Total PoP ]]</f>
        <v>0</v>
      </c>
      <c r="AV26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268" s="779">
        <f>WWWW[[#This Row],[% Access to unimproved water points]]*WWWW[[#This Row],[Total PoP ]]</f>
        <v>0</v>
      </c>
      <c r="AX26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26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268" s="779">
        <f>WWWW[[#This Row],[HRP1]]/250</f>
        <v>0</v>
      </c>
      <c r="BA268" s="780">
        <f>1-WWWW[[#This Row],[% Equitable and continuous access to sufficient quantity of domestic water]]</f>
        <v>1</v>
      </c>
      <c r="BB268" s="779">
        <f>WWWW[[#This Row],[%equitable and continuous access to sufficient quantity of safe drinking and domestic water''s GAP]]*WWWW[[#This Row],[Total PoP ]]</f>
        <v>1065</v>
      </c>
      <c r="BC268" s="781">
        <f>IF(WWWW[[#This Row],[Total required water points]]-WWWW[[#This Row],['#Water points coverage]]&lt;0,0,WWWW[[#This Row],[Total required water points]]-WWWW[[#This Row],['#Water points coverage]])</f>
        <v>4</v>
      </c>
      <c r="BD268" s="781">
        <f>ROUND(IF(WWWW[[#This Row],[Total PoP ]]&lt;250,1,WWWW[[#This Row],[Total PoP ]]/250),0)</f>
        <v>4</v>
      </c>
      <c r="BE26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268" s="779">
        <f>WWWW[[#This Row],[% people access to functioning Latrine]]*WWWW[[#This Row],[Total PoP ]]</f>
        <v>0</v>
      </c>
      <c r="BG268" s="781">
        <f>WWWW[[#This Row],['#_of_Functioning_latrines_in_school]]*50</f>
        <v>0</v>
      </c>
      <c r="BH268" s="781">
        <f>ROUND((WWWW[[#This Row],[Total PoP ]]/6),0)</f>
        <v>178</v>
      </c>
      <c r="BI268" s="781">
        <f>IF(WWWW[[#This Row],[Total required Latrines]]-(WWWW[[#This Row],['#_of_sanitary_fly-proof_HH_latrines]])&lt;0,0,WWWW[[#This Row],[Total required Latrines]]-(WWWW[[#This Row],['#_of_sanitary_fly-proof_HH_latrines]]))</f>
        <v>178</v>
      </c>
      <c r="BJ268" s="778">
        <f>1-WWWW[[#This Row],[% people access to functioning Latrine]]</f>
        <v>1</v>
      </c>
      <c r="BK26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553</v>
      </c>
      <c r="BL268" s="772">
        <f>IF(WWWW[[#This Row],['#_of_functional_handwashing_facilities_at_HH_level]]*6&gt;WWWW[[#This Row],[Total PoP ]],WWWW[[#This Row],[Total PoP ]],WWWW[[#This Row],['#_of_functional_handwashing_facilities_at_HH_level]]*6)</f>
        <v>0</v>
      </c>
      <c r="BM268" s="781">
        <f>IF(WWWW[[#This Row],['# people reached by regular dedicated hygiene promotion]]&gt;WWWW[[#This Row],['# People received regular supply of hygiene items]],WWWW[[#This Row],['# people reached by regular dedicated hygiene promotion]],WWWW[[#This Row],['# People received regular supply of hygiene items]])</f>
        <v>553</v>
      </c>
      <c r="BN268" s="780">
        <f>IF(WWWW[[#This Row],[HRP3]]/WWWW[[#This Row],[Total PoP ]]&gt;100%,100%,WWWW[[#This Row],[HRP3]]/WWWW[[#This Row],[Total PoP ]])</f>
        <v>0.51924882629107982</v>
      </c>
      <c r="BO268" s="778">
        <f>1-WWWW[[#This Row],[Hygiene Coverage%]]</f>
        <v>0.48075117370892018</v>
      </c>
      <c r="BP268" s="777">
        <f>WWWW[[#This Row],['# people reached by regular dedicated hygiene promotion]]/WWWW[[#This Row],[Total PoP ]]</f>
        <v>0.51924882629107982</v>
      </c>
      <c r="BQ26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8" s="770">
        <f>WWWW[[#This Row],['#_of_affected_women_and_girls_receiving_a_sufficient_quantity_of_sanitary_pads]]</f>
        <v>0</v>
      </c>
      <c r="BS268" s="773">
        <f>IF(WWWW[[#This Row],['# People with access to soap]]&gt;WWWW[[#This Row],['# People with access to Sanity Pads]],WWWW[[#This Row],['# People with access to soap]],WWWW[[#This Row],['# People with access to Sanity Pads]])</f>
        <v>0</v>
      </c>
      <c r="BT268" s="772" t="str">
        <f>IF(OR(WWWW[[#This Row],['#of students in school]]="",WWWW[[#This Row],['#of students in school]]=0),"No","Yes")</f>
        <v>No</v>
      </c>
      <c r="BU268" s="782" t="str">
        <f>VLOOKUP(WWWW[[#This Row],[Village  Name]],SiteDB6[[Site Name]:[Location Type 1]],9,FALSE)</f>
        <v>Village</v>
      </c>
      <c r="BV268" s="782" t="str">
        <f>VLOOKUP(WWWW[[#This Row],[Village  Name]],SiteDB6[[Site Name]:[Type of Accommodation]],10,FALSE)</f>
        <v>Village</v>
      </c>
      <c r="BW268" s="782" t="str">
        <f>VLOOKUP(WWWW[[#This Row],[Village  Name]],SiteDB6[[Site Name]:[Ethnic or GCA/NGCA]],11,FALSE)</f>
        <v>Muslim</v>
      </c>
      <c r="BX268" s="782">
        <f>VLOOKUP(WWWW[[#This Row],[Village  Name]],SiteDB6[[Site Name]:[Lat]],12,FALSE)</f>
        <v>20.197549819999999</v>
      </c>
      <c r="BY268" s="782">
        <f>VLOOKUP(WWWW[[#This Row],[Village  Name]],SiteDB6[[Site Name]:[Long]],13,FALSE)</f>
        <v>92.785682679999994</v>
      </c>
      <c r="BZ268" s="782">
        <f>VLOOKUP(WWWW[[#This Row],[Village  Name]],SiteDB6[[Site Name]:[Pcode]],3,FALSE)</f>
        <v>196156</v>
      </c>
      <c r="CA268" s="782" t="str">
        <f t="shared" si="17"/>
        <v>Covered</v>
      </c>
      <c r="CB268" s="783"/>
    </row>
    <row r="269" spans="1:80">
      <c r="A269" s="774" t="s">
        <v>3199</v>
      </c>
      <c r="B269" s="727" t="s">
        <v>314</v>
      </c>
      <c r="C269" s="728" t="s">
        <v>314</v>
      </c>
      <c r="D269" s="728" t="s">
        <v>307</v>
      </c>
      <c r="E269" s="728" t="s">
        <v>2648</v>
      </c>
      <c r="F269" s="728" t="s">
        <v>295</v>
      </c>
      <c r="G269" s="644" t="str">
        <f>VLOOKUP(WWWW[[#This Row],[Village  Name]],SiteDB6[[Site Name]:[Location Type]],8,FALSE)</f>
        <v>Village</v>
      </c>
      <c r="H269" s="728" t="s">
        <v>2590</v>
      </c>
      <c r="I269" s="775">
        <v>326</v>
      </c>
      <c r="J269" s="775">
        <v>4476</v>
      </c>
      <c r="K269" s="784">
        <v>42736</v>
      </c>
      <c r="L269" s="785">
        <v>44551</v>
      </c>
      <c r="M269" s="775"/>
      <c r="N269" s="775"/>
      <c r="O269" s="773">
        <v>5</v>
      </c>
      <c r="P269" s="775">
        <v>153</v>
      </c>
      <c r="Q269" s="775">
        <v>5</v>
      </c>
      <c r="R269" s="775"/>
      <c r="S269" s="775"/>
      <c r="T269" s="775"/>
      <c r="U269" s="776"/>
      <c r="V269" s="775">
        <v>217</v>
      </c>
      <c r="W269" s="775" t="s">
        <v>130</v>
      </c>
      <c r="X269" s="775"/>
      <c r="Y269" s="775"/>
      <c r="Z269" s="775"/>
      <c r="AA269" s="775"/>
      <c r="AB269" s="775"/>
      <c r="AC269" s="776"/>
      <c r="AD269" s="775"/>
      <c r="AE269" s="775"/>
      <c r="AF269" s="775"/>
      <c r="AG269" s="775"/>
      <c r="AH269" s="775"/>
      <c r="AI269" s="775"/>
      <c r="AJ269" s="773"/>
      <c r="AK269" s="775"/>
      <c r="AL269" s="773"/>
      <c r="AM269" s="773"/>
      <c r="AN269" s="776"/>
      <c r="AO269" s="769"/>
      <c r="AP269" s="769"/>
      <c r="AQ269" s="773"/>
      <c r="AR269" s="773"/>
      <c r="AS269" s="773"/>
      <c r="AT26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69" s="779">
        <f>WWWW[[#This Row],[%Equitable and continuous access to sufficient quantity of safe drinking water]]*WWWW[[#This Row],[Total PoP ]]</f>
        <v>4476</v>
      </c>
      <c r="AV26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69" s="779">
        <f>WWWW[[#This Row],[% Access to unimproved water points]]*WWWW[[#This Row],[Total PoP ]]</f>
        <v>4476</v>
      </c>
      <c r="AX26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6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4476</v>
      </c>
      <c r="AZ269" s="779">
        <f>WWWW[[#This Row],[HRP1]]/250</f>
        <v>17.904</v>
      </c>
      <c r="BA269" s="780">
        <f>1-WWWW[[#This Row],[% Equitable and continuous access to sufficient quantity of domestic water]]</f>
        <v>0</v>
      </c>
      <c r="BB269" s="779">
        <f>WWWW[[#This Row],[%equitable and continuous access to sufficient quantity of safe drinking and domestic water''s GAP]]*WWWW[[#This Row],[Total PoP ]]</f>
        <v>0</v>
      </c>
      <c r="BC269" s="781">
        <f>IF(WWWW[[#This Row],[Total required water points]]-WWWW[[#This Row],['#Water points coverage]]&lt;0,0,WWWW[[#This Row],[Total required water points]]-WWWW[[#This Row],['#Water points coverage]])</f>
        <v>9.6000000000000085E-2</v>
      </c>
      <c r="BD269" s="781">
        <f>ROUND(IF(WWWW[[#This Row],[Total PoP ]]&lt;250,1,WWWW[[#This Row],[Total PoP ]]/250),0)</f>
        <v>18</v>
      </c>
      <c r="BE26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0.29088471849865954</v>
      </c>
      <c r="BF269" s="779">
        <f>WWWW[[#This Row],[% people access to functioning Latrine]]*WWWW[[#This Row],[Total PoP ]]</f>
        <v>1302.0000000000002</v>
      </c>
      <c r="BG269" s="781">
        <f>WWWW[[#This Row],['#_of_Functioning_latrines_in_school]]*50</f>
        <v>0</v>
      </c>
      <c r="BH269" s="781">
        <f>ROUND((WWWW[[#This Row],[Total PoP ]]/6),0)</f>
        <v>746</v>
      </c>
      <c r="BI269" s="781">
        <f>IF(WWWW[[#This Row],[Total required Latrines]]-(WWWW[[#This Row],['#_of_sanitary_fly-proof_HH_latrines]])&lt;0,0,WWWW[[#This Row],[Total required Latrines]]-(WWWW[[#This Row],['#_of_sanitary_fly-proof_HH_latrines]]))</f>
        <v>529</v>
      </c>
      <c r="BJ269" s="778">
        <f>1-WWWW[[#This Row],[% people access to functioning Latrine]]</f>
        <v>0.7091152815013404</v>
      </c>
      <c r="BK26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69" s="772">
        <f>IF(WWWW[[#This Row],['#_of_functional_handwashing_facilities_at_HH_level]]*6&gt;WWWW[[#This Row],[Total PoP ]],WWWW[[#This Row],[Total PoP ]],WWWW[[#This Row],['#_of_functional_handwashing_facilities_at_HH_level]]*6)</f>
        <v>0</v>
      </c>
      <c r="BM269" s="781">
        <f>IF(WWWW[[#This Row],['# people reached by regular dedicated hygiene promotion]]&gt;WWWW[[#This Row],['# People received regular supply of hygiene items]],WWWW[[#This Row],['# people reached by regular dedicated hygiene promotion]],WWWW[[#This Row],['# People received regular supply of hygiene items]])</f>
        <v>0</v>
      </c>
      <c r="BN269" s="780">
        <f>IF(WWWW[[#This Row],[HRP3]]/WWWW[[#This Row],[Total PoP ]]&gt;100%,100%,WWWW[[#This Row],[HRP3]]/WWWW[[#This Row],[Total PoP ]])</f>
        <v>0</v>
      </c>
      <c r="BO269" s="778">
        <f>1-WWWW[[#This Row],[Hygiene Coverage%]]</f>
        <v>1</v>
      </c>
      <c r="BP269" s="777">
        <f>WWWW[[#This Row],['# people reached by regular dedicated hygiene promotion]]/WWWW[[#This Row],[Total PoP ]]</f>
        <v>0</v>
      </c>
      <c r="BQ26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69" s="770">
        <f>WWWW[[#This Row],['#_of_affected_women_and_girls_receiving_a_sufficient_quantity_of_sanitary_pads]]</f>
        <v>0</v>
      </c>
      <c r="BS269" s="773">
        <f>IF(WWWW[[#This Row],['# People with access to soap]]&gt;WWWW[[#This Row],['# People with access to Sanity Pads]],WWWW[[#This Row],['# People with access to soap]],WWWW[[#This Row],['# People with access to Sanity Pads]])</f>
        <v>0</v>
      </c>
      <c r="BT269" s="772" t="str">
        <f>IF(OR(WWWW[[#This Row],['#of students in school]]="",WWWW[[#This Row],['#of students in school]]=0),"No","Yes")</f>
        <v>No</v>
      </c>
      <c r="BU269" s="782" t="str">
        <f>VLOOKUP(WWWW[[#This Row],[Village  Name]],SiteDB6[[Site Name]:[Location Type 1]],9,FALSE)</f>
        <v>Village</v>
      </c>
      <c r="BV269" s="782" t="str">
        <f>VLOOKUP(WWWW[[#This Row],[Village  Name]],SiteDB6[[Site Name]:[Type of Accommodation]],10,FALSE)</f>
        <v>Village</v>
      </c>
      <c r="BW269" s="782">
        <f>VLOOKUP(WWWW[[#This Row],[Village  Name]],SiteDB6[[Site Name]:[Ethnic or GCA/NGCA]],11,FALSE)</f>
        <v>0</v>
      </c>
      <c r="BX269" s="782">
        <f>VLOOKUP(WWWW[[#This Row],[Village  Name]],SiteDB6[[Site Name]:[Lat]],12,FALSE)</f>
        <v>20.142469406127901</v>
      </c>
      <c r="BY269" s="782">
        <f>VLOOKUP(WWWW[[#This Row],[Village  Name]],SiteDB6[[Site Name]:[Long]],13,FALSE)</f>
        <v>92.863967895507798</v>
      </c>
      <c r="BZ269" s="782">
        <f>VLOOKUP(WWWW[[#This Row],[Village  Name]],SiteDB6[[Site Name]:[Pcode]],3,FALSE)</f>
        <v>196203</v>
      </c>
      <c r="CA269" s="782" t="str">
        <f t="shared" si="17"/>
        <v>Covered</v>
      </c>
      <c r="CB269" s="783"/>
    </row>
    <row r="270" spans="1:80">
      <c r="A270" s="774" t="s">
        <v>3199</v>
      </c>
      <c r="B270" s="727" t="s">
        <v>314</v>
      </c>
      <c r="C270" s="728" t="s">
        <v>314</v>
      </c>
      <c r="D270" s="728" t="s">
        <v>307</v>
      </c>
      <c r="E270" s="728" t="s">
        <v>2648</v>
      </c>
      <c r="F270" s="728" t="s">
        <v>295</v>
      </c>
      <c r="G270" s="644" t="str">
        <f>VLOOKUP(WWWW[[#This Row],[Village  Name]],SiteDB6[[Site Name]:[Location Type]],8,FALSE)</f>
        <v>Village</v>
      </c>
      <c r="H270" s="728" t="s">
        <v>2591</v>
      </c>
      <c r="I270" s="775">
        <v>335</v>
      </c>
      <c r="J270" s="775">
        <v>1867</v>
      </c>
      <c r="K270" s="784">
        <v>42736</v>
      </c>
      <c r="L270" s="785">
        <v>44551</v>
      </c>
      <c r="M270" s="775"/>
      <c r="N270" s="775"/>
      <c r="O270" s="773">
        <v>14</v>
      </c>
      <c r="P270" s="775">
        <v>113</v>
      </c>
      <c r="Q270" s="775">
        <v>4</v>
      </c>
      <c r="R270" s="775"/>
      <c r="S270" s="775"/>
      <c r="T270" s="775"/>
      <c r="U270" s="776"/>
      <c r="V270" s="775">
        <v>210</v>
      </c>
      <c r="W270" s="775" t="s">
        <v>130</v>
      </c>
      <c r="X270" s="775"/>
      <c r="Y270" s="775"/>
      <c r="Z270" s="775"/>
      <c r="AA270" s="775"/>
      <c r="AB270" s="775"/>
      <c r="AC270" s="776"/>
      <c r="AD270" s="775"/>
      <c r="AE270" s="775"/>
      <c r="AF270" s="775"/>
      <c r="AG270" s="775"/>
      <c r="AH270" s="775"/>
      <c r="AI270" s="775"/>
      <c r="AJ270" s="773"/>
      <c r="AK270" s="775"/>
      <c r="AL270" s="773"/>
      <c r="AM270" s="773"/>
      <c r="AN270" s="776"/>
      <c r="AO270" s="769"/>
      <c r="AP270" s="769"/>
      <c r="AQ270" s="773"/>
      <c r="AR270" s="773"/>
      <c r="AS270" s="773"/>
      <c r="AT27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70" s="779">
        <f>WWWW[[#This Row],[%Equitable and continuous access to sufficient quantity of safe drinking water]]*WWWW[[#This Row],[Total PoP ]]</f>
        <v>1867</v>
      </c>
      <c r="AV27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70" s="779">
        <f>WWWW[[#This Row],[% Access to unimproved water points]]*WWWW[[#This Row],[Total PoP ]]</f>
        <v>1867</v>
      </c>
      <c r="AX27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7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1867</v>
      </c>
      <c r="AZ270" s="779">
        <f>WWWW[[#This Row],[HRP1]]/250</f>
        <v>7.468</v>
      </c>
      <c r="BA270" s="780">
        <f>1-WWWW[[#This Row],[% Equitable and continuous access to sufficient quantity of domestic water]]</f>
        <v>0</v>
      </c>
      <c r="BB270" s="779">
        <f>WWWW[[#This Row],[%equitable and continuous access to sufficient quantity of safe drinking and domestic water''s GAP]]*WWWW[[#This Row],[Total PoP ]]</f>
        <v>0</v>
      </c>
      <c r="BC270" s="781">
        <f>IF(WWWW[[#This Row],[Total required water points]]-WWWW[[#This Row],['#Water points coverage]]&lt;0,0,WWWW[[#This Row],[Total required water points]]-WWWW[[#This Row],['#Water points coverage]])</f>
        <v>0</v>
      </c>
      <c r="BD270" s="781">
        <f>ROUND(IF(WWWW[[#This Row],[Total PoP ]]&lt;250,1,WWWW[[#This Row],[Total PoP ]]/250),0)</f>
        <v>7</v>
      </c>
      <c r="BE27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0.67487948580610602</v>
      </c>
      <c r="BF270" s="779">
        <f>WWWW[[#This Row],[% people access to functioning Latrine]]*WWWW[[#This Row],[Total PoP ]]</f>
        <v>1260</v>
      </c>
      <c r="BG270" s="781">
        <f>WWWW[[#This Row],['#_of_Functioning_latrines_in_school]]*50</f>
        <v>0</v>
      </c>
      <c r="BH270" s="781">
        <f>ROUND((WWWW[[#This Row],[Total PoP ]]/6),0)</f>
        <v>311</v>
      </c>
      <c r="BI270" s="781">
        <f>IF(WWWW[[#This Row],[Total required Latrines]]-(WWWW[[#This Row],['#_of_sanitary_fly-proof_HH_latrines]])&lt;0,0,WWWW[[#This Row],[Total required Latrines]]-(WWWW[[#This Row],['#_of_sanitary_fly-proof_HH_latrines]]))</f>
        <v>101</v>
      </c>
      <c r="BJ270" s="778">
        <f>1-WWWW[[#This Row],[% people access to functioning Latrine]]</f>
        <v>0.32512051419389398</v>
      </c>
      <c r="BK27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0" s="772">
        <f>IF(WWWW[[#This Row],['#_of_functional_handwashing_facilities_at_HH_level]]*6&gt;WWWW[[#This Row],[Total PoP ]],WWWW[[#This Row],[Total PoP ]],WWWW[[#This Row],['#_of_functional_handwashing_facilities_at_HH_level]]*6)</f>
        <v>0</v>
      </c>
      <c r="BM270" s="781">
        <f>IF(WWWW[[#This Row],['# people reached by regular dedicated hygiene promotion]]&gt;WWWW[[#This Row],['# People received regular supply of hygiene items]],WWWW[[#This Row],['# people reached by regular dedicated hygiene promotion]],WWWW[[#This Row],['# People received regular supply of hygiene items]])</f>
        <v>0</v>
      </c>
      <c r="BN270" s="780">
        <f>IF(WWWW[[#This Row],[HRP3]]/WWWW[[#This Row],[Total PoP ]]&gt;100%,100%,WWWW[[#This Row],[HRP3]]/WWWW[[#This Row],[Total PoP ]])</f>
        <v>0</v>
      </c>
      <c r="BO270" s="778">
        <f>1-WWWW[[#This Row],[Hygiene Coverage%]]</f>
        <v>1</v>
      </c>
      <c r="BP270" s="777">
        <f>WWWW[[#This Row],['# people reached by regular dedicated hygiene promotion]]/WWWW[[#This Row],[Total PoP ]]</f>
        <v>0</v>
      </c>
      <c r="BQ27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0" s="770">
        <f>WWWW[[#This Row],['#_of_affected_women_and_girls_receiving_a_sufficient_quantity_of_sanitary_pads]]</f>
        <v>0</v>
      </c>
      <c r="BS270" s="773">
        <f>IF(WWWW[[#This Row],['# People with access to soap]]&gt;WWWW[[#This Row],['# People with access to Sanity Pads]],WWWW[[#This Row],['# People with access to soap]],WWWW[[#This Row],['# People with access to Sanity Pads]])</f>
        <v>0</v>
      </c>
      <c r="BT270" s="772" t="str">
        <f>IF(OR(WWWW[[#This Row],['#of students in school]]="",WWWW[[#This Row],['#of students in school]]=0),"No","Yes")</f>
        <v>No</v>
      </c>
      <c r="BU270" s="782" t="str">
        <f>VLOOKUP(WWWW[[#This Row],[Village  Name]],SiteDB6[[Site Name]:[Location Type 1]],9,FALSE)</f>
        <v>Village</v>
      </c>
      <c r="BV270" s="782" t="str">
        <f>VLOOKUP(WWWW[[#This Row],[Village  Name]],SiteDB6[[Site Name]:[Type of Accommodation]],10,FALSE)</f>
        <v>Village</v>
      </c>
      <c r="BW270" s="782">
        <f>VLOOKUP(WWWW[[#This Row],[Village  Name]],SiteDB6[[Site Name]:[Ethnic or GCA/NGCA]],11,FALSE)</f>
        <v>0</v>
      </c>
      <c r="BX270" s="782">
        <f>VLOOKUP(WWWW[[#This Row],[Village  Name]],SiteDB6[[Site Name]:[Lat]],12,FALSE)</f>
        <v>20.170469284057599</v>
      </c>
      <c r="BY270" s="782">
        <f>VLOOKUP(WWWW[[#This Row],[Village  Name]],SiteDB6[[Site Name]:[Long]],13,FALSE)</f>
        <v>92.8343505859375</v>
      </c>
      <c r="BZ270" s="782">
        <f>VLOOKUP(WWWW[[#This Row],[Village  Name]],SiteDB6[[Site Name]:[Pcode]],3,FALSE)</f>
        <v>196202</v>
      </c>
      <c r="CA270" s="782" t="str">
        <f t="shared" ref="CA270:CA301" si="18">IF(C270="none","Notcovered","Covered")</f>
        <v>Covered</v>
      </c>
      <c r="CB270" s="783"/>
    </row>
    <row r="271" spans="1:80">
      <c r="A271" s="774" t="s">
        <v>3199</v>
      </c>
      <c r="B271" s="727" t="s">
        <v>314</v>
      </c>
      <c r="C271" s="728" t="s">
        <v>314</v>
      </c>
      <c r="D271" s="728" t="s">
        <v>307</v>
      </c>
      <c r="E271" s="728" t="s">
        <v>2648</v>
      </c>
      <c r="F271" s="728" t="s">
        <v>295</v>
      </c>
      <c r="G271" s="644" t="str">
        <f>VLOOKUP(WWWW[[#This Row],[Village  Name]],SiteDB6[[Site Name]:[Location Type]],8,FALSE)</f>
        <v>Village</v>
      </c>
      <c r="H271" s="728" t="s">
        <v>1743</v>
      </c>
      <c r="I271" s="775">
        <v>863</v>
      </c>
      <c r="J271" s="775">
        <v>3768</v>
      </c>
      <c r="K271" s="784">
        <v>42736</v>
      </c>
      <c r="L271" s="785">
        <v>44551</v>
      </c>
      <c r="M271" s="775"/>
      <c r="N271" s="775"/>
      <c r="O271" s="773">
        <v>19</v>
      </c>
      <c r="P271" s="775">
        <v>128</v>
      </c>
      <c r="Q271" s="775">
        <v>6</v>
      </c>
      <c r="R271" s="775"/>
      <c r="S271" s="775"/>
      <c r="T271" s="775"/>
      <c r="U271" s="776"/>
      <c r="V271" s="775">
        <v>199</v>
      </c>
      <c r="W271" s="775" t="s">
        <v>130</v>
      </c>
      <c r="X271" s="775"/>
      <c r="Y271" s="775"/>
      <c r="Z271" s="775"/>
      <c r="AA271" s="775"/>
      <c r="AB271" s="775"/>
      <c r="AC271" s="776"/>
      <c r="AD271" s="775"/>
      <c r="AE271" s="775"/>
      <c r="AF271" s="775"/>
      <c r="AG271" s="775"/>
      <c r="AH271" s="775"/>
      <c r="AI271" s="775"/>
      <c r="AJ271" s="773"/>
      <c r="AK271" s="775"/>
      <c r="AL271" s="773"/>
      <c r="AM271" s="773"/>
      <c r="AN271" s="776"/>
      <c r="AO271" s="769"/>
      <c r="AP271" s="769"/>
      <c r="AQ271" s="773"/>
      <c r="AR271" s="773"/>
      <c r="AS271" s="773"/>
      <c r="AT27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71" s="779">
        <f>WWWW[[#This Row],[%Equitable and continuous access to sufficient quantity of safe drinking water]]*WWWW[[#This Row],[Total PoP ]]</f>
        <v>3768</v>
      </c>
      <c r="AV27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71" s="779">
        <f>WWWW[[#This Row],[% Access to unimproved water points]]*WWWW[[#This Row],[Total PoP ]]</f>
        <v>3768</v>
      </c>
      <c r="AX27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7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3768</v>
      </c>
      <c r="AZ271" s="779">
        <f>WWWW[[#This Row],[HRP1]]/250</f>
        <v>15.071999999999999</v>
      </c>
      <c r="BA271" s="780">
        <f>1-WWWW[[#This Row],[% Equitable and continuous access to sufficient quantity of domestic water]]</f>
        <v>0</v>
      </c>
      <c r="BB271" s="779">
        <f>WWWW[[#This Row],[%equitable and continuous access to sufficient quantity of safe drinking and domestic water''s GAP]]*WWWW[[#This Row],[Total PoP ]]</f>
        <v>0</v>
      </c>
      <c r="BC271" s="781">
        <f>IF(WWWW[[#This Row],[Total required water points]]-WWWW[[#This Row],['#Water points coverage]]&lt;0,0,WWWW[[#This Row],[Total required water points]]-WWWW[[#This Row],['#Water points coverage]])</f>
        <v>0</v>
      </c>
      <c r="BD271" s="781">
        <f>ROUND(IF(WWWW[[#This Row],[Total PoP ]]&lt;250,1,WWWW[[#This Row],[Total PoP ]]/250),0)</f>
        <v>15</v>
      </c>
      <c r="BE27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0.31687898089171973</v>
      </c>
      <c r="BF271" s="779">
        <f>WWWW[[#This Row],[% people access to functioning Latrine]]*WWWW[[#This Row],[Total PoP ]]</f>
        <v>1194</v>
      </c>
      <c r="BG271" s="781">
        <f>WWWW[[#This Row],['#_of_Functioning_latrines_in_school]]*50</f>
        <v>0</v>
      </c>
      <c r="BH271" s="781">
        <f>ROUND((WWWW[[#This Row],[Total PoP ]]/6),0)</f>
        <v>628</v>
      </c>
      <c r="BI271" s="781">
        <f>IF(WWWW[[#This Row],[Total required Latrines]]-(WWWW[[#This Row],['#_of_sanitary_fly-proof_HH_latrines]])&lt;0,0,WWWW[[#This Row],[Total required Latrines]]-(WWWW[[#This Row],['#_of_sanitary_fly-proof_HH_latrines]]))</f>
        <v>429</v>
      </c>
      <c r="BJ271" s="778">
        <f>1-WWWW[[#This Row],[% people access to functioning Latrine]]</f>
        <v>0.68312101910828027</v>
      </c>
      <c r="BK27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1" s="772">
        <f>IF(WWWW[[#This Row],['#_of_functional_handwashing_facilities_at_HH_level]]*6&gt;WWWW[[#This Row],[Total PoP ]],WWWW[[#This Row],[Total PoP ]],WWWW[[#This Row],['#_of_functional_handwashing_facilities_at_HH_level]]*6)</f>
        <v>0</v>
      </c>
      <c r="BM271" s="781">
        <f>IF(WWWW[[#This Row],['# people reached by regular dedicated hygiene promotion]]&gt;WWWW[[#This Row],['# People received regular supply of hygiene items]],WWWW[[#This Row],['# people reached by regular dedicated hygiene promotion]],WWWW[[#This Row],['# People received regular supply of hygiene items]])</f>
        <v>0</v>
      </c>
      <c r="BN271" s="780">
        <f>IF(WWWW[[#This Row],[HRP3]]/WWWW[[#This Row],[Total PoP ]]&gt;100%,100%,WWWW[[#This Row],[HRP3]]/WWWW[[#This Row],[Total PoP ]])</f>
        <v>0</v>
      </c>
      <c r="BO271" s="778">
        <f>1-WWWW[[#This Row],[Hygiene Coverage%]]</f>
        <v>1</v>
      </c>
      <c r="BP271" s="777">
        <f>WWWW[[#This Row],['# people reached by regular dedicated hygiene promotion]]/WWWW[[#This Row],[Total PoP ]]</f>
        <v>0</v>
      </c>
      <c r="BQ27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1" s="770">
        <f>WWWW[[#This Row],['#_of_affected_women_and_girls_receiving_a_sufficient_quantity_of_sanitary_pads]]</f>
        <v>0</v>
      </c>
      <c r="BS271" s="773">
        <f>IF(WWWW[[#This Row],['# People with access to soap]]&gt;WWWW[[#This Row],['# People with access to Sanity Pads]],WWWW[[#This Row],['# People with access to soap]],WWWW[[#This Row],['# People with access to Sanity Pads]])</f>
        <v>0</v>
      </c>
      <c r="BT271" s="772" t="str">
        <f>IF(OR(WWWW[[#This Row],['#of students in school]]="",WWWW[[#This Row],['#of students in school]]=0),"No","Yes")</f>
        <v>No</v>
      </c>
      <c r="BU271" s="782" t="str">
        <f>VLOOKUP(WWWW[[#This Row],[Village  Name]],SiteDB6[[Site Name]:[Location Type 1]],9,FALSE)</f>
        <v>Village</v>
      </c>
      <c r="BV271" s="782" t="str">
        <f>VLOOKUP(WWWW[[#This Row],[Village  Name]],SiteDB6[[Site Name]:[Type of Accommodation]],10,FALSE)</f>
        <v>Village</v>
      </c>
      <c r="BW271" s="782">
        <f>VLOOKUP(WWWW[[#This Row],[Village  Name]],SiteDB6[[Site Name]:[Ethnic or GCA/NGCA]],11,FALSE)</f>
        <v>0</v>
      </c>
      <c r="BX271" s="782">
        <f>VLOOKUP(WWWW[[#This Row],[Village  Name]],SiteDB6[[Site Name]:[Lat]],12,FALSE)</f>
        <v>20.168970108032202</v>
      </c>
      <c r="BY271" s="782">
        <f>VLOOKUP(WWWW[[#This Row],[Village  Name]],SiteDB6[[Site Name]:[Long]],13,FALSE)</f>
        <v>92.826896667480497</v>
      </c>
      <c r="BZ271" s="782">
        <f>VLOOKUP(WWWW[[#This Row],[Village  Name]],SiteDB6[[Site Name]:[Pcode]],3,FALSE)</f>
        <v>196206</v>
      </c>
      <c r="CA271" s="782" t="str">
        <f t="shared" si="18"/>
        <v>Covered</v>
      </c>
      <c r="CB271" s="783"/>
    </row>
    <row r="272" spans="1:80">
      <c r="A272" s="774" t="s">
        <v>3199</v>
      </c>
      <c r="B272" s="727" t="s">
        <v>314</v>
      </c>
      <c r="C272" s="728" t="s">
        <v>314</v>
      </c>
      <c r="D272" s="728" t="s">
        <v>307</v>
      </c>
      <c r="E272" s="728" t="s">
        <v>2648</v>
      </c>
      <c r="F272" s="728" t="s">
        <v>295</v>
      </c>
      <c r="G272" s="644" t="str">
        <f>VLOOKUP(WWWW[[#This Row],[Village  Name]],SiteDB6[[Site Name]:[Location Type]],8,FALSE)</f>
        <v>Village</v>
      </c>
      <c r="H272" s="728" t="s">
        <v>2592</v>
      </c>
      <c r="I272" s="775">
        <v>310</v>
      </c>
      <c r="J272" s="775">
        <v>1750</v>
      </c>
      <c r="K272" s="784">
        <v>42736</v>
      </c>
      <c r="L272" s="785">
        <v>44551</v>
      </c>
      <c r="M272" s="775"/>
      <c r="N272" s="775"/>
      <c r="O272" s="773">
        <v>193</v>
      </c>
      <c r="P272" s="775">
        <v>89</v>
      </c>
      <c r="Q272" s="775">
        <v>5</v>
      </c>
      <c r="R272" s="775"/>
      <c r="S272" s="775"/>
      <c r="T272" s="775"/>
      <c r="U272" s="776"/>
      <c r="V272" s="775">
        <v>198</v>
      </c>
      <c r="W272" s="775" t="s">
        <v>130</v>
      </c>
      <c r="X272" s="775"/>
      <c r="Y272" s="775"/>
      <c r="Z272" s="775"/>
      <c r="AA272" s="775"/>
      <c r="AB272" s="775"/>
      <c r="AC272" s="776"/>
      <c r="AD272" s="775"/>
      <c r="AE272" s="775"/>
      <c r="AF272" s="775"/>
      <c r="AG272" s="775"/>
      <c r="AH272" s="775"/>
      <c r="AI272" s="775"/>
      <c r="AJ272" s="773"/>
      <c r="AK272" s="775"/>
      <c r="AL272" s="773"/>
      <c r="AM272" s="773"/>
      <c r="AN272" s="776"/>
      <c r="AO272" s="769"/>
      <c r="AP272" s="769"/>
      <c r="AQ272" s="773"/>
      <c r="AR272" s="773"/>
      <c r="AS272" s="773"/>
      <c r="AT27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72" s="779">
        <f>WWWW[[#This Row],[%Equitable and continuous access to sufficient quantity of safe drinking water]]*WWWW[[#This Row],[Total PoP ]]</f>
        <v>1750</v>
      </c>
      <c r="AV27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72" s="779">
        <f>WWWW[[#This Row],[% Access to unimproved water points]]*WWWW[[#This Row],[Total PoP ]]</f>
        <v>1750</v>
      </c>
      <c r="AX27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7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1750</v>
      </c>
      <c r="AZ272" s="779">
        <f>WWWW[[#This Row],[HRP1]]/250</f>
        <v>7</v>
      </c>
      <c r="BA272" s="780">
        <f>1-WWWW[[#This Row],[% Equitable and continuous access to sufficient quantity of domestic water]]</f>
        <v>0</v>
      </c>
      <c r="BB272" s="779">
        <f>WWWW[[#This Row],[%equitable and continuous access to sufficient quantity of safe drinking and domestic water''s GAP]]*WWWW[[#This Row],[Total PoP ]]</f>
        <v>0</v>
      </c>
      <c r="BC272" s="781">
        <f>IF(WWWW[[#This Row],[Total required water points]]-WWWW[[#This Row],['#Water points coverage]]&lt;0,0,WWWW[[#This Row],[Total required water points]]-WWWW[[#This Row],['#Water points coverage]])</f>
        <v>0</v>
      </c>
      <c r="BD272" s="781">
        <f>ROUND(IF(WWWW[[#This Row],[Total PoP ]]&lt;250,1,WWWW[[#This Row],[Total PoP ]]/250),0)</f>
        <v>7</v>
      </c>
      <c r="BE27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0.67885714285714283</v>
      </c>
      <c r="BF272" s="779">
        <f>WWWW[[#This Row],[% people access to functioning Latrine]]*WWWW[[#This Row],[Total PoP ]]</f>
        <v>1188</v>
      </c>
      <c r="BG272" s="781">
        <f>WWWW[[#This Row],['#_of_Functioning_latrines_in_school]]*50</f>
        <v>0</v>
      </c>
      <c r="BH272" s="781">
        <f>ROUND((WWWW[[#This Row],[Total PoP ]]/6),0)</f>
        <v>292</v>
      </c>
      <c r="BI272" s="781">
        <f>IF(WWWW[[#This Row],[Total required Latrines]]-(WWWW[[#This Row],['#_of_sanitary_fly-proof_HH_latrines]])&lt;0,0,WWWW[[#This Row],[Total required Latrines]]-(WWWW[[#This Row],['#_of_sanitary_fly-proof_HH_latrines]]))</f>
        <v>94</v>
      </c>
      <c r="BJ272" s="778">
        <f>1-WWWW[[#This Row],[% people access to functioning Latrine]]</f>
        <v>0.32114285714285717</v>
      </c>
      <c r="BK27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2" s="772">
        <f>IF(WWWW[[#This Row],['#_of_functional_handwashing_facilities_at_HH_level]]*6&gt;WWWW[[#This Row],[Total PoP ]],WWWW[[#This Row],[Total PoP ]],WWWW[[#This Row],['#_of_functional_handwashing_facilities_at_HH_level]]*6)</f>
        <v>0</v>
      </c>
      <c r="BM272" s="781">
        <f>IF(WWWW[[#This Row],['# people reached by regular dedicated hygiene promotion]]&gt;WWWW[[#This Row],['# People received regular supply of hygiene items]],WWWW[[#This Row],['# people reached by regular dedicated hygiene promotion]],WWWW[[#This Row],['# People received regular supply of hygiene items]])</f>
        <v>0</v>
      </c>
      <c r="BN272" s="780">
        <f>IF(WWWW[[#This Row],[HRP3]]/WWWW[[#This Row],[Total PoP ]]&gt;100%,100%,WWWW[[#This Row],[HRP3]]/WWWW[[#This Row],[Total PoP ]])</f>
        <v>0</v>
      </c>
      <c r="BO272" s="778">
        <f>1-WWWW[[#This Row],[Hygiene Coverage%]]</f>
        <v>1</v>
      </c>
      <c r="BP272" s="777">
        <f>WWWW[[#This Row],['# people reached by regular dedicated hygiene promotion]]/WWWW[[#This Row],[Total PoP ]]</f>
        <v>0</v>
      </c>
      <c r="BQ27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2" s="770">
        <f>WWWW[[#This Row],['#_of_affected_women_and_girls_receiving_a_sufficient_quantity_of_sanitary_pads]]</f>
        <v>0</v>
      </c>
      <c r="BS272" s="773">
        <f>IF(WWWW[[#This Row],['# People with access to soap]]&gt;WWWW[[#This Row],['# People with access to Sanity Pads]],WWWW[[#This Row],['# People with access to soap]],WWWW[[#This Row],['# People with access to Sanity Pads]])</f>
        <v>0</v>
      </c>
      <c r="BT272" s="772" t="str">
        <f>IF(OR(WWWW[[#This Row],['#of students in school]]="",WWWW[[#This Row],['#of students in school]]=0),"No","Yes")</f>
        <v>No</v>
      </c>
      <c r="BU272" s="782" t="str">
        <f>VLOOKUP(WWWW[[#This Row],[Village  Name]],SiteDB6[[Site Name]:[Location Type 1]],9,FALSE)</f>
        <v>Village</v>
      </c>
      <c r="BV272" s="782" t="str">
        <f>VLOOKUP(WWWW[[#This Row],[Village  Name]],SiteDB6[[Site Name]:[Type of Accommodation]],10,FALSE)</f>
        <v>Village</v>
      </c>
      <c r="BW272" s="782">
        <f>VLOOKUP(WWWW[[#This Row],[Village  Name]],SiteDB6[[Site Name]:[Ethnic or GCA/NGCA]],11,FALSE)</f>
        <v>0</v>
      </c>
      <c r="BX272" s="782">
        <f>VLOOKUP(WWWW[[#This Row],[Village  Name]],SiteDB6[[Site Name]:[Lat]],12,FALSE)</f>
        <v>0</v>
      </c>
      <c r="BY272" s="782">
        <f>VLOOKUP(WWWW[[#This Row],[Village  Name]],SiteDB6[[Site Name]:[Long]],13,FALSE)</f>
        <v>0</v>
      </c>
      <c r="BZ272" s="782">
        <f>VLOOKUP(WWWW[[#This Row],[Village  Name]],SiteDB6[[Site Name]:[Pcode]],3,FALSE)</f>
        <v>0</v>
      </c>
      <c r="CA272" s="782" t="str">
        <f t="shared" si="18"/>
        <v>Covered</v>
      </c>
      <c r="CB272" s="783"/>
    </row>
    <row r="273" spans="1:80">
      <c r="A273" s="774" t="s">
        <v>3199</v>
      </c>
      <c r="B273" s="727" t="s">
        <v>314</v>
      </c>
      <c r="C273" s="728" t="s">
        <v>314</v>
      </c>
      <c r="D273" s="728" t="s">
        <v>307</v>
      </c>
      <c r="E273" s="728" t="s">
        <v>2648</v>
      </c>
      <c r="F273" s="728" t="s">
        <v>312</v>
      </c>
      <c r="G273" s="644" t="str">
        <f>VLOOKUP(WWWW[[#This Row],[Village  Name]],SiteDB6[[Site Name]:[Location Type]],8,FALSE)</f>
        <v>Village</v>
      </c>
      <c r="H273" s="728" t="s">
        <v>465</v>
      </c>
      <c r="I273" s="775">
        <v>125</v>
      </c>
      <c r="J273" s="775">
        <v>513</v>
      </c>
      <c r="K273" s="784">
        <v>42736</v>
      </c>
      <c r="L273" s="785">
        <v>44551</v>
      </c>
      <c r="M273" s="775"/>
      <c r="N273" s="775"/>
      <c r="O273" s="773">
        <v>16</v>
      </c>
      <c r="P273" s="775">
        <v>96</v>
      </c>
      <c r="Q273" s="775">
        <v>4</v>
      </c>
      <c r="R273" s="775"/>
      <c r="S273" s="775"/>
      <c r="T273" s="775"/>
      <c r="U273" s="776"/>
      <c r="V273" s="775">
        <v>300</v>
      </c>
      <c r="W273" s="775" t="s">
        <v>130</v>
      </c>
      <c r="X273" s="775"/>
      <c r="Y273" s="775"/>
      <c r="Z273" s="775"/>
      <c r="AA273" s="775"/>
      <c r="AB273" s="775"/>
      <c r="AC273" s="776"/>
      <c r="AD273" s="775"/>
      <c r="AE273" s="775"/>
      <c r="AF273" s="775"/>
      <c r="AG273" s="775"/>
      <c r="AH273" s="775"/>
      <c r="AI273" s="775"/>
      <c r="AJ273" s="773"/>
      <c r="AK273" s="775"/>
      <c r="AL273" s="773"/>
      <c r="AM273" s="773"/>
      <c r="AN273" s="776"/>
      <c r="AO273" s="769"/>
      <c r="AP273" s="769"/>
      <c r="AQ273" s="773"/>
      <c r="AR273" s="773"/>
      <c r="AS273" s="773"/>
      <c r="AT27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73" s="779">
        <f>WWWW[[#This Row],[%Equitable and continuous access to sufficient quantity of safe drinking water]]*WWWW[[#This Row],[Total PoP ]]</f>
        <v>513</v>
      </c>
      <c r="AV27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73" s="779">
        <f>WWWW[[#This Row],[% Access to unimproved water points]]*WWWW[[#This Row],[Total PoP ]]</f>
        <v>513</v>
      </c>
      <c r="AX27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7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513</v>
      </c>
      <c r="AZ273" s="779">
        <f>WWWW[[#This Row],[HRP1]]/250</f>
        <v>2.052</v>
      </c>
      <c r="BA273" s="780">
        <f>1-WWWW[[#This Row],[% Equitable and continuous access to sufficient quantity of domestic water]]</f>
        <v>0</v>
      </c>
      <c r="BB273" s="779">
        <f>WWWW[[#This Row],[%equitable and continuous access to sufficient quantity of safe drinking and domestic water''s GAP]]*WWWW[[#This Row],[Total PoP ]]</f>
        <v>0</v>
      </c>
      <c r="BC273" s="781">
        <f>IF(WWWW[[#This Row],[Total required water points]]-WWWW[[#This Row],['#Water points coverage]]&lt;0,0,WWWW[[#This Row],[Total required water points]]-WWWW[[#This Row],['#Water points coverage]])</f>
        <v>0</v>
      </c>
      <c r="BD273" s="781">
        <f>ROUND(IF(WWWW[[#This Row],[Total PoP ]]&lt;250,1,WWWW[[#This Row],[Total PoP ]]/250),0)</f>
        <v>2</v>
      </c>
      <c r="BE27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73" s="779">
        <f>WWWW[[#This Row],[% people access to functioning Latrine]]*WWWW[[#This Row],[Total PoP ]]</f>
        <v>513</v>
      </c>
      <c r="BG273" s="781">
        <f>WWWW[[#This Row],['#_of_Functioning_latrines_in_school]]*50</f>
        <v>0</v>
      </c>
      <c r="BH273" s="781">
        <f>ROUND((WWWW[[#This Row],[Total PoP ]]/6),0)</f>
        <v>86</v>
      </c>
      <c r="BI273" s="781">
        <f>IF(WWWW[[#This Row],[Total required Latrines]]-(WWWW[[#This Row],['#_of_sanitary_fly-proof_HH_latrines]])&lt;0,0,WWWW[[#This Row],[Total required Latrines]]-(WWWW[[#This Row],['#_of_sanitary_fly-proof_HH_latrines]]))</f>
        <v>0</v>
      </c>
      <c r="BJ273" s="778">
        <f>1-WWWW[[#This Row],[% people access to functioning Latrine]]</f>
        <v>0</v>
      </c>
      <c r="BK27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3" s="772">
        <f>IF(WWWW[[#This Row],['#_of_functional_handwashing_facilities_at_HH_level]]*6&gt;WWWW[[#This Row],[Total PoP ]],WWWW[[#This Row],[Total PoP ]],WWWW[[#This Row],['#_of_functional_handwashing_facilities_at_HH_level]]*6)</f>
        <v>0</v>
      </c>
      <c r="BM273" s="781">
        <f>IF(WWWW[[#This Row],['# people reached by regular dedicated hygiene promotion]]&gt;WWWW[[#This Row],['# People received regular supply of hygiene items]],WWWW[[#This Row],['# people reached by regular dedicated hygiene promotion]],WWWW[[#This Row],['# People received regular supply of hygiene items]])</f>
        <v>0</v>
      </c>
      <c r="BN273" s="780">
        <f>IF(WWWW[[#This Row],[HRP3]]/WWWW[[#This Row],[Total PoP ]]&gt;100%,100%,WWWW[[#This Row],[HRP3]]/WWWW[[#This Row],[Total PoP ]])</f>
        <v>0</v>
      </c>
      <c r="BO273" s="778">
        <f>1-WWWW[[#This Row],[Hygiene Coverage%]]</f>
        <v>1</v>
      </c>
      <c r="BP273" s="777">
        <f>WWWW[[#This Row],['# people reached by regular dedicated hygiene promotion]]/WWWW[[#This Row],[Total PoP ]]</f>
        <v>0</v>
      </c>
      <c r="BQ27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3" s="770">
        <f>WWWW[[#This Row],['#_of_affected_women_and_girls_receiving_a_sufficient_quantity_of_sanitary_pads]]</f>
        <v>0</v>
      </c>
      <c r="BS273" s="773">
        <f>IF(WWWW[[#This Row],['# People with access to soap]]&gt;WWWW[[#This Row],['# People with access to Sanity Pads]],WWWW[[#This Row],['# People with access to soap]],WWWW[[#This Row],['# People with access to Sanity Pads]])</f>
        <v>0</v>
      </c>
      <c r="BT273" s="772" t="str">
        <f>IF(OR(WWWW[[#This Row],['#of students in school]]="",WWWW[[#This Row],['#of students in school]]=0),"No","Yes")</f>
        <v>No</v>
      </c>
      <c r="BU273" s="782" t="str">
        <f>VLOOKUP(WWWW[[#This Row],[Village  Name]],SiteDB6[[Site Name]:[Location Type 1]],9,FALSE)</f>
        <v>Village</v>
      </c>
      <c r="BV273" s="782" t="str">
        <f>VLOOKUP(WWWW[[#This Row],[Village  Name]],SiteDB6[[Site Name]:[Type of Accommodation]],10,FALSE)</f>
        <v>Returned</v>
      </c>
      <c r="BW273" s="782" t="str">
        <f>VLOOKUP(WWWW[[#This Row],[Village  Name]],SiteDB6[[Site Name]:[Ethnic or GCA/NGCA]],11,FALSE)</f>
        <v>Muslim</v>
      </c>
      <c r="BX273" s="782">
        <f>VLOOKUP(WWWW[[#This Row],[Village  Name]],SiteDB6[[Site Name]:[Lat]],12,FALSE)</f>
        <v>20.39902</v>
      </c>
      <c r="BY273" s="782">
        <f>VLOOKUP(WWWW[[#This Row],[Village  Name]],SiteDB6[[Site Name]:[Long]],13,FALSE)</f>
        <v>93.249669999999995</v>
      </c>
      <c r="BZ273" s="782" t="str">
        <f>VLOOKUP(WWWW[[#This Row],[Village  Name]],SiteDB6[[Site Name]:[Pcode]],3,FALSE)</f>
        <v>MMR012CMP003</v>
      </c>
      <c r="CA273" s="782" t="str">
        <f t="shared" si="18"/>
        <v>Covered</v>
      </c>
      <c r="CB273" s="783"/>
    </row>
    <row r="274" spans="1:80">
      <c r="A274" s="774" t="s">
        <v>3199</v>
      </c>
      <c r="B274" s="727" t="s">
        <v>314</v>
      </c>
      <c r="C274" s="728" t="s">
        <v>314</v>
      </c>
      <c r="D274" s="728" t="s">
        <v>327</v>
      </c>
      <c r="E274" s="728" t="s">
        <v>2648</v>
      </c>
      <c r="F274" s="728" t="s">
        <v>295</v>
      </c>
      <c r="G274" s="644" t="str">
        <f>VLOOKUP(WWWW[[#This Row],[Village  Name]],SiteDB6[[Site Name]:[Location Type]],8,FALSE)</f>
        <v>Village</v>
      </c>
      <c r="H274" s="728" t="s">
        <v>2593</v>
      </c>
      <c r="I274" s="775">
        <v>92</v>
      </c>
      <c r="J274" s="775">
        <v>715</v>
      </c>
      <c r="K274" s="784">
        <v>42736</v>
      </c>
      <c r="L274" s="785">
        <v>44551</v>
      </c>
      <c r="M274" s="775"/>
      <c r="N274" s="775"/>
      <c r="O274" s="773">
        <v>114</v>
      </c>
      <c r="P274" s="775">
        <v>348</v>
      </c>
      <c r="Q274" s="775">
        <v>4</v>
      </c>
      <c r="R274" s="775"/>
      <c r="S274" s="775"/>
      <c r="T274" s="775"/>
      <c r="U274" s="776"/>
      <c r="V274" s="775">
        <v>514</v>
      </c>
      <c r="W274" s="775" t="s">
        <v>130</v>
      </c>
      <c r="X274" s="775"/>
      <c r="Y274" s="775"/>
      <c r="Z274" s="775"/>
      <c r="AA274" s="775"/>
      <c r="AB274" s="775"/>
      <c r="AC274" s="776"/>
      <c r="AD274" s="775"/>
      <c r="AE274" s="775"/>
      <c r="AF274" s="775"/>
      <c r="AG274" s="775"/>
      <c r="AH274" s="775"/>
      <c r="AI274" s="775"/>
      <c r="AJ274" s="773"/>
      <c r="AK274" s="775"/>
      <c r="AL274" s="773"/>
      <c r="AM274" s="773"/>
      <c r="AN274" s="776"/>
      <c r="AO274" s="769"/>
      <c r="AP274" s="769"/>
      <c r="AQ274" s="773"/>
      <c r="AR274" s="773"/>
      <c r="AS274" s="773"/>
      <c r="AT27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74" s="779">
        <f>WWWW[[#This Row],[%Equitable and continuous access to sufficient quantity of safe drinking water]]*WWWW[[#This Row],[Total PoP ]]</f>
        <v>715</v>
      </c>
      <c r="AV27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74" s="779">
        <f>WWWW[[#This Row],[% Access to unimproved water points]]*WWWW[[#This Row],[Total PoP ]]</f>
        <v>715</v>
      </c>
      <c r="AX27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7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715</v>
      </c>
      <c r="AZ274" s="779">
        <f>WWWW[[#This Row],[HRP1]]/250</f>
        <v>2.86</v>
      </c>
      <c r="BA274" s="780">
        <f>1-WWWW[[#This Row],[% Equitable and continuous access to sufficient quantity of domestic water]]</f>
        <v>0</v>
      </c>
      <c r="BB274" s="779">
        <f>WWWW[[#This Row],[%equitable and continuous access to sufficient quantity of safe drinking and domestic water''s GAP]]*WWWW[[#This Row],[Total PoP ]]</f>
        <v>0</v>
      </c>
      <c r="BC274" s="781">
        <f>IF(WWWW[[#This Row],[Total required water points]]-WWWW[[#This Row],['#Water points coverage]]&lt;0,0,WWWW[[#This Row],[Total required water points]]-WWWW[[#This Row],['#Water points coverage]])</f>
        <v>0.14000000000000012</v>
      </c>
      <c r="BD274" s="781">
        <f>ROUND(IF(WWWW[[#This Row],[Total PoP ]]&lt;250,1,WWWW[[#This Row],[Total PoP ]]/250),0)</f>
        <v>3</v>
      </c>
      <c r="BE27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74" s="779">
        <f>WWWW[[#This Row],[% people access to functioning Latrine]]*WWWW[[#This Row],[Total PoP ]]</f>
        <v>715</v>
      </c>
      <c r="BG274" s="781">
        <f>WWWW[[#This Row],['#_of_Functioning_latrines_in_school]]*50</f>
        <v>0</v>
      </c>
      <c r="BH274" s="781">
        <f>ROUND((WWWW[[#This Row],[Total PoP ]]/6),0)</f>
        <v>119</v>
      </c>
      <c r="BI274" s="781">
        <f>IF(WWWW[[#This Row],[Total required Latrines]]-(WWWW[[#This Row],['#_of_sanitary_fly-proof_HH_latrines]])&lt;0,0,WWWW[[#This Row],[Total required Latrines]]-(WWWW[[#This Row],['#_of_sanitary_fly-proof_HH_latrines]]))</f>
        <v>0</v>
      </c>
      <c r="BJ274" s="778">
        <f>1-WWWW[[#This Row],[% people access to functioning Latrine]]</f>
        <v>0</v>
      </c>
      <c r="BK27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4" s="772">
        <f>IF(WWWW[[#This Row],['#_of_functional_handwashing_facilities_at_HH_level]]*6&gt;WWWW[[#This Row],[Total PoP ]],WWWW[[#This Row],[Total PoP ]],WWWW[[#This Row],['#_of_functional_handwashing_facilities_at_HH_level]]*6)</f>
        <v>0</v>
      </c>
      <c r="BM274" s="781">
        <f>IF(WWWW[[#This Row],['# people reached by regular dedicated hygiene promotion]]&gt;WWWW[[#This Row],['# People received regular supply of hygiene items]],WWWW[[#This Row],['# people reached by regular dedicated hygiene promotion]],WWWW[[#This Row],['# People received regular supply of hygiene items]])</f>
        <v>0</v>
      </c>
      <c r="BN274" s="780">
        <f>IF(WWWW[[#This Row],[HRP3]]/WWWW[[#This Row],[Total PoP ]]&gt;100%,100%,WWWW[[#This Row],[HRP3]]/WWWW[[#This Row],[Total PoP ]])</f>
        <v>0</v>
      </c>
      <c r="BO274" s="778">
        <f>1-WWWW[[#This Row],[Hygiene Coverage%]]</f>
        <v>1</v>
      </c>
      <c r="BP274" s="777">
        <f>WWWW[[#This Row],['# people reached by regular dedicated hygiene promotion]]/WWWW[[#This Row],[Total PoP ]]</f>
        <v>0</v>
      </c>
      <c r="BQ27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4" s="770">
        <f>WWWW[[#This Row],['#_of_affected_women_and_girls_receiving_a_sufficient_quantity_of_sanitary_pads]]</f>
        <v>0</v>
      </c>
      <c r="BS274" s="773">
        <f>IF(WWWW[[#This Row],['# People with access to soap]]&gt;WWWW[[#This Row],['# People with access to Sanity Pads]],WWWW[[#This Row],['# People with access to soap]],WWWW[[#This Row],['# People with access to Sanity Pads]])</f>
        <v>0</v>
      </c>
      <c r="BT274" s="772" t="str">
        <f>IF(OR(WWWW[[#This Row],['#of students in school]]="",WWWW[[#This Row],['#of students in school]]=0),"No","Yes")</f>
        <v>No</v>
      </c>
      <c r="BU274" s="782" t="str">
        <f>VLOOKUP(WWWW[[#This Row],[Village  Name]],SiteDB6[[Site Name]:[Location Type 1]],9,FALSE)</f>
        <v>Village</v>
      </c>
      <c r="BV274" s="782" t="str">
        <f>VLOOKUP(WWWW[[#This Row],[Village  Name]],SiteDB6[[Site Name]:[Type of Accommodation]],10,FALSE)</f>
        <v>Village</v>
      </c>
      <c r="BW274" s="782">
        <f>VLOOKUP(WWWW[[#This Row],[Village  Name]],SiteDB6[[Site Name]:[Ethnic or GCA/NGCA]],11,FALSE)</f>
        <v>0</v>
      </c>
      <c r="BX274" s="782">
        <f>VLOOKUP(WWWW[[#This Row],[Village  Name]],SiteDB6[[Site Name]:[Lat]],12,FALSE)</f>
        <v>20.172649383544901</v>
      </c>
      <c r="BY274" s="782">
        <f>VLOOKUP(WWWW[[#This Row],[Village  Name]],SiteDB6[[Site Name]:[Long]],13,FALSE)</f>
        <v>92.874351501464801</v>
      </c>
      <c r="BZ274" s="782">
        <f>VLOOKUP(WWWW[[#This Row],[Village  Name]],SiteDB6[[Site Name]:[Pcode]],3,FALSE)</f>
        <v>196195</v>
      </c>
      <c r="CA274" s="782" t="str">
        <f t="shared" si="18"/>
        <v>Covered</v>
      </c>
      <c r="CB274" s="783"/>
    </row>
    <row r="275" spans="1:80">
      <c r="A275" s="774" t="s">
        <v>3199</v>
      </c>
      <c r="B275" s="727" t="s">
        <v>314</v>
      </c>
      <c r="C275" s="728" t="s">
        <v>314</v>
      </c>
      <c r="D275" s="728" t="s">
        <v>327</v>
      </c>
      <c r="E275" s="728" t="s">
        <v>2648</v>
      </c>
      <c r="F275" s="728" t="s">
        <v>295</v>
      </c>
      <c r="G275" s="644" t="str">
        <f>VLOOKUP(WWWW[[#This Row],[Village  Name]],SiteDB6[[Site Name]:[Location Type]],8,FALSE)</f>
        <v>Village</v>
      </c>
      <c r="H275" s="728" t="s">
        <v>2595</v>
      </c>
      <c r="I275" s="775">
        <v>2100</v>
      </c>
      <c r="J275" s="775">
        <v>12993</v>
      </c>
      <c r="K275" s="784">
        <v>42736</v>
      </c>
      <c r="L275" s="785">
        <v>44551</v>
      </c>
      <c r="M275" s="775"/>
      <c r="N275" s="775"/>
      <c r="O275" s="773">
        <v>12</v>
      </c>
      <c r="P275" s="775">
        <v>97</v>
      </c>
      <c r="Q275" s="775">
        <v>2</v>
      </c>
      <c r="R275" s="775"/>
      <c r="S275" s="775"/>
      <c r="T275" s="775"/>
      <c r="U275" s="776"/>
      <c r="V275" s="775">
        <v>218</v>
      </c>
      <c r="W275" s="775" t="s">
        <v>130</v>
      </c>
      <c r="X275" s="775"/>
      <c r="Y275" s="775"/>
      <c r="Z275" s="775"/>
      <c r="AA275" s="775"/>
      <c r="AB275" s="775"/>
      <c r="AC275" s="776"/>
      <c r="AD275" s="775"/>
      <c r="AE275" s="775"/>
      <c r="AF275" s="775"/>
      <c r="AG275" s="775"/>
      <c r="AH275" s="775"/>
      <c r="AI275" s="775"/>
      <c r="AJ275" s="773"/>
      <c r="AK275" s="775"/>
      <c r="AL275" s="773"/>
      <c r="AM275" s="773"/>
      <c r="AN275" s="776"/>
      <c r="AO275" s="769"/>
      <c r="AP275" s="769"/>
      <c r="AQ275" s="773"/>
      <c r="AR275" s="773"/>
      <c r="AS275" s="773"/>
      <c r="AT27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75" s="779">
        <f>WWWW[[#This Row],[%Equitable and continuous access to sufficient quantity of safe drinking water]]*WWWW[[#This Row],[Total PoP ]]</f>
        <v>12993</v>
      </c>
      <c r="AV27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75" s="779">
        <f>WWWW[[#This Row],[% Access to unimproved water points]]*WWWW[[#This Row],[Total PoP ]]</f>
        <v>12993</v>
      </c>
      <c r="AX27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7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12993</v>
      </c>
      <c r="AZ275" s="779">
        <f>WWWW[[#This Row],[HRP1]]/250</f>
        <v>51.972000000000001</v>
      </c>
      <c r="BA275" s="780">
        <f>1-WWWW[[#This Row],[% Equitable and continuous access to sufficient quantity of domestic water]]</f>
        <v>0</v>
      </c>
      <c r="BB275" s="779">
        <f>WWWW[[#This Row],[%equitable and continuous access to sufficient quantity of safe drinking and domestic water''s GAP]]*WWWW[[#This Row],[Total PoP ]]</f>
        <v>0</v>
      </c>
      <c r="BC275" s="781">
        <f>IF(WWWW[[#This Row],[Total required water points]]-WWWW[[#This Row],['#Water points coverage]]&lt;0,0,WWWW[[#This Row],[Total required water points]]-WWWW[[#This Row],['#Water points coverage]])</f>
        <v>2.7999999999998693E-2</v>
      </c>
      <c r="BD275" s="781">
        <f>ROUND(IF(WWWW[[#This Row],[Total PoP ]]&lt;250,1,WWWW[[#This Row],[Total PoP ]]/250),0)</f>
        <v>52</v>
      </c>
      <c r="BE27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0.10066959131840221</v>
      </c>
      <c r="BF275" s="779">
        <f>WWWW[[#This Row],[% people access to functioning Latrine]]*WWWW[[#This Row],[Total PoP ]]</f>
        <v>1308</v>
      </c>
      <c r="BG275" s="781">
        <f>WWWW[[#This Row],['#_of_Functioning_latrines_in_school]]*50</f>
        <v>0</v>
      </c>
      <c r="BH275" s="781">
        <f>ROUND((WWWW[[#This Row],[Total PoP ]]/6),0)</f>
        <v>2166</v>
      </c>
      <c r="BI275" s="781">
        <f>IF(WWWW[[#This Row],[Total required Latrines]]-(WWWW[[#This Row],['#_of_sanitary_fly-proof_HH_latrines]])&lt;0,0,WWWW[[#This Row],[Total required Latrines]]-(WWWW[[#This Row],['#_of_sanitary_fly-proof_HH_latrines]]))</f>
        <v>1948</v>
      </c>
      <c r="BJ275" s="778">
        <f>1-WWWW[[#This Row],[% people access to functioning Latrine]]</f>
        <v>0.89933040868159775</v>
      </c>
      <c r="BK27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5" s="772">
        <f>IF(WWWW[[#This Row],['#_of_functional_handwashing_facilities_at_HH_level]]*6&gt;WWWW[[#This Row],[Total PoP ]],WWWW[[#This Row],[Total PoP ]],WWWW[[#This Row],['#_of_functional_handwashing_facilities_at_HH_level]]*6)</f>
        <v>0</v>
      </c>
      <c r="BM275" s="781">
        <f>IF(WWWW[[#This Row],['# people reached by regular dedicated hygiene promotion]]&gt;WWWW[[#This Row],['# People received regular supply of hygiene items]],WWWW[[#This Row],['# people reached by regular dedicated hygiene promotion]],WWWW[[#This Row],['# People received regular supply of hygiene items]])</f>
        <v>0</v>
      </c>
      <c r="BN275" s="780">
        <f>IF(WWWW[[#This Row],[HRP3]]/WWWW[[#This Row],[Total PoP ]]&gt;100%,100%,WWWW[[#This Row],[HRP3]]/WWWW[[#This Row],[Total PoP ]])</f>
        <v>0</v>
      </c>
      <c r="BO275" s="778">
        <f>1-WWWW[[#This Row],[Hygiene Coverage%]]</f>
        <v>1</v>
      </c>
      <c r="BP275" s="777">
        <f>WWWW[[#This Row],['# people reached by regular dedicated hygiene promotion]]/WWWW[[#This Row],[Total PoP ]]</f>
        <v>0</v>
      </c>
      <c r="BQ27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5" s="770">
        <f>WWWW[[#This Row],['#_of_affected_women_and_girls_receiving_a_sufficient_quantity_of_sanitary_pads]]</f>
        <v>0</v>
      </c>
      <c r="BS275" s="773">
        <f>IF(WWWW[[#This Row],['# People with access to soap]]&gt;WWWW[[#This Row],['# People with access to Sanity Pads]],WWWW[[#This Row],['# People with access to soap]],WWWW[[#This Row],['# People with access to Sanity Pads]])</f>
        <v>0</v>
      </c>
      <c r="BT275" s="772" t="str">
        <f>IF(OR(WWWW[[#This Row],['#of students in school]]="",WWWW[[#This Row],['#of students in school]]=0),"No","Yes")</f>
        <v>No</v>
      </c>
      <c r="BU275" s="782" t="str">
        <f>VLOOKUP(WWWW[[#This Row],[Village  Name]],SiteDB6[[Site Name]:[Location Type 1]],9,FALSE)</f>
        <v>Village</v>
      </c>
      <c r="BV275" s="782" t="str">
        <f>VLOOKUP(WWWW[[#This Row],[Village  Name]],SiteDB6[[Site Name]:[Type of Accommodation]],10,FALSE)</f>
        <v>Village</v>
      </c>
      <c r="BW275" s="782" t="str">
        <f>VLOOKUP(WWWW[[#This Row],[Village  Name]],SiteDB6[[Site Name]:[Ethnic or GCA/NGCA]],11,FALSE)</f>
        <v>Muslim</v>
      </c>
      <c r="BX275" s="782">
        <f>VLOOKUP(WWWW[[#This Row],[Village  Name]],SiteDB6[[Site Name]:[Lat]],12,FALSE)</f>
        <v>0</v>
      </c>
      <c r="BY275" s="782">
        <f>VLOOKUP(WWWW[[#This Row],[Village  Name]],SiteDB6[[Site Name]:[Long]],13,FALSE)</f>
        <v>0</v>
      </c>
      <c r="BZ275" s="782">
        <f>VLOOKUP(WWWW[[#This Row],[Village  Name]],SiteDB6[[Site Name]:[Pcode]],3,FALSE)</f>
        <v>0</v>
      </c>
      <c r="CA275" s="782" t="str">
        <f t="shared" si="18"/>
        <v>Covered</v>
      </c>
      <c r="CB275" s="783"/>
    </row>
    <row r="276" spans="1:80">
      <c r="A276" s="774" t="s">
        <v>3199</v>
      </c>
      <c r="B276" s="727" t="s">
        <v>314</v>
      </c>
      <c r="C276" s="728" t="s">
        <v>314</v>
      </c>
      <c r="D276" s="728" t="s">
        <v>307</v>
      </c>
      <c r="E276" s="728" t="s">
        <v>2648</v>
      </c>
      <c r="F276" s="728" t="s">
        <v>312</v>
      </c>
      <c r="G276" s="644" t="str">
        <f>VLOOKUP(WWWW[[#This Row],[Village  Name]],SiteDB6[[Site Name]:[Location Type]],8,FALSE)</f>
        <v>Village</v>
      </c>
      <c r="H276" s="728" t="s">
        <v>1133</v>
      </c>
      <c r="I276" s="775">
        <v>325</v>
      </c>
      <c r="J276" s="775">
        <v>1923</v>
      </c>
      <c r="K276" s="784">
        <v>42736</v>
      </c>
      <c r="L276" s="785">
        <v>44551</v>
      </c>
      <c r="M276" s="775"/>
      <c r="N276" s="775"/>
      <c r="O276" s="773">
        <v>14</v>
      </c>
      <c r="P276" s="775">
        <v>48</v>
      </c>
      <c r="Q276" s="775">
        <v>3</v>
      </c>
      <c r="R276" s="775"/>
      <c r="S276" s="775"/>
      <c r="T276" s="775"/>
      <c r="U276" s="776"/>
      <c r="V276" s="775">
        <v>112</v>
      </c>
      <c r="W276" s="775" t="s">
        <v>130</v>
      </c>
      <c r="X276" s="775"/>
      <c r="Y276" s="775"/>
      <c r="Z276" s="775"/>
      <c r="AA276" s="775"/>
      <c r="AB276" s="775"/>
      <c r="AC276" s="776"/>
      <c r="AD276" s="775"/>
      <c r="AE276" s="775"/>
      <c r="AF276" s="775"/>
      <c r="AG276" s="775"/>
      <c r="AH276" s="775"/>
      <c r="AI276" s="775"/>
      <c r="AJ276" s="773"/>
      <c r="AK276" s="775"/>
      <c r="AL276" s="773"/>
      <c r="AM276" s="773"/>
      <c r="AN276" s="776"/>
      <c r="AO276" s="769"/>
      <c r="AP276" s="769"/>
      <c r="AQ276" s="773"/>
      <c r="AR276" s="773"/>
      <c r="AS276" s="773"/>
      <c r="AT27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76" s="779">
        <f>WWWW[[#This Row],[%Equitable and continuous access to sufficient quantity of safe drinking water]]*WWWW[[#This Row],[Total PoP ]]</f>
        <v>1923</v>
      </c>
      <c r="AV27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76" s="779">
        <f>WWWW[[#This Row],[% Access to unimproved water points]]*WWWW[[#This Row],[Total PoP ]]</f>
        <v>1923</v>
      </c>
      <c r="AX27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7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1923</v>
      </c>
      <c r="AZ276" s="779">
        <f>WWWW[[#This Row],[HRP1]]/250</f>
        <v>7.6920000000000002</v>
      </c>
      <c r="BA276" s="780">
        <f>1-WWWW[[#This Row],[% Equitable and continuous access to sufficient quantity of domestic water]]</f>
        <v>0</v>
      </c>
      <c r="BB276" s="779">
        <f>WWWW[[#This Row],[%equitable and continuous access to sufficient quantity of safe drinking and domestic water''s GAP]]*WWWW[[#This Row],[Total PoP ]]</f>
        <v>0</v>
      </c>
      <c r="BC276" s="781">
        <f>IF(WWWW[[#This Row],[Total required water points]]-WWWW[[#This Row],['#Water points coverage]]&lt;0,0,WWWW[[#This Row],[Total required water points]]-WWWW[[#This Row],['#Water points coverage]])</f>
        <v>0.30799999999999983</v>
      </c>
      <c r="BD276" s="781">
        <f>ROUND(IF(WWWW[[#This Row],[Total PoP ]]&lt;250,1,WWWW[[#This Row],[Total PoP ]]/250),0)</f>
        <v>8</v>
      </c>
      <c r="BE27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0.34945397815912638</v>
      </c>
      <c r="BF276" s="779">
        <f>WWWW[[#This Row],[% people access to functioning Latrine]]*WWWW[[#This Row],[Total PoP ]]</f>
        <v>672</v>
      </c>
      <c r="BG276" s="781">
        <f>WWWW[[#This Row],['#_of_Functioning_latrines_in_school]]*50</f>
        <v>0</v>
      </c>
      <c r="BH276" s="781">
        <f>ROUND((WWWW[[#This Row],[Total PoP ]]/6),0)</f>
        <v>321</v>
      </c>
      <c r="BI276" s="781">
        <f>IF(WWWW[[#This Row],[Total required Latrines]]-(WWWW[[#This Row],['#_of_sanitary_fly-proof_HH_latrines]])&lt;0,0,WWWW[[#This Row],[Total required Latrines]]-(WWWW[[#This Row],['#_of_sanitary_fly-proof_HH_latrines]]))</f>
        <v>209</v>
      </c>
      <c r="BJ276" s="778">
        <f>1-WWWW[[#This Row],[% people access to functioning Latrine]]</f>
        <v>0.65054602184087362</v>
      </c>
      <c r="BK27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6" s="772">
        <f>IF(WWWW[[#This Row],['#_of_functional_handwashing_facilities_at_HH_level]]*6&gt;WWWW[[#This Row],[Total PoP ]],WWWW[[#This Row],[Total PoP ]],WWWW[[#This Row],['#_of_functional_handwashing_facilities_at_HH_level]]*6)</f>
        <v>0</v>
      </c>
      <c r="BM276" s="781">
        <f>IF(WWWW[[#This Row],['# people reached by regular dedicated hygiene promotion]]&gt;WWWW[[#This Row],['# People received regular supply of hygiene items]],WWWW[[#This Row],['# people reached by regular dedicated hygiene promotion]],WWWW[[#This Row],['# People received regular supply of hygiene items]])</f>
        <v>0</v>
      </c>
      <c r="BN276" s="780">
        <f>IF(WWWW[[#This Row],[HRP3]]/WWWW[[#This Row],[Total PoP ]]&gt;100%,100%,WWWW[[#This Row],[HRP3]]/WWWW[[#This Row],[Total PoP ]])</f>
        <v>0</v>
      </c>
      <c r="BO276" s="778">
        <f>1-WWWW[[#This Row],[Hygiene Coverage%]]</f>
        <v>1</v>
      </c>
      <c r="BP276" s="777">
        <f>WWWW[[#This Row],['# people reached by regular dedicated hygiene promotion]]/WWWW[[#This Row],[Total PoP ]]</f>
        <v>0</v>
      </c>
      <c r="BQ27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6" s="770">
        <f>WWWW[[#This Row],['#_of_affected_women_and_girls_receiving_a_sufficient_quantity_of_sanitary_pads]]</f>
        <v>0</v>
      </c>
      <c r="BS276" s="773">
        <f>IF(WWWW[[#This Row],['# People with access to soap]]&gt;WWWW[[#This Row],['# People with access to Sanity Pads]],WWWW[[#This Row],['# People with access to soap]],WWWW[[#This Row],['# People with access to Sanity Pads]])</f>
        <v>0</v>
      </c>
      <c r="BT276" s="772" t="str">
        <f>IF(OR(WWWW[[#This Row],['#of students in school]]="",WWWW[[#This Row],['#of students in school]]=0),"No","Yes")</f>
        <v>No</v>
      </c>
      <c r="BU276" s="782" t="str">
        <f>VLOOKUP(WWWW[[#This Row],[Village  Name]],SiteDB6[[Site Name]:[Location Type 1]],9,FALSE)</f>
        <v>Village</v>
      </c>
      <c r="BV276" s="782" t="str">
        <f>VLOOKUP(WWWW[[#This Row],[Village  Name]],SiteDB6[[Site Name]:[Type of Accommodation]],10,FALSE)</f>
        <v>Village</v>
      </c>
      <c r="BW276" s="782" t="str">
        <f>VLOOKUP(WWWW[[#This Row],[Village  Name]],SiteDB6[[Site Name]:[Ethnic or GCA/NGCA]],11,FALSE)</f>
        <v>Muslim</v>
      </c>
      <c r="BX276" s="782">
        <f>VLOOKUP(WWWW[[#This Row],[Village  Name]],SiteDB6[[Site Name]:[Lat]],12,FALSE)</f>
        <v>0</v>
      </c>
      <c r="BY276" s="782">
        <f>VLOOKUP(WWWW[[#This Row],[Village  Name]],SiteDB6[[Site Name]:[Long]],13,FALSE)</f>
        <v>0</v>
      </c>
      <c r="BZ276" s="782">
        <f>VLOOKUP(WWWW[[#This Row],[Village  Name]],SiteDB6[[Site Name]:[Pcode]],3,FALSE)</f>
        <v>196999</v>
      </c>
      <c r="CA276" s="782" t="str">
        <f t="shared" si="18"/>
        <v>Covered</v>
      </c>
      <c r="CB276" s="783"/>
    </row>
    <row r="277" spans="1:80">
      <c r="A277" s="774" t="s">
        <v>3199</v>
      </c>
      <c r="B277" s="727" t="s">
        <v>314</v>
      </c>
      <c r="C277" s="728" t="s">
        <v>314</v>
      </c>
      <c r="D277" s="728" t="s">
        <v>307</v>
      </c>
      <c r="E277" s="728" t="s">
        <v>2648</v>
      </c>
      <c r="F277" s="728" t="s">
        <v>312</v>
      </c>
      <c r="G277" s="644" t="str">
        <f>VLOOKUP(WWWW[[#This Row],[Village  Name]],SiteDB6[[Site Name]:[Location Type]],8,FALSE)</f>
        <v>Village</v>
      </c>
      <c r="H277" s="728" t="s">
        <v>2596</v>
      </c>
      <c r="I277" s="775">
        <v>146</v>
      </c>
      <c r="J277" s="775">
        <v>801</v>
      </c>
      <c r="K277" s="784">
        <v>42736</v>
      </c>
      <c r="L277" s="785">
        <v>44551</v>
      </c>
      <c r="M277" s="775"/>
      <c r="N277" s="775"/>
      <c r="O277" s="773">
        <v>17</v>
      </c>
      <c r="P277" s="775">
        <v>43</v>
      </c>
      <c r="Q277" s="775">
        <v>2</v>
      </c>
      <c r="R277" s="775"/>
      <c r="S277" s="775"/>
      <c r="T277" s="775"/>
      <c r="U277" s="776"/>
      <c r="V277" s="775">
        <v>78</v>
      </c>
      <c r="W277" s="775" t="s">
        <v>130</v>
      </c>
      <c r="X277" s="775"/>
      <c r="Y277" s="775"/>
      <c r="Z277" s="775"/>
      <c r="AA277" s="775"/>
      <c r="AB277" s="775"/>
      <c r="AC277" s="776"/>
      <c r="AD277" s="775"/>
      <c r="AE277" s="775"/>
      <c r="AF277" s="775"/>
      <c r="AG277" s="775"/>
      <c r="AH277" s="775"/>
      <c r="AI277" s="775"/>
      <c r="AJ277" s="773"/>
      <c r="AK277" s="775"/>
      <c r="AL277" s="773"/>
      <c r="AM277" s="773"/>
      <c r="AN277" s="776"/>
      <c r="AO277" s="769"/>
      <c r="AP277" s="769"/>
      <c r="AQ277" s="773"/>
      <c r="AR277" s="773"/>
      <c r="AS277" s="773"/>
      <c r="AT27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77" s="779">
        <f>WWWW[[#This Row],[%Equitable and continuous access to sufficient quantity of safe drinking water]]*WWWW[[#This Row],[Total PoP ]]</f>
        <v>801</v>
      </c>
      <c r="AV27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77" s="779">
        <f>WWWW[[#This Row],[% Access to unimproved water points]]*WWWW[[#This Row],[Total PoP ]]</f>
        <v>801</v>
      </c>
      <c r="AX27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7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801</v>
      </c>
      <c r="AZ277" s="779">
        <f>WWWW[[#This Row],[HRP1]]/250</f>
        <v>3.2040000000000002</v>
      </c>
      <c r="BA277" s="780">
        <f>1-WWWW[[#This Row],[% Equitable and continuous access to sufficient quantity of domestic water]]</f>
        <v>0</v>
      </c>
      <c r="BB277" s="779">
        <f>WWWW[[#This Row],[%equitable and continuous access to sufficient quantity of safe drinking and domestic water''s GAP]]*WWWW[[#This Row],[Total PoP ]]</f>
        <v>0</v>
      </c>
      <c r="BC277" s="781">
        <f>IF(WWWW[[#This Row],[Total required water points]]-WWWW[[#This Row],['#Water points coverage]]&lt;0,0,WWWW[[#This Row],[Total required water points]]-WWWW[[#This Row],['#Water points coverage]])</f>
        <v>0</v>
      </c>
      <c r="BD277" s="781">
        <f>ROUND(IF(WWWW[[#This Row],[Total PoP ]]&lt;250,1,WWWW[[#This Row],[Total PoP ]]/250),0)</f>
        <v>3</v>
      </c>
      <c r="BE27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0.5842696629213483</v>
      </c>
      <c r="BF277" s="779">
        <f>WWWW[[#This Row],[% people access to functioning Latrine]]*WWWW[[#This Row],[Total PoP ]]</f>
        <v>468</v>
      </c>
      <c r="BG277" s="781">
        <f>WWWW[[#This Row],['#_of_Functioning_latrines_in_school]]*50</f>
        <v>0</v>
      </c>
      <c r="BH277" s="781">
        <f>ROUND((WWWW[[#This Row],[Total PoP ]]/6),0)</f>
        <v>134</v>
      </c>
      <c r="BI277" s="781">
        <f>IF(WWWW[[#This Row],[Total required Latrines]]-(WWWW[[#This Row],['#_of_sanitary_fly-proof_HH_latrines]])&lt;0,0,WWWW[[#This Row],[Total required Latrines]]-(WWWW[[#This Row],['#_of_sanitary_fly-proof_HH_latrines]]))</f>
        <v>56</v>
      </c>
      <c r="BJ277" s="778">
        <f>1-WWWW[[#This Row],[% people access to functioning Latrine]]</f>
        <v>0.4157303370786517</v>
      </c>
      <c r="BK27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7" s="772">
        <f>IF(WWWW[[#This Row],['#_of_functional_handwashing_facilities_at_HH_level]]*6&gt;WWWW[[#This Row],[Total PoP ]],WWWW[[#This Row],[Total PoP ]],WWWW[[#This Row],['#_of_functional_handwashing_facilities_at_HH_level]]*6)</f>
        <v>0</v>
      </c>
      <c r="BM277" s="781">
        <f>IF(WWWW[[#This Row],['# people reached by regular dedicated hygiene promotion]]&gt;WWWW[[#This Row],['# People received regular supply of hygiene items]],WWWW[[#This Row],['# people reached by regular dedicated hygiene promotion]],WWWW[[#This Row],['# People received regular supply of hygiene items]])</f>
        <v>0</v>
      </c>
      <c r="BN277" s="780">
        <f>IF(WWWW[[#This Row],[HRP3]]/WWWW[[#This Row],[Total PoP ]]&gt;100%,100%,WWWW[[#This Row],[HRP3]]/WWWW[[#This Row],[Total PoP ]])</f>
        <v>0</v>
      </c>
      <c r="BO277" s="778">
        <f>1-WWWW[[#This Row],[Hygiene Coverage%]]</f>
        <v>1</v>
      </c>
      <c r="BP277" s="777">
        <f>WWWW[[#This Row],['# people reached by regular dedicated hygiene promotion]]/WWWW[[#This Row],[Total PoP ]]</f>
        <v>0</v>
      </c>
      <c r="BQ27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7" s="770">
        <f>WWWW[[#This Row],['#_of_affected_women_and_girls_receiving_a_sufficient_quantity_of_sanitary_pads]]</f>
        <v>0</v>
      </c>
      <c r="BS277" s="773">
        <f>IF(WWWW[[#This Row],['# People with access to soap]]&gt;WWWW[[#This Row],['# People with access to Sanity Pads]],WWWW[[#This Row],['# People with access to soap]],WWWW[[#This Row],['# People with access to Sanity Pads]])</f>
        <v>0</v>
      </c>
      <c r="BT277" s="772" t="str">
        <f>IF(OR(WWWW[[#This Row],['#of students in school]]="",WWWW[[#This Row],['#of students in school]]=0),"No","Yes")</f>
        <v>No</v>
      </c>
      <c r="BU277" s="782" t="str">
        <f>VLOOKUP(WWWW[[#This Row],[Village  Name]],SiteDB6[[Site Name]:[Location Type 1]],9,FALSE)</f>
        <v>Village</v>
      </c>
      <c r="BV277" s="782" t="str">
        <f>VLOOKUP(WWWW[[#This Row],[Village  Name]],SiteDB6[[Site Name]:[Type of Accommodation]],10,FALSE)</f>
        <v>Village</v>
      </c>
      <c r="BW277" s="782">
        <f>VLOOKUP(WWWW[[#This Row],[Village  Name]],SiteDB6[[Site Name]:[Ethnic or GCA/NGCA]],11,FALSE)</f>
        <v>0</v>
      </c>
      <c r="BX277" s="782">
        <f>VLOOKUP(WWWW[[#This Row],[Village  Name]],SiteDB6[[Site Name]:[Lat]],12,FALSE)</f>
        <v>20.3927307128906</v>
      </c>
      <c r="BY277" s="782">
        <f>VLOOKUP(WWWW[[#This Row],[Village  Name]],SiteDB6[[Site Name]:[Long]],13,FALSE)</f>
        <v>93.304817199707003</v>
      </c>
      <c r="BZ277" s="782">
        <f>VLOOKUP(WWWW[[#This Row],[Village  Name]],SiteDB6[[Site Name]:[Pcode]],3,FALSE)</f>
        <v>197017</v>
      </c>
      <c r="CA277" s="782" t="str">
        <f t="shared" si="18"/>
        <v>Covered</v>
      </c>
      <c r="CB277" s="783"/>
    </row>
    <row r="278" spans="1:80">
      <c r="A278" s="774" t="s">
        <v>3199</v>
      </c>
      <c r="B278" s="727" t="s">
        <v>314</v>
      </c>
      <c r="C278" s="728" t="s">
        <v>314</v>
      </c>
      <c r="D278" s="728" t="s">
        <v>307</v>
      </c>
      <c r="E278" s="728" t="s">
        <v>2648</v>
      </c>
      <c r="F278" s="728" t="s">
        <v>312</v>
      </c>
      <c r="G278" s="644" t="str">
        <f>VLOOKUP(WWWW[[#This Row],[Village  Name]],SiteDB6[[Site Name]:[Location Type]],8,FALSE)</f>
        <v>Village</v>
      </c>
      <c r="H278" s="728" t="s">
        <v>2597</v>
      </c>
      <c r="I278" s="775">
        <v>31</v>
      </c>
      <c r="J278" s="775">
        <v>156</v>
      </c>
      <c r="K278" s="784">
        <v>42736</v>
      </c>
      <c r="L278" s="785">
        <v>44551</v>
      </c>
      <c r="M278" s="775"/>
      <c r="N278" s="775"/>
      <c r="O278" s="773">
        <v>18</v>
      </c>
      <c r="P278" s="775">
        <v>116</v>
      </c>
      <c r="Q278" s="775">
        <v>4</v>
      </c>
      <c r="R278" s="775"/>
      <c r="S278" s="775"/>
      <c r="T278" s="775"/>
      <c r="U278" s="776"/>
      <c r="V278" s="775">
        <v>298</v>
      </c>
      <c r="W278" s="775" t="s">
        <v>130</v>
      </c>
      <c r="X278" s="775"/>
      <c r="Y278" s="775"/>
      <c r="Z278" s="775"/>
      <c r="AA278" s="775"/>
      <c r="AB278" s="775"/>
      <c r="AC278" s="776"/>
      <c r="AD278" s="775"/>
      <c r="AE278" s="775"/>
      <c r="AF278" s="775"/>
      <c r="AG278" s="775"/>
      <c r="AH278" s="775"/>
      <c r="AI278" s="775"/>
      <c r="AJ278" s="773"/>
      <c r="AK278" s="775"/>
      <c r="AL278" s="773"/>
      <c r="AM278" s="773"/>
      <c r="AN278" s="776"/>
      <c r="AO278" s="769"/>
      <c r="AP278" s="769"/>
      <c r="AQ278" s="773"/>
      <c r="AR278" s="773"/>
      <c r="AS278" s="773"/>
      <c r="AT27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78" s="779">
        <f>WWWW[[#This Row],[%Equitable and continuous access to sufficient quantity of safe drinking water]]*WWWW[[#This Row],[Total PoP ]]</f>
        <v>156</v>
      </c>
      <c r="AV27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78" s="779">
        <f>WWWW[[#This Row],[% Access to unimproved water points]]*WWWW[[#This Row],[Total PoP ]]</f>
        <v>156</v>
      </c>
      <c r="AX27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7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156</v>
      </c>
      <c r="AZ278" s="779">
        <f>WWWW[[#This Row],[HRP1]]/250</f>
        <v>0.624</v>
      </c>
      <c r="BA278" s="780">
        <f>1-WWWW[[#This Row],[% Equitable and continuous access to sufficient quantity of domestic water]]</f>
        <v>0</v>
      </c>
      <c r="BB278" s="779">
        <f>WWWW[[#This Row],[%equitable and continuous access to sufficient quantity of safe drinking and domestic water''s GAP]]*WWWW[[#This Row],[Total PoP ]]</f>
        <v>0</v>
      </c>
      <c r="BC278" s="781">
        <f>IF(WWWW[[#This Row],[Total required water points]]-WWWW[[#This Row],['#Water points coverage]]&lt;0,0,WWWW[[#This Row],[Total required water points]]-WWWW[[#This Row],['#Water points coverage]])</f>
        <v>0.376</v>
      </c>
      <c r="BD278" s="781">
        <f>ROUND(IF(WWWW[[#This Row],[Total PoP ]]&lt;250,1,WWWW[[#This Row],[Total PoP ]]/250),0)</f>
        <v>1</v>
      </c>
      <c r="BE27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78" s="779">
        <f>WWWW[[#This Row],[% people access to functioning Latrine]]*WWWW[[#This Row],[Total PoP ]]</f>
        <v>156</v>
      </c>
      <c r="BG278" s="781">
        <f>WWWW[[#This Row],['#_of_Functioning_latrines_in_school]]*50</f>
        <v>0</v>
      </c>
      <c r="BH278" s="781">
        <f>ROUND((WWWW[[#This Row],[Total PoP ]]/6),0)</f>
        <v>26</v>
      </c>
      <c r="BI278" s="781">
        <f>IF(WWWW[[#This Row],[Total required Latrines]]-(WWWW[[#This Row],['#_of_sanitary_fly-proof_HH_latrines]])&lt;0,0,WWWW[[#This Row],[Total required Latrines]]-(WWWW[[#This Row],['#_of_sanitary_fly-proof_HH_latrines]]))</f>
        <v>0</v>
      </c>
      <c r="BJ278" s="778">
        <f>1-WWWW[[#This Row],[% people access to functioning Latrine]]</f>
        <v>0</v>
      </c>
      <c r="BK27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8" s="772">
        <f>IF(WWWW[[#This Row],['#_of_functional_handwashing_facilities_at_HH_level]]*6&gt;WWWW[[#This Row],[Total PoP ]],WWWW[[#This Row],[Total PoP ]],WWWW[[#This Row],['#_of_functional_handwashing_facilities_at_HH_level]]*6)</f>
        <v>0</v>
      </c>
      <c r="BM278" s="781">
        <f>IF(WWWW[[#This Row],['# people reached by regular dedicated hygiene promotion]]&gt;WWWW[[#This Row],['# People received regular supply of hygiene items]],WWWW[[#This Row],['# people reached by regular dedicated hygiene promotion]],WWWW[[#This Row],['# People received regular supply of hygiene items]])</f>
        <v>0</v>
      </c>
      <c r="BN278" s="780">
        <f>IF(WWWW[[#This Row],[HRP3]]/WWWW[[#This Row],[Total PoP ]]&gt;100%,100%,WWWW[[#This Row],[HRP3]]/WWWW[[#This Row],[Total PoP ]])</f>
        <v>0</v>
      </c>
      <c r="BO278" s="778">
        <f>1-WWWW[[#This Row],[Hygiene Coverage%]]</f>
        <v>1</v>
      </c>
      <c r="BP278" s="777">
        <f>WWWW[[#This Row],['# people reached by regular dedicated hygiene promotion]]/WWWW[[#This Row],[Total PoP ]]</f>
        <v>0</v>
      </c>
      <c r="BQ27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8" s="770">
        <f>WWWW[[#This Row],['#_of_affected_women_and_girls_receiving_a_sufficient_quantity_of_sanitary_pads]]</f>
        <v>0</v>
      </c>
      <c r="BS278" s="773">
        <f>IF(WWWW[[#This Row],['# People with access to soap]]&gt;WWWW[[#This Row],['# People with access to Sanity Pads]],WWWW[[#This Row],['# People with access to soap]],WWWW[[#This Row],['# People with access to Sanity Pads]])</f>
        <v>0</v>
      </c>
      <c r="BT278" s="772" t="str">
        <f>IF(OR(WWWW[[#This Row],['#of students in school]]="",WWWW[[#This Row],['#of students in school]]=0),"No","Yes")</f>
        <v>No</v>
      </c>
      <c r="BU278" s="782" t="str">
        <f>VLOOKUP(WWWW[[#This Row],[Village  Name]],SiteDB6[[Site Name]:[Location Type 1]],9,FALSE)</f>
        <v>Village</v>
      </c>
      <c r="BV278" s="782" t="str">
        <f>VLOOKUP(WWWW[[#This Row],[Village  Name]],SiteDB6[[Site Name]:[Type of Accommodation]],10,FALSE)</f>
        <v>Village</v>
      </c>
      <c r="BW278" s="782">
        <f>VLOOKUP(WWWW[[#This Row],[Village  Name]],SiteDB6[[Site Name]:[Ethnic or GCA/NGCA]],11,FALSE)</f>
        <v>0</v>
      </c>
      <c r="BX278" s="782">
        <f>VLOOKUP(WWWW[[#This Row],[Village  Name]],SiteDB6[[Site Name]:[Lat]],12,FALSE)</f>
        <v>20.406982421875</v>
      </c>
      <c r="BY278" s="782">
        <f>VLOOKUP(WWWW[[#This Row],[Village  Name]],SiteDB6[[Site Name]:[Long]],13,FALSE)</f>
        <v>93.312507629394503</v>
      </c>
      <c r="BZ278" s="782">
        <f>VLOOKUP(WWWW[[#This Row],[Village  Name]],SiteDB6[[Site Name]:[Pcode]],3,FALSE)</f>
        <v>197022</v>
      </c>
      <c r="CA278" s="782" t="str">
        <f t="shared" si="18"/>
        <v>Covered</v>
      </c>
      <c r="CB278" s="783"/>
    </row>
    <row r="279" spans="1:80">
      <c r="A279" s="774" t="s">
        <v>3199</v>
      </c>
      <c r="B279" s="727" t="s">
        <v>314</v>
      </c>
      <c r="C279" s="728" t="s">
        <v>314</v>
      </c>
      <c r="D279" s="728" t="s">
        <v>307</v>
      </c>
      <c r="E279" s="728" t="s">
        <v>2648</v>
      </c>
      <c r="F279" s="728" t="s">
        <v>312</v>
      </c>
      <c r="G279" s="644" t="str">
        <f>VLOOKUP(WWWW[[#This Row],[Village  Name]],SiteDB6[[Site Name]:[Location Type]],8,FALSE)</f>
        <v>Village</v>
      </c>
      <c r="H279" s="728" t="s">
        <v>2598</v>
      </c>
      <c r="I279" s="775">
        <v>96</v>
      </c>
      <c r="J279" s="775">
        <v>329</v>
      </c>
      <c r="K279" s="784">
        <v>42736</v>
      </c>
      <c r="L279" s="785">
        <v>44551</v>
      </c>
      <c r="M279" s="775"/>
      <c r="N279" s="775"/>
      <c r="O279" s="773">
        <v>28</v>
      </c>
      <c r="P279" s="775">
        <v>826</v>
      </c>
      <c r="Q279" s="775">
        <v>7</v>
      </c>
      <c r="R279" s="775"/>
      <c r="S279" s="775"/>
      <c r="T279" s="775"/>
      <c r="U279" s="776"/>
      <c r="V279" s="775">
        <v>1408</v>
      </c>
      <c r="W279" s="775" t="s">
        <v>130</v>
      </c>
      <c r="X279" s="775"/>
      <c r="Y279" s="775"/>
      <c r="Z279" s="775"/>
      <c r="AA279" s="775"/>
      <c r="AB279" s="775"/>
      <c r="AC279" s="776"/>
      <c r="AD279" s="775"/>
      <c r="AE279" s="775"/>
      <c r="AF279" s="775"/>
      <c r="AG279" s="775"/>
      <c r="AH279" s="775"/>
      <c r="AI279" s="775"/>
      <c r="AJ279" s="773"/>
      <c r="AK279" s="775"/>
      <c r="AL279" s="773"/>
      <c r="AM279" s="773"/>
      <c r="AN279" s="776"/>
      <c r="AO279" s="769"/>
      <c r="AP279" s="769"/>
      <c r="AQ279" s="773"/>
      <c r="AR279" s="773"/>
      <c r="AS279" s="773"/>
      <c r="AT27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79" s="779">
        <f>WWWW[[#This Row],[%Equitable and continuous access to sufficient quantity of safe drinking water]]*WWWW[[#This Row],[Total PoP ]]</f>
        <v>329</v>
      </c>
      <c r="AV27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79" s="779">
        <f>WWWW[[#This Row],[% Access to unimproved water points]]*WWWW[[#This Row],[Total PoP ]]</f>
        <v>329</v>
      </c>
      <c r="AX27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7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329</v>
      </c>
      <c r="AZ279" s="779">
        <f>WWWW[[#This Row],[HRP1]]/250</f>
        <v>1.3160000000000001</v>
      </c>
      <c r="BA279" s="780">
        <f>1-WWWW[[#This Row],[% Equitable and continuous access to sufficient quantity of domestic water]]</f>
        <v>0</v>
      </c>
      <c r="BB279" s="779">
        <f>WWWW[[#This Row],[%equitable and continuous access to sufficient quantity of safe drinking and domestic water''s GAP]]*WWWW[[#This Row],[Total PoP ]]</f>
        <v>0</v>
      </c>
      <c r="BC279" s="781">
        <f>IF(WWWW[[#This Row],[Total required water points]]-WWWW[[#This Row],['#Water points coverage]]&lt;0,0,WWWW[[#This Row],[Total required water points]]-WWWW[[#This Row],['#Water points coverage]])</f>
        <v>0</v>
      </c>
      <c r="BD279" s="781">
        <f>ROUND(IF(WWWW[[#This Row],[Total PoP ]]&lt;250,1,WWWW[[#This Row],[Total PoP ]]/250),0)</f>
        <v>1</v>
      </c>
      <c r="BE27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79" s="779">
        <f>WWWW[[#This Row],[% people access to functioning Latrine]]*WWWW[[#This Row],[Total PoP ]]</f>
        <v>329</v>
      </c>
      <c r="BG279" s="781">
        <f>WWWW[[#This Row],['#_of_Functioning_latrines_in_school]]*50</f>
        <v>0</v>
      </c>
      <c r="BH279" s="781">
        <f>ROUND((WWWW[[#This Row],[Total PoP ]]/6),0)</f>
        <v>55</v>
      </c>
      <c r="BI279" s="781">
        <f>IF(WWWW[[#This Row],[Total required Latrines]]-(WWWW[[#This Row],['#_of_sanitary_fly-proof_HH_latrines]])&lt;0,0,WWWW[[#This Row],[Total required Latrines]]-(WWWW[[#This Row],['#_of_sanitary_fly-proof_HH_latrines]]))</f>
        <v>0</v>
      </c>
      <c r="BJ279" s="778">
        <f>1-WWWW[[#This Row],[% people access to functioning Latrine]]</f>
        <v>0</v>
      </c>
      <c r="BK27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79" s="772">
        <f>IF(WWWW[[#This Row],['#_of_functional_handwashing_facilities_at_HH_level]]*6&gt;WWWW[[#This Row],[Total PoP ]],WWWW[[#This Row],[Total PoP ]],WWWW[[#This Row],['#_of_functional_handwashing_facilities_at_HH_level]]*6)</f>
        <v>0</v>
      </c>
      <c r="BM279" s="781">
        <f>IF(WWWW[[#This Row],['# people reached by regular dedicated hygiene promotion]]&gt;WWWW[[#This Row],['# People received regular supply of hygiene items]],WWWW[[#This Row],['# people reached by regular dedicated hygiene promotion]],WWWW[[#This Row],['# People received regular supply of hygiene items]])</f>
        <v>0</v>
      </c>
      <c r="BN279" s="780">
        <f>IF(WWWW[[#This Row],[HRP3]]/WWWW[[#This Row],[Total PoP ]]&gt;100%,100%,WWWW[[#This Row],[HRP3]]/WWWW[[#This Row],[Total PoP ]])</f>
        <v>0</v>
      </c>
      <c r="BO279" s="778">
        <f>1-WWWW[[#This Row],[Hygiene Coverage%]]</f>
        <v>1</v>
      </c>
      <c r="BP279" s="777">
        <f>WWWW[[#This Row],['# people reached by regular dedicated hygiene promotion]]/WWWW[[#This Row],[Total PoP ]]</f>
        <v>0</v>
      </c>
      <c r="BQ27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79" s="770">
        <f>WWWW[[#This Row],['#_of_affected_women_and_girls_receiving_a_sufficient_quantity_of_sanitary_pads]]</f>
        <v>0</v>
      </c>
      <c r="BS279" s="773">
        <f>IF(WWWW[[#This Row],['# People with access to soap]]&gt;WWWW[[#This Row],['# People with access to Sanity Pads]],WWWW[[#This Row],['# People with access to soap]],WWWW[[#This Row],['# People with access to Sanity Pads]])</f>
        <v>0</v>
      </c>
      <c r="BT279" s="772" t="str">
        <f>IF(OR(WWWW[[#This Row],['#of students in school]]="",WWWW[[#This Row],['#of students in school]]=0),"No","Yes")</f>
        <v>No</v>
      </c>
      <c r="BU279" s="782" t="str">
        <f>VLOOKUP(WWWW[[#This Row],[Village  Name]],SiteDB6[[Site Name]:[Location Type 1]],9,FALSE)</f>
        <v>Village</v>
      </c>
      <c r="BV279" s="782" t="str">
        <f>VLOOKUP(WWWW[[#This Row],[Village  Name]],SiteDB6[[Site Name]:[Type of Accommodation]],10,FALSE)</f>
        <v>Village</v>
      </c>
      <c r="BW279" s="782">
        <f>VLOOKUP(WWWW[[#This Row],[Village  Name]],SiteDB6[[Site Name]:[Ethnic or GCA/NGCA]],11,FALSE)</f>
        <v>0</v>
      </c>
      <c r="BX279" s="782">
        <f>VLOOKUP(WWWW[[#This Row],[Village  Name]],SiteDB6[[Site Name]:[Lat]],12,FALSE)</f>
        <v>20.404491424560501</v>
      </c>
      <c r="BY279" s="782">
        <f>VLOOKUP(WWWW[[#This Row],[Village  Name]],SiteDB6[[Site Name]:[Long]],13,FALSE)</f>
        <v>93.321144104003906</v>
      </c>
      <c r="BZ279" s="782">
        <f>VLOOKUP(WWWW[[#This Row],[Village  Name]],SiteDB6[[Site Name]:[Pcode]],3,FALSE)</f>
        <v>197020</v>
      </c>
      <c r="CA279" s="782" t="str">
        <f t="shared" si="18"/>
        <v>Covered</v>
      </c>
      <c r="CB279" s="783"/>
    </row>
    <row r="280" spans="1:80">
      <c r="A280" s="774" t="s">
        <v>3199</v>
      </c>
      <c r="B280" s="727" t="s">
        <v>314</v>
      </c>
      <c r="C280" s="728" t="s">
        <v>314</v>
      </c>
      <c r="D280" s="728" t="s">
        <v>307</v>
      </c>
      <c r="E280" s="728" t="s">
        <v>2648</v>
      </c>
      <c r="F280" s="728" t="s">
        <v>312</v>
      </c>
      <c r="G280" s="644" t="str">
        <f>VLOOKUP(WWWW[[#This Row],[Village  Name]],SiteDB6[[Site Name]:[Location Type]],8,FALSE)</f>
        <v>Village</v>
      </c>
      <c r="H280" s="728" t="s">
        <v>2599</v>
      </c>
      <c r="I280" s="775">
        <v>37</v>
      </c>
      <c r="J280" s="775">
        <v>119</v>
      </c>
      <c r="K280" s="784">
        <v>42736</v>
      </c>
      <c r="L280" s="785">
        <v>44551</v>
      </c>
      <c r="M280" s="775"/>
      <c r="N280" s="775"/>
      <c r="O280" s="773">
        <v>12</v>
      </c>
      <c r="P280" s="775">
        <v>208</v>
      </c>
      <c r="Q280" s="775">
        <v>3</v>
      </c>
      <c r="R280" s="775"/>
      <c r="S280" s="775"/>
      <c r="T280" s="775"/>
      <c r="U280" s="776"/>
      <c r="V280" s="775">
        <v>255</v>
      </c>
      <c r="W280" s="775" t="s">
        <v>130</v>
      </c>
      <c r="X280" s="775"/>
      <c r="Y280" s="775"/>
      <c r="Z280" s="775"/>
      <c r="AA280" s="775"/>
      <c r="AB280" s="775"/>
      <c r="AC280" s="776"/>
      <c r="AD280" s="775"/>
      <c r="AE280" s="775"/>
      <c r="AF280" s="775"/>
      <c r="AG280" s="775"/>
      <c r="AH280" s="775"/>
      <c r="AI280" s="775"/>
      <c r="AJ280" s="773"/>
      <c r="AK280" s="775"/>
      <c r="AL280" s="773"/>
      <c r="AM280" s="773"/>
      <c r="AN280" s="776"/>
      <c r="AO280" s="769"/>
      <c r="AP280" s="769"/>
      <c r="AQ280" s="773"/>
      <c r="AR280" s="773"/>
      <c r="AS280" s="773"/>
      <c r="AT28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80" s="779">
        <f>WWWW[[#This Row],[%Equitable and continuous access to sufficient quantity of safe drinking water]]*WWWW[[#This Row],[Total PoP ]]</f>
        <v>119</v>
      </c>
      <c r="AV28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80" s="779">
        <f>WWWW[[#This Row],[% Access to unimproved water points]]*WWWW[[#This Row],[Total PoP ]]</f>
        <v>119</v>
      </c>
      <c r="AX28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8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119</v>
      </c>
      <c r="AZ280" s="779">
        <f>WWWW[[#This Row],[HRP1]]/250</f>
        <v>0.47599999999999998</v>
      </c>
      <c r="BA280" s="780">
        <f>1-WWWW[[#This Row],[% Equitable and continuous access to sufficient quantity of domestic water]]</f>
        <v>0</v>
      </c>
      <c r="BB280" s="779">
        <f>WWWW[[#This Row],[%equitable and continuous access to sufficient quantity of safe drinking and domestic water''s GAP]]*WWWW[[#This Row],[Total PoP ]]</f>
        <v>0</v>
      </c>
      <c r="BC280" s="781">
        <f>IF(WWWW[[#This Row],[Total required water points]]-WWWW[[#This Row],['#Water points coverage]]&lt;0,0,WWWW[[#This Row],[Total required water points]]-WWWW[[#This Row],['#Water points coverage]])</f>
        <v>0.52400000000000002</v>
      </c>
      <c r="BD280" s="781">
        <f>ROUND(IF(WWWW[[#This Row],[Total PoP ]]&lt;250,1,WWWW[[#This Row],[Total PoP ]]/250),0)</f>
        <v>1</v>
      </c>
      <c r="BE28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80" s="779">
        <f>WWWW[[#This Row],[% people access to functioning Latrine]]*WWWW[[#This Row],[Total PoP ]]</f>
        <v>119</v>
      </c>
      <c r="BG280" s="781">
        <f>WWWW[[#This Row],['#_of_Functioning_latrines_in_school]]*50</f>
        <v>0</v>
      </c>
      <c r="BH280" s="781">
        <f>ROUND((WWWW[[#This Row],[Total PoP ]]/6),0)</f>
        <v>20</v>
      </c>
      <c r="BI280" s="781">
        <f>IF(WWWW[[#This Row],[Total required Latrines]]-(WWWW[[#This Row],['#_of_sanitary_fly-proof_HH_latrines]])&lt;0,0,WWWW[[#This Row],[Total required Latrines]]-(WWWW[[#This Row],['#_of_sanitary_fly-proof_HH_latrines]]))</f>
        <v>0</v>
      </c>
      <c r="BJ280" s="778">
        <f>1-WWWW[[#This Row],[% people access to functioning Latrine]]</f>
        <v>0</v>
      </c>
      <c r="BK28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0" s="772">
        <f>IF(WWWW[[#This Row],['#_of_functional_handwashing_facilities_at_HH_level]]*6&gt;WWWW[[#This Row],[Total PoP ]],WWWW[[#This Row],[Total PoP ]],WWWW[[#This Row],['#_of_functional_handwashing_facilities_at_HH_level]]*6)</f>
        <v>0</v>
      </c>
      <c r="BM280" s="781">
        <f>IF(WWWW[[#This Row],['# people reached by regular dedicated hygiene promotion]]&gt;WWWW[[#This Row],['# People received regular supply of hygiene items]],WWWW[[#This Row],['# people reached by regular dedicated hygiene promotion]],WWWW[[#This Row],['# People received regular supply of hygiene items]])</f>
        <v>0</v>
      </c>
      <c r="BN280" s="780">
        <f>IF(WWWW[[#This Row],[HRP3]]/WWWW[[#This Row],[Total PoP ]]&gt;100%,100%,WWWW[[#This Row],[HRP3]]/WWWW[[#This Row],[Total PoP ]])</f>
        <v>0</v>
      </c>
      <c r="BO280" s="778">
        <f>1-WWWW[[#This Row],[Hygiene Coverage%]]</f>
        <v>1</v>
      </c>
      <c r="BP280" s="777">
        <f>WWWW[[#This Row],['# people reached by regular dedicated hygiene promotion]]/WWWW[[#This Row],[Total PoP ]]</f>
        <v>0</v>
      </c>
      <c r="BQ28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0" s="770">
        <f>WWWW[[#This Row],['#_of_affected_women_and_girls_receiving_a_sufficient_quantity_of_sanitary_pads]]</f>
        <v>0</v>
      </c>
      <c r="BS280" s="773">
        <f>IF(WWWW[[#This Row],['# People with access to soap]]&gt;WWWW[[#This Row],['# People with access to Sanity Pads]],WWWW[[#This Row],['# People with access to soap]],WWWW[[#This Row],['# People with access to Sanity Pads]])</f>
        <v>0</v>
      </c>
      <c r="BT280" s="772" t="str">
        <f>IF(OR(WWWW[[#This Row],['#of students in school]]="",WWWW[[#This Row],['#of students in school]]=0),"No","Yes")</f>
        <v>No</v>
      </c>
      <c r="BU280" s="782" t="str">
        <f>VLOOKUP(WWWW[[#This Row],[Village  Name]],SiteDB6[[Site Name]:[Location Type 1]],9,FALSE)</f>
        <v>Village</v>
      </c>
      <c r="BV280" s="782" t="str">
        <f>VLOOKUP(WWWW[[#This Row],[Village  Name]],SiteDB6[[Site Name]:[Type of Accommodation]],10,FALSE)</f>
        <v>Village</v>
      </c>
      <c r="BW280" s="782">
        <f>VLOOKUP(WWWW[[#This Row],[Village  Name]],SiteDB6[[Site Name]:[Ethnic or GCA/NGCA]],11,FALSE)</f>
        <v>0</v>
      </c>
      <c r="BX280" s="782">
        <f>VLOOKUP(WWWW[[#This Row],[Village  Name]],SiteDB6[[Site Name]:[Lat]],12,FALSE)</f>
        <v>20.428560256958001</v>
      </c>
      <c r="BY280" s="782">
        <f>VLOOKUP(WWWW[[#This Row],[Village  Name]],SiteDB6[[Site Name]:[Long]],13,FALSE)</f>
        <v>93.305938720703097</v>
      </c>
      <c r="BZ280" s="782">
        <f>VLOOKUP(WWWW[[#This Row],[Village  Name]],SiteDB6[[Site Name]:[Pcode]],3,FALSE)</f>
        <v>197027</v>
      </c>
      <c r="CA280" s="782" t="str">
        <f t="shared" si="18"/>
        <v>Covered</v>
      </c>
      <c r="CB280" s="783"/>
    </row>
    <row r="281" spans="1:80">
      <c r="A281" s="774" t="s">
        <v>3199</v>
      </c>
      <c r="B281" s="727" t="s">
        <v>314</v>
      </c>
      <c r="C281" s="728" t="s">
        <v>314</v>
      </c>
      <c r="D281" s="728" t="s">
        <v>307</v>
      </c>
      <c r="E281" s="728" t="s">
        <v>2648</v>
      </c>
      <c r="F281" s="728" t="s">
        <v>312</v>
      </c>
      <c r="G281" s="644" t="str">
        <f>VLOOKUP(WWWW[[#This Row],[Village  Name]],SiteDB6[[Site Name]:[Location Type]],8,FALSE)</f>
        <v>Village</v>
      </c>
      <c r="H281" s="728" t="s">
        <v>2600</v>
      </c>
      <c r="I281" s="775">
        <v>167</v>
      </c>
      <c r="J281" s="775">
        <v>1027</v>
      </c>
      <c r="K281" s="784">
        <v>42736</v>
      </c>
      <c r="L281" s="785">
        <v>44551</v>
      </c>
      <c r="M281" s="775"/>
      <c r="N281" s="775"/>
      <c r="O281" s="773">
        <v>6</v>
      </c>
      <c r="P281" s="775">
        <v>49</v>
      </c>
      <c r="Q281" s="775">
        <v>2</v>
      </c>
      <c r="R281" s="775"/>
      <c r="S281" s="775"/>
      <c r="T281" s="775"/>
      <c r="U281" s="776"/>
      <c r="V281" s="775">
        <v>66</v>
      </c>
      <c r="W281" s="775" t="s">
        <v>130</v>
      </c>
      <c r="X281" s="775"/>
      <c r="Y281" s="775"/>
      <c r="Z281" s="775"/>
      <c r="AA281" s="775"/>
      <c r="AB281" s="775"/>
      <c r="AC281" s="776"/>
      <c r="AD281" s="775"/>
      <c r="AE281" s="775"/>
      <c r="AF281" s="775"/>
      <c r="AG281" s="775"/>
      <c r="AH281" s="775"/>
      <c r="AI281" s="775"/>
      <c r="AJ281" s="773"/>
      <c r="AK281" s="775"/>
      <c r="AL281" s="773"/>
      <c r="AM281" s="773"/>
      <c r="AN281" s="776"/>
      <c r="AO281" s="769"/>
      <c r="AP281" s="769"/>
      <c r="AQ281" s="773"/>
      <c r="AR281" s="773"/>
      <c r="AS281" s="773"/>
      <c r="AT28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81" s="779">
        <f>WWWW[[#This Row],[%Equitable and continuous access to sufficient quantity of safe drinking water]]*WWWW[[#This Row],[Total PoP ]]</f>
        <v>1027</v>
      </c>
      <c r="AV28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81" s="779">
        <f>WWWW[[#This Row],[% Access to unimproved water points]]*WWWW[[#This Row],[Total PoP ]]</f>
        <v>1027</v>
      </c>
      <c r="AX28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8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1027</v>
      </c>
      <c r="AZ281" s="779">
        <f>WWWW[[#This Row],[HRP1]]/250</f>
        <v>4.1079999999999997</v>
      </c>
      <c r="BA281" s="780">
        <f>1-WWWW[[#This Row],[% Equitable and continuous access to sufficient quantity of domestic water]]</f>
        <v>0</v>
      </c>
      <c r="BB281" s="779">
        <f>WWWW[[#This Row],[%equitable and continuous access to sufficient quantity of safe drinking and domestic water''s GAP]]*WWWW[[#This Row],[Total PoP ]]</f>
        <v>0</v>
      </c>
      <c r="BC281" s="781">
        <f>IF(WWWW[[#This Row],[Total required water points]]-WWWW[[#This Row],['#Water points coverage]]&lt;0,0,WWWW[[#This Row],[Total required water points]]-WWWW[[#This Row],['#Water points coverage]])</f>
        <v>0</v>
      </c>
      <c r="BD281" s="781">
        <f>ROUND(IF(WWWW[[#This Row],[Total PoP ]]&lt;250,1,WWWW[[#This Row],[Total PoP ]]/250),0)</f>
        <v>4</v>
      </c>
      <c r="BE28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0.38558909444985395</v>
      </c>
      <c r="BF281" s="779">
        <f>WWWW[[#This Row],[% people access to functioning Latrine]]*WWWW[[#This Row],[Total PoP ]]</f>
        <v>396</v>
      </c>
      <c r="BG281" s="781">
        <f>WWWW[[#This Row],['#_of_Functioning_latrines_in_school]]*50</f>
        <v>0</v>
      </c>
      <c r="BH281" s="781">
        <f>ROUND((WWWW[[#This Row],[Total PoP ]]/6),0)</f>
        <v>171</v>
      </c>
      <c r="BI281" s="781">
        <f>IF(WWWW[[#This Row],[Total required Latrines]]-(WWWW[[#This Row],['#_of_sanitary_fly-proof_HH_latrines]])&lt;0,0,WWWW[[#This Row],[Total required Latrines]]-(WWWW[[#This Row],['#_of_sanitary_fly-proof_HH_latrines]]))</f>
        <v>105</v>
      </c>
      <c r="BJ281" s="778">
        <f>1-WWWW[[#This Row],[% people access to functioning Latrine]]</f>
        <v>0.6144109055501461</v>
      </c>
      <c r="BK28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1" s="772">
        <f>IF(WWWW[[#This Row],['#_of_functional_handwashing_facilities_at_HH_level]]*6&gt;WWWW[[#This Row],[Total PoP ]],WWWW[[#This Row],[Total PoP ]],WWWW[[#This Row],['#_of_functional_handwashing_facilities_at_HH_level]]*6)</f>
        <v>0</v>
      </c>
      <c r="BM281" s="781">
        <f>IF(WWWW[[#This Row],['# people reached by regular dedicated hygiene promotion]]&gt;WWWW[[#This Row],['# People received regular supply of hygiene items]],WWWW[[#This Row],['# people reached by regular dedicated hygiene promotion]],WWWW[[#This Row],['# People received regular supply of hygiene items]])</f>
        <v>0</v>
      </c>
      <c r="BN281" s="780">
        <f>IF(WWWW[[#This Row],[HRP3]]/WWWW[[#This Row],[Total PoP ]]&gt;100%,100%,WWWW[[#This Row],[HRP3]]/WWWW[[#This Row],[Total PoP ]])</f>
        <v>0</v>
      </c>
      <c r="BO281" s="778">
        <f>1-WWWW[[#This Row],[Hygiene Coverage%]]</f>
        <v>1</v>
      </c>
      <c r="BP281" s="777">
        <f>WWWW[[#This Row],['# people reached by regular dedicated hygiene promotion]]/WWWW[[#This Row],[Total PoP ]]</f>
        <v>0</v>
      </c>
      <c r="BQ28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1" s="770">
        <f>WWWW[[#This Row],['#_of_affected_women_and_girls_receiving_a_sufficient_quantity_of_sanitary_pads]]</f>
        <v>0</v>
      </c>
      <c r="BS281" s="773">
        <f>IF(WWWW[[#This Row],['# People with access to soap]]&gt;WWWW[[#This Row],['# People with access to Sanity Pads]],WWWW[[#This Row],['# People with access to soap]],WWWW[[#This Row],['# People with access to Sanity Pads]])</f>
        <v>0</v>
      </c>
      <c r="BT281" s="772" t="str">
        <f>IF(OR(WWWW[[#This Row],['#of students in school]]="",WWWW[[#This Row],['#of students in school]]=0),"No","Yes")</f>
        <v>No</v>
      </c>
      <c r="BU281" s="782" t="str">
        <f>VLOOKUP(WWWW[[#This Row],[Village  Name]],SiteDB6[[Site Name]:[Location Type 1]],9,FALSE)</f>
        <v>Village</v>
      </c>
      <c r="BV281" s="782" t="str">
        <f>VLOOKUP(WWWW[[#This Row],[Village  Name]],SiteDB6[[Site Name]:[Type of Accommodation]],10,FALSE)</f>
        <v>Village</v>
      </c>
      <c r="BW281" s="782">
        <f>VLOOKUP(WWWW[[#This Row],[Village  Name]],SiteDB6[[Site Name]:[Ethnic or GCA/NGCA]],11,FALSE)</f>
        <v>0</v>
      </c>
      <c r="BX281" s="782">
        <f>VLOOKUP(WWWW[[#This Row],[Village  Name]],SiteDB6[[Site Name]:[Lat]],12,FALSE)</f>
        <v>20.4226398468018</v>
      </c>
      <c r="BY281" s="782">
        <f>VLOOKUP(WWWW[[#This Row],[Village  Name]],SiteDB6[[Site Name]:[Long]],13,FALSE)</f>
        <v>93.307182312011705</v>
      </c>
      <c r="BZ281" s="782">
        <f>VLOOKUP(WWWW[[#This Row],[Village  Name]],SiteDB6[[Site Name]:[Pcode]],3,FALSE)</f>
        <v>197028</v>
      </c>
      <c r="CA281" s="782" t="str">
        <f t="shared" si="18"/>
        <v>Covered</v>
      </c>
      <c r="CB281" s="783"/>
    </row>
    <row r="282" spans="1:80">
      <c r="A282" s="774" t="s">
        <v>3199</v>
      </c>
      <c r="B282" s="727" t="s">
        <v>314</v>
      </c>
      <c r="C282" s="728" t="s">
        <v>314</v>
      </c>
      <c r="D282" s="728" t="s">
        <v>307</v>
      </c>
      <c r="E282" s="728" t="s">
        <v>2648</v>
      </c>
      <c r="F282" s="728" t="s">
        <v>312</v>
      </c>
      <c r="G282" s="644" t="str">
        <f>VLOOKUP(WWWW[[#This Row],[Village  Name]],SiteDB6[[Site Name]:[Location Type]],8,FALSE)</f>
        <v>Village</v>
      </c>
      <c r="H282" s="728" t="s">
        <v>2601</v>
      </c>
      <c r="I282" s="775">
        <v>90</v>
      </c>
      <c r="J282" s="775">
        <v>414</v>
      </c>
      <c r="K282" s="784">
        <v>42736</v>
      </c>
      <c r="L282" s="785">
        <v>44551</v>
      </c>
      <c r="M282" s="775"/>
      <c r="N282" s="775"/>
      <c r="O282" s="773">
        <v>0</v>
      </c>
      <c r="P282" s="775">
        <v>9</v>
      </c>
      <c r="Q282" s="775">
        <v>1</v>
      </c>
      <c r="R282" s="775"/>
      <c r="S282" s="775"/>
      <c r="T282" s="775"/>
      <c r="U282" s="776"/>
      <c r="V282" s="775">
        <v>12</v>
      </c>
      <c r="W282" s="775" t="s">
        <v>130</v>
      </c>
      <c r="X282" s="775"/>
      <c r="Y282" s="775"/>
      <c r="Z282" s="775"/>
      <c r="AA282" s="775"/>
      <c r="AB282" s="775"/>
      <c r="AC282" s="776"/>
      <c r="AD282" s="775"/>
      <c r="AE282" s="775"/>
      <c r="AF282" s="775"/>
      <c r="AG282" s="775"/>
      <c r="AH282" s="775"/>
      <c r="AI282" s="775"/>
      <c r="AJ282" s="773"/>
      <c r="AK282" s="775"/>
      <c r="AL282" s="773"/>
      <c r="AM282" s="773"/>
      <c r="AN282" s="776"/>
      <c r="AO282" s="769"/>
      <c r="AP282" s="769"/>
      <c r="AQ282" s="773"/>
      <c r="AR282" s="773"/>
      <c r="AS282" s="773"/>
      <c r="AT28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82" s="779">
        <f>WWWW[[#This Row],[%Equitable and continuous access to sufficient quantity of safe drinking water]]*WWWW[[#This Row],[Total PoP ]]</f>
        <v>414</v>
      </c>
      <c r="AV28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82" s="779">
        <f>WWWW[[#This Row],[% Access to unimproved water points]]*WWWW[[#This Row],[Total PoP ]]</f>
        <v>414</v>
      </c>
      <c r="AX28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8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414</v>
      </c>
      <c r="AZ282" s="779">
        <f>WWWW[[#This Row],[HRP1]]/250</f>
        <v>1.6559999999999999</v>
      </c>
      <c r="BA282" s="780">
        <f>1-WWWW[[#This Row],[% Equitable and continuous access to sufficient quantity of domestic water]]</f>
        <v>0</v>
      </c>
      <c r="BB282" s="779">
        <f>WWWW[[#This Row],[%equitable and continuous access to sufficient quantity of safe drinking and domestic water''s GAP]]*WWWW[[#This Row],[Total PoP ]]</f>
        <v>0</v>
      </c>
      <c r="BC282" s="781">
        <f>IF(WWWW[[#This Row],[Total required water points]]-WWWW[[#This Row],['#Water points coverage]]&lt;0,0,WWWW[[#This Row],[Total required water points]]-WWWW[[#This Row],['#Water points coverage]])</f>
        <v>0.34400000000000008</v>
      </c>
      <c r="BD282" s="781">
        <f>ROUND(IF(WWWW[[#This Row],[Total PoP ]]&lt;250,1,WWWW[[#This Row],[Total PoP ]]/250),0)</f>
        <v>2</v>
      </c>
      <c r="BE28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0.17391304347826086</v>
      </c>
      <c r="BF282" s="779">
        <f>WWWW[[#This Row],[% people access to functioning Latrine]]*WWWW[[#This Row],[Total PoP ]]</f>
        <v>72</v>
      </c>
      <c r="BG282" s="781">
        <f>WWWW[[#This Row],['#_of_Functioning_latrines_in_school]]*50</f>
        <v>0</v>
      </c>
      <c r="BH282" s="781">
        <f>ROUND((WWWW[[#This Row],[Total PoP ]]/6),0)</f>
        <v>69</v>
      </c>
      <c r="BI282" s="781">
        <f>IF(WWWW[[#This Row],[Total required Latrines]]-(WWWW[[#This Row],['#_of_sanitary_fly-proof_HH_latrines]])&lt;0,0,WWWW[[#This Row],[Total required Latrines]]-(WWWW[[#This Row],['#_of_sanitary_fly-proof_HH_latrines]]))</f>
        <v>57</v>
      </c>
      <c r="BJ282" s="778">
        <f>1-WWWW[[#This Row],[% people access to functioning Latrine]]</f>
        <v>0.82608695652173914</v>
      </c>
      <c r="BK28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2" s="772">
        <f>IF(WWWW[[#This Row],['#_of_functional_handwashing_facilities_at_HH_level]]*6&gt;WWWW[[#This Row],[Total PoP ]],WWWW[[#This Row],[Total PoP ]],WWWW[[#This Row],['#_of_functional_handwashing_facilities_at_HH_level]]*6)</f>
        <v>0</v>
      </c>
      <c r="BM282" s="781">
        <f>IF(WWWW[[#This Row],['# people reached by regular dedicated hygiene promotion]]&gt;WWWW[[#This Row],['# People received regular supply of hygiene items]],WWWW[[#This Row],['# people reached by regular dedicated hygiene promotion]],WWWW[[#This Row],['# People received regular supply of hygiene items]])</f>
        <v>0</v>
      </c>
      <c r="BN282" s="780">
        <f>IF(WWWW[[#This Row],[HRP3]]/WWWW[[#This Row],[Total PoP ]]&gt;100%,100%,WWWW[[#This Row],[HRP3]]/WWWW[[#This Row],[Total PoP ]])</f>
        <v>0</v>
      </c>
      <c r="BO282" s="778">
        <f>1-WWWW[[#This Row],[Hygiene Coverage%]]</f>
        <v>1</v>
      </c>
      <c r="BP282" s="777">
        <f>WWWW[[#This Row],['# people reached by regular dedicated hygiene promotion]]/WWWW[[#This Row],[Total PoP ]]</f>
        <v>0</v>
      </c>
      <c r="BQ28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2" s="770">
        <f>WWWW[[#This Row],['#_of_affected_women_and_girls_receiving_a_sufficient_quantity_of_sanitary_pads]]</f>
        <v>0</v>
      </c>
      <c r="BS282" s="773">
        <f>IF(WWWW[[#This Row],['# People with access to soap]]&gt;WWWW[[#This Row],['# People with access to Sanity Pads]],WWWW[[#This Row],['# People with access to soap]],WWWW[[#This Row],['# People with access to Sanity Pads]])</f>
        <v>0</v>
      </c>
      <c r="BT282" s="772" t="str">
        <f>IF(OR(WWWW[[#This Row],['#of students in school]]="",WWWW[[#This Row],['#of students in school]]=0),"No","Yes")</f>
        <v>No</v>
      </c>
      <c r="BU282" s="782" t="str">
        <f>VLOOKUP(WWWW[[#This Row],[Village  Name]],SiteDB6[[Site Name]:[Location Type 1]],9,FALSE)</f>
        <v>Village</v>
      </c>
      <c r="BV282" s="782" t="str">
        <f>VLOOKUP(WWWW[[#This Row],[Village  Name]],SiteDB6[[Site Name]:[Type of Accommodation]],10,FALSE)</f>
        <v>Village</v>
      </c>
      <c r="BW282" s="782">
        <f>VLOOKUP(WWWW[[#This Row],[Village  Name]],SiteDB6[[Site Name]:[Ethnic or GCA/NGCA]],11,FALSE)</f>
        <v>0</v>
      </c>
      <c r="BX282" s="782">
        <f>VLOOKUP(WWWW[[#This Row],[Village  Name]],SiteDB6[[Site Name]:[Lat]],12,FALSE)</f>
        <v>20.437318801879901</v>
      </c>
      <c r="BY282" s="782">
        <f>VLOOKUP(WWWW[[#This Row],[Village  Name]],SiteDB6[[Site Name]:[Long]],13,FALSE)</f>
        <v>93.302917480468807</v>
      </c>
      <c r="BZ282" s="782">
        <f>VLOOKUP(WWWW[[#This Row],[Village  Name]],SiteDB6[[Site Name]:[Pcode]],3,FALSE)</f>
        <v>197034</v>
      </c>
      <c r="CA282" s="782" t="str">
        <f t="shared" si="18"/>
        <v>Covered</v>
      </c>
      <c r="CB282" s="783"/>
    </row>
    <row r="283" spans="1:80">
      <c r="A283" s="774" t="s">
        <v>3199</v>
      </c>
      <c r="B283" s="727" t="s">
        <v>314</v>
      </c>
      <c r="C283" s="728" t="s">
        <v>314</v>
      </c>
      <c r="D283" s="728" t="s">
        <v>307</v>
      </c>
      <c r="E283" s="728" t="s">
        <v>2648</v>
      </c>
      <c r="F283" s="728" t="s">
        <v>312</v>
      </c>
      <c r="G283" s="644" t="str">
        <f>VLOOKUP(WWWW[[#This Row],[Village  Name]],SiteDB6[[Site Name]:[Location Type]],8,FALSE)</f>
        <v>Village</v>
      </c>
      <c r="H283" s="728" t="s">
        <v>2602</v>
      </c>
      <c r="I283" s="775">
        <v>78</v>
      </c>
      <c r="J283" s="775">
        <v>308</v>
      </c>
      <c r="K283" s="784">
        <v>42736</v>
      </c>
      <c r="L283" s="785">
        <v>44551</v>
      </c>
      <c r="M283" s="775"/>
      <c r="N283" s="775"/>
      <c r="O283" s="773">
        <v>4</v>
      </c>
      <c r="P283" s="775">
        <v>46</v>
      </c>
      <c r="Q283" s="775">
        <v>2</v>
      </c>
      <c r="R283" s="775"/>
      <c r="S283" s="775"/>
      <c r="T283" s="775"/>
      <c r="U283" s="776"/>
      <c r="V283" s="775">
        <v>54</v>
      </c>
      <c r="W283" s="775" t="s">
        <v>130</v>
      </c>
      <c r="X283" s="775"/>
      <c r="Y283" s="775"/>
      <c r="Z283" s="775"/>
      <c r="AA283" s="775"/>
      <c r="AB283" s="775"/>
      <c r="AC283" s="776"/>
      <c r="AD283" s="775"/>
      <c r="AE283" s="775"/>
      <c r="AF283" s="775"/>
      <c r="AG283" s="775"/>
      <c r="AH283" s="775"/>
      <c r="AI283" s="775"/>
      <c r="AJ283" s="773"/>
      <c r="AK283" s="775"/>
      <c r="AL283" s="773"/>
      <c r="AM283" s="773"/>
      <c r="AN283" s="776"/>
      <c r="AO283" s="769"/>
      <c r="AP283" s="769"/>
      <c r="AQ283" s="773"/>
      <c r="AR283" s="773"/>
      <c r="AS283" s="773"/>
      <c r="AT28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83" s="779">
        <f>WWWW[[#This Row],[%Equitable and continuous access to sufficient quantity of safe drinking water]]*WWWW[[#This Row],[Total PoP ]]</f>
        <v>308</v>
      </c>
      <c r="AV28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83" s="779">
        <f>WWWW[[#This Row],[% Access to unimproved water points]]*WWWW[[#This Row],[Total PoP ]]</f>
        <v>308</v>
      </c>
      <c r="AX28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8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308</v>
      </c>
      <c r="AZ283" s="779">
        <f>WWWW[[#This Row],[HRP1]]/250</f>
        <v>1.232</v>
      </c>
      <c r="BA283" s="780">
        <f>1-WWWW[[#This Row],[% Equitable and continuous access to sufficient quantity of domestic water]]</f>
        <v>0</v>
      </c>
      <c r="BB283" s="779">
        <f>WWWW[[#This Row],[%equitable and continuous access to sufficient quantity of safe drinking and domestic water''s GAP]]*WWWW[[#This Row],[Total PoP ]]</f>
        <v>0</v>
      </c>
      <c r="BC283" s="781">
        <f>IF(WWWW[[#This Row],[Total required water points]]-WWWW[[#This Row],['#Water points coverage]]&lt;0,0,WWWW[[#This Row],[Total required water points]]-WWWW[[#This Row],['#Water points coverage]])</f>
        <v>0</v>
      </c>
      <c r="BD283" s="781">
        <f>ROUND(IF(WWWW[[#This Row],[Total PoP ]]&lt;250,1,WWWW[[#This Row],[Total PoP ]]/250),0)</f>
        <v>1</v>
      </c>
      <c r="BE28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83" s="779">
        <f>WWWW[[#This Row],[% people access to functioning Latrine]]*WWWW[[#This Row],[Total PoP ]]</f>
        <v>308</v>
      </c>
      <c r="BG283" s="781">
        <f>WWWW[[#This Row],['#_of_Functioning_latrines_in_school]]*50</f>
        <v>0</v>
      </c>
      <c r="BH283" s="781">
        <f>ROUND((WWWW[[#This Row],[Total PoP ]]/6),0)</f>
        <v>51</v>
      </c>
      <c r="BI283" s="781">
        <f>IF(WWWW[[#This Row],[Total required Latrines]]-(WWWW[[#This Row],['#_of_sanitary_fly-proof_HH_latrines]])&lt;0,0,WWWW[[#This Row],[Total required Latrines]]-(WWWW[[#This Row],['#_of_sanitary_fly-proof_HH_latrines]]))</f>
        <v>0</v>
      </c>
      <c r="BJ283" s="778">
        <f>1-WWWW[[#This Row],[% people access to functioning Latrine]]</f>
        <v>0</v>
      </c>
      <c r="BK28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3" s="772">
        <f>IF(WWWW[[#This Row],['#_of_functional_handwashing_facilities_at_HH_level]]*6&gt;WWWW[[#This Row],[Total PoP ]],WWWW[[#This Row],[Total PoP ]],WWWW[[#This Row],['#_of_functional_handwashing_facilities_at_HH_level]]*6)</f>
        <v>0</v>
      </c>
      <c r="BM283" s="781">
        <f>IF(WWWW[[#This Row],['# people reached by regular dedicated hygiene promotion]]&gt;WWWW[[#This Row],['# People received regular supply of hygiene items]],WWWW[[#This Row],['# people reached by regular dedicated hygiene promotion]],WWWW[[#This Row],['# People received regular supply of hygiene items]])</f>
        <v>0</v>
      </c>
      <c r="BN283" s="780">
        <f>IF(WWWW[[#This Row],[HRP3]]/WWWW[[#This Row],[Total PoP ]]&gt;100%,100%,WWWW[[#This Row],[HRP3]]/WWWW[[#This Row],[Total PoP ]])</f>
        <v>0</v>
      </c>
      <c r="BO283" s="778">
        <f>1-WWWW[[#This Row],[Hygiene Coverage%]]</f>
        <v>1</v>
      </c>
      <c r="BP283" s="777">
        <f>WWWW[[#This Row],['# people reached by regular dedicated hygiene promotion]]/WWWW[[#This Row],[Total PoP ]]</f>
        <v>0</v>
      </c>
      <c r="BQ28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3" s="770">
        <f>WWWW[[#This Row],['#_of_affected_women_and_girls_receiving_a_sufficient_quantity_of_sanitary_pads]]</f>
        <v>0</v>
      </c>
      <c r="BS283" s="773">
        <f>IF(WWWW[[#This Row],['# People with access to soap]]&gt;WWWW[[#This Row],['# People with access to Sanity Pads]],WWWW[[#This Row],['# People with access to soap]],WWWW[[#This Row],['# People with access to Sanity Pads]])</f>
        <v>0</v>
      </c>
      <c r="BT283" s="772" t="str">
        <f>IF(OR(WWWW[[#This Row],['#of students in school]]="",WWWW[[#This Row],['#of students in school]]=0),"No","Yes")</f>
        <v>No</v>
      </c>
      <c r="BU283" s="782" t="str">
        <f>VLOOKUP(WWWW[[#This Row],[Village  Name]],SiteDB6[[Site Name]:[Location Type 1]],9,FALSE)</f>
        <v>Village</v>
      </c>
      <c r="BV283" s="782" t="str">
        <f>VLOOKUP(WWWW[[#This Row],[Village  Name]],SiteDB6[[Site Name]:[Type of Accommodation]],10,FALSE)</f>
        <v>Village</v>
      </c>
      <c r="BW283" s="782">
        <f>VLOOKUP(WWWW[[#This Row],[Village  Name]],SiteDB6[[Site Name]:[Ethnic or GCA/NGCA]],11,FALSE)</f>
        <v>0</v>
      </c>
      <c r="BX283" s="782">
        <f>VLOOKUP(WWWW[[#This Row],[Village  Name]],SiteDB6[[Site Name]:[Lat]],12,FALSE)</f>
        <v>20.442419052123999</v>
      </c>
      <c r="BY283" s="782">
        <f>VLOOKUP(WWWW[[#This Row],[Village  Name]],SiteDB6[[Site Name]:[Long]],13,FALSE)</f>
        <v>93.300033569335895</v>
      </c>
      <c r="BZ283" s="782">
        <f>VLOOKUP(WWWW[[#This Row],[Village  Name]],SiteDB6[[Site Name]:[Pcode]],3,FALSE)</f>
        <v>197036</v>
      </c>
      <c r="CA283" s="782" t="str">
        <f t="shared" si="18"/>
        <v>Covered</v>
      </c>
      <c r="CB283" s="783"/>
    </row>
    <row r="284" spans="1:80">
      <c r="A284" s="774" t="s">
        <v>3199</v>
      </c>
      <c r="B284" s="727" t="s">
        <v>314</v>
      </c>
      <c r="C284" s="728" t="s">
        <v>314</v>
      </c>
      <c r="D284" s="728" t="s">
        <v>307</v>
      </c>
      <c r="E284" s="728" t="s">
        <v>2648</v>
      </c>
      <c r="F284" s="728" t="s">
        <v>312</v>
      </c>
      <c r="G284" s="644" t="str">
        <f>VLOOKUP(WWWW[[#This Row],[Village  Name]],SiteDB6[[Site Name]:[Location Type]],8,FALSE)</f>
        <v>Village</v>
      </c>
      <c r="H284" s="728" t="s">
        <v>2603</v>
      </c>
      <c r="I284" s="775">
        <v>85</v>
      </c>
      <c r="J284" s="775">
        <v>413</v>
      </c>
      <c r="K284" s="784">
        <v>42736</v>
      </c>
      <c r="L284" s="785">
        <v>44551</v>
      </c>
      <c r="M284" s="775"/>
      <c r="N284" s="775"/>
      <c r="O284" s="773">
        <v>0</v>
      </c>
      <c r="P284" s="775">
        <v>23</v>
      </c>
      <c r="Q284" s="775">
        <v>1</v>
      </c>
      <c r="R284" s="775"/>
      <c r="S284" s="775"/>
      <c r="T284" s="775"/>
      <c r="U284" s="776"/>
      <c r="V284" s="775">
        <v>27</v>
      </c>
      <c r="W284" s="775" t="s">
        <v>130</v>
      </c>
      <c r="X284" s="775"/>
      <c r="Y284" s="775"/>
      <c r="Z284" s="775"/>
      <c r="AA284" s="775"/>
      <c r="AB284" s="775"/>
      <c r="AC284" s="776"/>
      <c r="AD284" s="775"/>
      <c r="AE284" s="775"/>
      <c r="AF284" s="775"/>
      <c r="AG284" s="775"/>
      <c r="AH284" s="775"/>
      <c r="AI284" s="775"/>
      <c r="AJ284" s="773"/>
      <c r="AK284" s="775"/>
      <c r="AL284" s="773"/>
      <c r="AM284" s="773"/>
      <c r="AN284" s="776"/>
      <c r="AO284" s="769"/>
      <c r="AP284" s="769"/>
      <c r="AQ284" s="773"/>
      <c r="AR284" s="773"/>
      <c r="AS284" s="773"/>
      <c r="AT28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84" s="779">
        <f>WWWW[[#This Row],[%Equitable and continuous access to sufficient quantity of safe drinking water]]*WWWW[[#This Row],[Total PoP ]]</f>
        <v>413</v>
      </c>
      <c r="AV28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84" s="779">
        <f>WWWW[[#This Row],[% Access to unimproved water points]]*WWWW[[#This Row],[Total PoP ]]</f>
        <v>413</v>
      </c>
      <c r="AX28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8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413</v>
      </c>
      <c r="AZ284" s="779">
        <f>WWWW[[#This Row],[HRP1]]/250</f>
        <v>1.6519999999999999</v>
      </c>
      <c r="BA284" s="780">
        <f>1-WWWW[[#This Row],[% Equitable and continuous access to sufficient quantity of domestic water]]</f>
        <v>0</v>
      </c>
      <c r="BB284" s="779">
        <f>WWWW[[#This Row],[%equitable and continuous access to sufficient quantity of safe drinking and domestic water''s GAP]]*WWWW[[#This Row],[Total PoP ]]</f>
        <v>0</v>
      </c>
      <c r="BC284" s="781">
        <f>IF(WWWW[[#This Row],[Total required water points]]-WWWW[[#This Row],['#Water points coverage]]&lt;0,0,WWWW[[#This Row],[Total required water points]]-WWWW[[#This Row],['#Water points coverage]])</f>
        <v>0.34800000000000009</v>
      </c>
      <c r="BD284" s="781">
        <f>ROUND(IF(WWWW[[#This Row],[Total PoP ]]&lt;250,1,WWWW[[#This Row],[Total PoP ]]/250),0)</f>
        <v>2</v>
      </c>
      <c r="BE28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0.39225181598062953</v>
      </c>
      <c r="BF284" s="779">
        <f>WWWW[[#This Row],[% people access to functioning Latrine]]*WWWW[[#This Row],[Total PoP ]]</f>
        <v>162</v>
      </c>
      <c r="BG284" s="781">
        <f>WWWW[[#This Row],['#_of_Functioning_latrines_in_school]]*50</f>
        <v>0</v>
      </c>
      <c r="BH284" s="781">
        <f>ROUND((WWWW[[#This Row],[Total PoP ]]/6),0)</f>
        <v>69</v>
      </c>
      <c r="BI284" s="781">
        <f>IF(WWWW[[#This Row],[Total required Latrines]]-(WWWW[[#This Row],['#_of_sanitary_fly-proof_HH_latrines]])&lt;0,0,WWWW[[#This Row],[Total required Latrines]]-(WWWW[[#This Row],['#_of_sanitary_fly-proof_HH_latrines]]))</f>
        <v>42</v>
      </c>
      <c r="BJ284" s="778">
        <f>1-WWWW[[#This Row],[% people access to functioning Latrine]]</f>
        <v>0.60774818401937047</v>
      </c>
      <c r="BK28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4" s="772">
        <f>IF(WWWW[[#This Row],['#_of_functional_handwashing_facilities_at_HH_level]]*6&gt;WWWW[[#This Row],[Total PoP ]],WWWW[[#This Row],[Total PoP ]],WWWW[[#This Row],['#_of_functional_handwashing_facilities_at_HH_level]]*6)</f>
        <v>0</v>
      </c>
      <c r="BM284" s="781">
        <f>IF(WWWW[[#This Row],['# people reached by regular dedicated hygiene promotion]]&gt;WWWW[[#This Row],['# People received regular supply of hygiene items]],WWWW[[#This Row],['# people reached by regular dedicated hygiene promotion]],WWWW[[#This Row],['# People received regular supply of hygiene items]])</f>
        <v>0</v>
      </c>
      <c r="BN284" s="780">
        <f>IF(WWWW[[#This Row],[HRP3]]/WWWW[[#This Row],[Total PoP ]]&gt;100%,100%,WWWW[[#This Row],[HRP3]]/WWWW[[#This Row],[Total PoP ]])</f>
        <v>0</v>
      </c>
      <c r="BO284" s="778">
        <f>1-WWWW[[#This Row],[Hygiene Coverage%]]</f>
        <v>1</v>
      </c>
      <c r="BP284" s="777">
        <f>WWWW[[#This Row],['# people reached by regular dedicated hygiene promotion]]/WWWW[[#This Row],[Total PoP ]]</f>
        <v>0</v>
      </c>
      <c r="BQ28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4" s="770">
        <f>WWWW[[#This Row],['#_of_affected_women_and_girls_receiving_a_sufficient_quantity_of_sanitary_pads]]</f>
        <v>0</v>
      </c>
      <c r="BS284" s="773">
        <f>IF(WWWW[[#This Row],['# People with access to soap]]&gt;WWWW[[#This Row],['# People with access to Sanity Pads]],WWWW[[#This Row],['# People with access to soap]],WWWW[[#This Row],['# People with access to Sanity Pads]])</f>
        <v>0</v>
      </c>
      <c r="BT284" s="772" t="str">
        <f>IF(OR(WWWW[[#This Row],['#of students in school]]="",WWWW[[#This Row],['#of students in school]]=0),"No","Yes")</f>
        <v>No</v>
      </c>
      <c r="BU284" s="782" t="str">
        <f>VLOOKUP(WWWW[[#This Row],[Village  Name]],SiteDB6[[Site Name]:[Location Type 1]],9,FALSE)</f>
        <v>Village</v>
      </c>
      <c r="BV284" s="782" t="str">
        <f>VLOOKUP(WWWW[[#This Row],[Village  Name]],SiteDB6[[Site Name]:[Type of Accommodation]],10,FALSE)</f>
        <v>Village</v>
      </c>
      <c r="BW284" s="782">
        <f>VLOOKUP(WWWW[[#This Row],[Village  Name]],SiteDB6[[Site Name]:[Ethnic or GCA/NGCA]],11,FALSE)</f>
        <v>0</v>
      </c>
      <c r="BX284" s="782">
        <f>VLOOKUP(WWWW[[#This Row],[Village  Name]],SiteDB6[[Site Name]:[Lat]],12,FALSE)</f>
        <v>20.430749893188501</v>
      </c>
      <c r="BY284" s="782">
        <f>VLOOKUP(WWWW[[#This Row],[Village  Name]],SiteDB6[[Site Name]:[Long]],13,FALSE)</f>
        <v>93.304450988769503</v>
      </c>
      <c r="BZ284" s="782">
        <f>VLOOKUP(WWWW[[#This Row],[Village  Name]],SiteDB6[[Site Name]:[Pcode]],3,FALSE)</f>
        <v>197033</v>
      </c>
      <c r="CA284" s="782" t="str">
        <f t="shared" si="18"/>
        <v>Covered</v>
      </c>
      <c r="CB284" s="783"/>
    </row>
    <row r="285" spans="1:80">
      <c r="A285" s="774" t="s">
        <v>3199</v>
      </c>
      <c r="B285" s="727" t="s">
        <v>314</v>
      </c>
      <c r="C285" s="728" t="s">
        <v>314</v>
      </c>
      <c r="D285" s="728" t="s">
        <v>307</v>
      </c>
      <c r="E285" s="728" t="s">
        <v>2648</v>
      </c>
      <c r="F285" s="728" t="s">
        <v>312</v>
      </c>
      <c r="G285" s="644" t="str">
        <f>VLOOKUP(WWWW[[#This Row],[Village  Name]],SiteDB6[[Site Name]:[Location Type]],8,FALSE)</f>
        <v>Village</v>
      </c>
      <c r="H285" s="728" t="s">
        <v>2604</v>
      </c>
      <c r="I285" s="775">
        <v>353</v>
      </c>
      <c r="J285" s="775">
        <v>2111</v>
      </c>
      <c r="K285" s="784">
        <v>42736</v>
      </c>
      <c r="L285" s="785">
        <v>44551</v>
      </c>
      <c r="M285" s="775"/>
      <c r="N285" s="775"/>
      <c r="O285" s="773">
        <v>3</v>
      </c>
      <c r="P285" s="775">
        <v>87</v>
      </c>
      <c r="Q285" s="775">
        <v>2</v>
      </c>
      <c r="R285" s="775"/>
      <c r="S285" s="775"/>
      <c r="T285" s="775"/>
      <c r="U285" s="776"/>
      <c r="V285" s="775">
        <v>83</v>
      </c>
      <c r="W285" s="775" t="s">
        <v>130</v>
      </c>
      <c r="X285" s="775"/>
      <c r="Y285" s="775"/>
      <c r="Z285" s="775"/>
      <c r="AA285" s="775"/>
      <c r="AB285" s="775"/>
      <c r="AC285" s="776"/>
      <c r="AD285" s="775"/>
      <c r="AE285" s="775"/>
      <c r="AF285" s="775"/>
      <c r="AG285" s="775"/>
      <c r="AH285" s="775"/>
      <c r="AI285" s="775"/>
      <c r="AJ285" s="773"/>
      <c r="AK285" s="775"/>
      <c r="AL285" s="773"/>
      <c r="AM285" s="773"/>
      <c r="AN285" s="776"/>
      <c r="AO285" s="769"/>
      <c r="AP285" s="769"/>
      <c r="AQ285" s="773"/>
      <c r="AR285" s="773"/>
      <c r="AS285" s="773"/>
      <c r="AT28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85" s="779">
        <f>WWWW[[#This Row],[%Equitable and continuous access to sufficient quantity of safe drinking water]]*WWWW[[#This Row],[Total PoP ]]</f>
        <v>2111</v>
      </c>
      <c r="AV28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85" s="779">
        <f>WWWW[[#This Row],[% Access to unimproved water points]]*WWWW[[#This Row],[Total PoP ]]</f>
        <v>2111</v>
      </c>
      <c r="AX28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8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2111</v>
      </c>
      <c r="AZ285" s="779">
        <f>WWWW[[#This Row],[HRP1]]/250</f>
        <v>8.4440000000000008</v>
      </c>
      <c r="BA285" s="780">
        <f>1-WWWW[[#This Row],[% Equitable and continuous access to sufficient quantity of domestic water]]</f>
        <v>0</v>
      </c>
      <c r="BB285" s="779">
        <f>WWWW[[#This Row],[%equitable and continuous access to sufficient quantity of safe drinking and domestic water''s GAP]]*WWWW[[#This Row],[Total PoP ]]</f>
        <v>0</v>
      </c>
      <c r="BC285" s="781">
        <f>IF(WWWW[[#This Row],[Total required water points]]-WWWW[[#This Row],['#Water points coverage]]&lt;0,0,WWWW[[#This Row],[Total required water points]]-WWWW[[#This Row],['#Water points coverage]])</f>
        <v>0</v>
      </c>
      <c r="BD285" s="781">
        <f>ROUND(IF(WWWW[[#This Row],[Total PoP ]]&lt;250,1,WWWW[[#This Row],[Total PoP ]]/250),0)</f>
        <v>8</v>
      </c>
      <c r="BE28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0.23590715300805307</v>
      </c>
      <c r="BF285" s="779">
        <f>WWWW[[#This Row],[% people access to functioning Latrine]]*WWWW[[#This Row],[Total PoP ]]</f>
        <v>498</v>
      </c>
      <c r="BG285" s="781">
        <f>WWWW[[#This Row],['#_of_Functioning_latrines_in_school]]*50</f>
        <v>0</v>
      </c>
      <c r="BH285" s="781">
        <f>ROUND((WWWW[[#This Row],[Total PoP ]]/6),0)</f>
        <v>352</v>
      </c>
      <c r="BI285" s="781">
        <f>IF(WWWW[[#This Row],[Total required Latrines]]-(WWWW[[#This Row],['#_of_sanitary_fly-proof_HH_latrines]])&lt;0,0,WWWW[[#This Row],[Total required Latrines]]-(WWWW[[#This Row],['#_of_sanitary_fly-proof_HH_latrines]]))</f>
        <v>269</v>
      </c>
      <c r="BJ285" s="778">
        <f>1-WWWW[[#This Row],[% people access to functioning Latrine]]</f>
        <v>0.76409284699194691</v>
      </c>
      <c r="BK28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5" s="772">
        <f>IF(WWWW[[#This Row],['#_of_functional_handwashing_facilities_at_HH_level]]*6&gt;WWWW[[#This Row],[Total PoP ]],WWWW[[#This Row],[Total PoP ]],WWWW[[#This Row],['#_of_functional_handwashing_facilities_at_HH_level]]*6)</f>
        <v>0</v>
      </c>
      <c r="BM285" s="781">
        <f>IF(WWWW[[#This Row],['# people reached by regular dedicated hygiene promotion]]&gt;WWWW[[#This Row],['# People received regular supply of hygiene items]],WWWW[[#This Row],['# people reached by regular dedicated hygiene promotion]],WWWW[[#This Row],['# People received regular supply of hygiene items]])</f>
        <v>0</v>
      </c>
      <c r="BN285" s="780">
        <f>IF(WWWW[[#This Row],[HRP3]]/WWWW[[#This Row],[Total PoP ]]&gt;100%,100%,WWWW[[#This Row],[HRP3]]/WWWW[[#This Row],[Total PoP ]])</f>
        <v>0</v>
      </c>
      <c r="BO285" s="778">
        <f>1-WWWW[[#This Row],[Hygiene Coverage%]]</f>
        <v>1</v>
      </c>
      <c r="BP285" s="777">
        <f>WWWW[[#This Row],['# people reached by regular dedicated hygiene promotion]]/WWWW[[#This Row],[Total PoP ]]</f>
        <v>0</v>
      </c>
      <c r="BQ28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5" s="770">
        <f>WWWW[[#This Row],['#_of_affected_women_and_girls_receiving_a_sufficient_quantity_of_sanitary_pads]]</f>
        <v>0</v>
      </c>
      <c r="BS285" s="773">
        <f>IF(WWWW[[#This Row],['# People with access to soap]]&gt;WWWW[[#This Row],['# People with access to Sanity Pads]],WWWW[[#This Row],['# People with access to soap]],WWWW[[#This Row],['# People with access to Sanity Pads]])</f>
        <v>0</v>
      </c>
      <c r="BT285" s="772" t="str">
        <f>IF(OR(WWWW[[#This Row],['#of students in school]]="",WWWW[[#This Row],['#of students in school]]=0),"No","Yes")</f>
        <v>No</v>
      </c>
      <c r="BU285" s="782" t="str">
        <f>VLOOKUP(WWWW[[#This Row],[Village  Name]],SiteDB6[[Site Name]:[Location Type 1]],9,FALSE)</f>
        <v>Village</v>
      </c>
      <c r="BV285" s="782" t="str">
        <f>VLOOKUP(WWWW[[#This Row],[Village  Name]],SiteDB6[[Site Name]:[Type of Accommodation]],10,FALSE)</f>
        <v>Village</v>
      </c>
      <c r="BW285" s="782">
        <f>VLOOKUP(WWWW[[#This Row],[Village  Name]],SiteDB6[[Site Name]:[Ethnic or GCA/NGCA]],11,FALSE)</f>
        <v>0</v>
      </c>
      <c r="BX285" s="782">
        <f>VLOOKUP(WWWW[[#This Row],[Village  Name]],SiteDB6[[Site Name]:[Lat]],12,FALSE)</f>
        <v>20.448799133300799</v>
      </c>
      <c r="BY285" s="782">
        <f>VLOOKUP(WWWW[[#This Row],[Village  Name]],SiteDB6[[Site Name]:[Long]],13,FALSE)</f>
        <v>93.300239562988295</v>
      </c>
      <c r="BZ285" s="782">
        <f>VLOOKUP(WWWW[[#This Row],[Village  Name]],SiteDB6[[Site Name]:[Pcode]],3,FALSE)</f>
        <v>197040</v>
      </c>
      <c r="CA285" s="782" t="str">
        <f t="shared" si="18"/>
        <v>Covered</v>
      </c>
      <c r="CB285" s="783"/>
    </row>
    <row r="286" spans="1:80">
      <c r="A286" s="774" t="s">
        <v>3199</v>
      </c>
      <c r="B286" s="727" t="s">
        <v>314</v>
      </c>
      <c r="C286" s="728" t="s">
        <v>314</v>
      </c>
      <c r="D286" s="728" t="s">
        <v>307</v>
      </c>
      <c r="E286" s="728" t="s">
        <v>2648</v>
      </c>
      <c r="F286" s="728" t="s">
        <v>312</v>
      </c>
      <c r="G286" s="644" t="str">
        <f>VLOOKUP(WWWW[[#This Row],[Village  Name]],SiteDB6[[Site Name]:[Location Type]],8,FALSE)</f>
        <v>Village</v>
      </c>
      <c r="H286" s="728" t="s">
        <v>2605</v>
      </c>
      <c r="I286" s="775">
        <v>295</v>
      </c>
      <c r="J286" s="775">
        <v>1698</v>
      </c>
      <c r="K286" s="784">
        <v>42736</v>
      </c>
      <c r="L286" s="785">
        <v>44551</v>
      </c>
      <c r="M286" s="775"/>
      <c r="N286" s="775"/>
      <c r="O286" s="773">
        <v>2</v>
      </c>
      <c r="P286" s="775">
        <v>53</v>
      </c>
      <c r="Q286" s="775">
        <v>2</v>
      </c>
      <c r="R286" s="775"/>
      <c r="S286" s="775"/>
      <c r="T286" s="775"/>
      <c r="U286" s="776"/>
      <c r="V286" s="775">
        <v>77</v>
      </c>
      <c r="W286" s="775" t="s">
        <v>130</v>
      </c>
      <c r="X286" s="775"/>
      <c r="Y286" s="775"/>
      <c r="Z286" s="775"/>
      <c r="AA286" s="775"/>
      <c r="AB286" s="775"/>
      <c r="AC286" s="776"/>
      <c r="AD286" s="775"/>
      <c r="AE286" s="775"/>
      <c r="AF286" s="775"/>
      <c r="AG286" s="775"/>
      <c r="AH286" s="775"/>
      <c r="AI286" s="775"/>
      <c r="AJ286" s="773"/>
      <c r="AK286" s="775"/>
      <c r="AL286" s="773"/>
      <c r="AM286" s="773"/>
      <c r="AN286" s="776"/>
      <c r="AO286" s="769"/>
      <c r="AP286" s="769"/>
      <c r="AQ286" s="773"/>
      <c r="AR286" s="773"/>
      <c r="AS286" s="773"/>
      <c r="AT28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86" s="779">
        <f>WWWW[[#This Row],[%Equitable and continuous access to sufficient quantity of safe drinking water]]*WWWW[[#This Row],[Total PoP ]]</f>
        <v>1698</v>
      </c>
      <c r="AV28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86" s="779">
        <f>WWWW[[#This Row],[% Access to unimproved water points]]*WWWW[[#This Row],[Total PoP ]]</f>
        <v>1698</v>
      </c>
      <c r="AX28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8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1698</v>
      </c>
      <c r="AZ286" s="779">
        <f>WWWW[[#This Row],[HRP1]]/250</f>
        <v>6.7919999999999998</v>
      </c>
      <c r="BA286" s="780">
        <f>1-WWWW[[#This Row],[% Equitable and continuous access to sufficient quantity of domestic water]]</f>
        <v>0</v>
      </c>
      <c r="BB286" s="779">
        <f>WWWW[[#This Row],[%equitable and continuous access to sufficient quantity of safe drinking and domestic water''s GAP]]*WWWW[[#This Row],[Total PoP ]]</f>
        <v>0</v>
      </c>
      <c r="BC286" s="781">
        <f>IF(WWWW[[#This Row],[Total required water points]]-WWWW[[#This Row],['#Water points coverage]]&lt;0,0,WWWW[[#This Row],[Total required water points]]-WWWW[[#This Row],['#Water points coverage]])</f>
        <v>0.20800000000000018</v>
      </c>
      <c r="BD286" s="781">
        <f>ROUND(IF(WWWW[[#This Row],[Total PoP ]]&lt;250,1,WWWW[[#This Row],[Total PoP ]]/250),0)</f>
        <v>7</v>
      </c>
      <c r="BE28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0.27208480565371024</v>
      </c>
      <c r="BF286" s="779">
        <f>WWWW[[#This Row],[% people access to functioning Latrine]]*WWWW[[#This Row],[Total PoP ]]</f>
        <v>462</v>
      </c>
      <c r="BG286" s="781">
        <f>WWWW[[#This Row],['#_of_Functioning_latrines_in_school]]*50</f>
        <v>0</v>
      </c>
      <c r="BH286" s="781">
        <f>ROUND((WWWW[[#This Row],[Total PoP ]]/6),0)</f>
        <v>283</v>
      </c>
      <c r="BI286" s="781">
        <f>IF(WWWW[[#This Row],[Total required Latrines]]-(WWWW[[#This Row],['#_of_sanitary_fly-proof_HH_latrines]])&lt;0,0,WWWW[[#This Row],[Total required Latrines]]-(WWWW[[#This Row],['#_of_sanitary_fly-proof_HH_latrines]]))</f>
        <v>206</v>
      </c>
      <c r="BJ286" s="778">
        <f>1-WWWW[[#This Row],[% people access to functioning Latrine]]</f>
        <v>0.72791519434628982</v>
      </c>
      <c r="BK28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6" s="772">
        <f>IF(WWWW[[#This Row],['#_of_functional_handwashing_facilities_at_HH_level]]*6&gt;WWWW[[#This Row],[Total PoP ]],WWWW[[#This Row],[Total PoP ]],WWWW[[#This Row],['#_of_functional_handwashing_facilities_at_HH_level]]*6)</f>
        <v>0</v>
      </c>
      <c r="BM286" s="781">
        <f>IF(WWWW[[#This Row],['# people reached by regular dedicated hygiene promotion]]&gt;WWWW[[#This Row],['# People received regular supply of hygiene items]],WWWW[[#This Row],['# people reached by regular dedicated hygiene promotion]],WWWW[[#This Row],['# People received regular supply of hygiene items]])</f>
        <v>0</v>
      </c>
      <c r="BN286" s="780">
        <f>IF(WWWW[[#This Row],[HRP3]]/WWWW[[#This Row],[Total PoP ]]&gt;100%,100%,WWWW[[#This Row],[HRP3]]/WWWW[[#This Row],[Total PoP ]])</f>
        <v>0</v>
      </c>
      <c r="BO286" s="778">
        <f>1-WWWW[[#This Row],[Hygiene Coverage%]]</f>
        <v>1</v>
      </c>
      <c r="BP286" s="777">
        <f>WWWW[[#This Row],['# people reached by regular dedicated hygiene promotion]]/WWWW[[#This Row],[Total PoP ]]</f>
        <v>0</v>
      </c>
      <c r="BQ28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6" s="770">
        <f>WWWW[[#This Row],['#_of_affected_women_and_girls_receiving_a_sufficient_quantity_of_sanitary_pads]]</f>
        <v>0</v>
      </c>
      <c r="BS286" s="773">
        <f>IF(WWWW[[#This Row],['# People with access to soap]]&gt;WWWW[[#This Row],['# People with access to Sanity Pads]],WWWW[[#This Row],['# People with access to soap]],WWWW[[#This Row],['# People with access to Sanity Pads]])</f>
        <v>0</v>
      </c>
      <c r="BT286" s="772" t="str">
        <f>IF(OR(WWWW[[#This Row],['#of students in school]]="",WWWW[[#This Row],['#of students in school]]=0),"No","Yes")</f>
        <v>No</v>
      </c>
      <c r="BU286" s="782" t="str">
        <f>VLOOKUP(WWWW[[#This Row],[Village  Name]],SiteDB6[[Site Name]:[Location Type 1]],9,FALSE)</f>
        <v>Village</v>
      </c>
      <c r="BV286" s="782" t="str">
        <f>VLOOKUP(WWWW[[#This Row],[Village  Name]],SiteDB6[[Site Name]:[Type of Accommodation]],10,FALSE)</f>
        <v>Village</v>
      </c>
      <c r="BW286" s="782">
        <f>VLOOKUP(WWWW[[#This Row],[Village  Name]],SiteDB6[[Site Name]:[Ethnic or GCA/NGCA]],11,FALSE)</f>
        <v>0</v>
      </c>
      <c r="BX286" s="782">
        <f>VLOOKUP(WWWW[[#This Row],[Village  Name]],SiteDB6[[Site Name]:[Lat]],12,FALSE)</f>
        <v>20.463020324706999</v>
      </c>
      <c r="BY286" s="782">
        <f>VLOOKUP(WWWW[[#This Row],[Village  Name]],SiteDB6[[Site Name]:[Long]],13,FALSE)</f>
        <v>93.296417236328097</v>
      </c>
      <c r="BZ286" s="782">
        <f>VLOOKUP(WWWW[[#This Row],[Village  Name]],SiteDB6[[Site Name]:[Pcode]],3,FALSE)</f>
        <v>197039</v>
      </c>
      <c r="CA286" s="782" t="str">
        <f t="shared" si="18"/>
        <v>Covered</v>
      </c>
      <c r="CB286" s="783"/>
    </row>
    <row r="287" spans="1:80">
      <c r="A287" s="774" t="s">
        <v>3199</v>
      </c>
      <c r="B287" s="727" t="s">
        <v>314</v>
      </c>
      <c r="C287" s="728" t="s">
        <v>314</v>
      </c>
      <c r="D287" s="728" t="s">
        <v>307</v>
      </c>
      <c r="E287" s="728" t="s">
        <v>2648</v>
      </c>
      <c r="F287" s="728" t="s">
        <v>312</v>
      </c>
      <c r="G287" s="644" t="str">
        <f>VLOOKUP(WWWW[[#This Row],[Village  Name]],SiteDB6[[Site Name]:[Location Type]],8,FALSE)</f>
        <v>Village</v>
      </c>
      <c r="H287" s="728" t="s">
        <v>2606</v>
      </c>
      <c r="I287" s="775">
        <v>140</v>
      </c>
      <c r="J287" s="775">
        <v>985</v>
      </c>
      <c r="K287" s="784">
        <v>42736</v>
      </c>
      <c r="L287" s="785">
        <v>44551</v>
      </c>
      <c r="M287" s="775"/>
      <c r="N287" s="775"/>
      <c r="O287" s="773">
        <v>7</v>
      </c>
      <c r="P287" s="775">
        <v>27</v>
      </c>
      <c r="Q287" s="775">
        <v>3</v>
      </c>
      <c r="R287" s="775"/>
      <c r="S287" s="775"/>
      <c r="T287" s="775"/>
      <c r="U287" s="776"/>
      <c r="V287" s="775">
        <v>65</v>
      </c>
      <c r="W287" s="775" t="s">
        <v>130</v>
      </c>
      <c r="X287" s="775"/>
      <c r="Y287" s="775"/>
      <c r="Z287" s="775"/>
      <c r="AA287" s="775"/>
      <c r="AB287" s="775"/>
      <c r="AC287" s="776"/>
      <c r="AD287" s="775"/>
      <c r="AE287" s="775"/>
      <c r="AF287" s="775"/>
      <c r="AG287" s="775"/>
      <c r="AH287" s="775"/>
      <c r="AI287" s="775"/>
      <c r="AJ287" s="773"/>
      <c r="AK287" s="775"/>
      <c r="AL287" s="773"/>
      <c r="AM287" s="773"/>
      <c r="AN287" s="776"/>
      <c r="AO287" s="769"/>
      <c r="AP287" s="769"/>
      <c r="AQ287" s="773"/>
      <c r="AR287" s="773"/>
      <c r="AS287" s="773"/>
      <c r="AT28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87" s="779">
        <f>WWWW[[#This Row],[%Equitable and continuous access to sufficient quantity of safe drinking water]]*WWWW[[#This Row],[Total PoP ]]</f>
        <v>985</v>
      </c>
      <c r="AV28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87" s="779">
        <f>WWWW[[#This Row],[% Access to unimproved water points]]*WWWW[[#This Row],[Total PoP ]]</f>
        <v>985</v>
      </c>
      <c r="AX28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8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985</v>
      </c>
      <c r="AZ287" s="779">
        <f>WWWW[[#This Row],[HRP1]]/250</f>
        <v>3.94</v>
      </c>
      <c r="BA287" s="780">
        <f>1-WWWW[[#This Row],[% Equitable and continuous access to sufficient quantity of domestic water]]</f>
        <v>0</v>
      </c>
      <c r="BB287" s="779">
        <f>WWWW[[#This Row],[%equitable and continuous access to sufficient quantity of safe drinking and domestic water''s GAP]]*WWWW[[#This Row],[Total PoP ]]</f>
        <v>0</v>
      </c>
      <c r="BC287" s="781">
        <f>IF(WWWW[[#This Row],[Total required water points]]-WWWW[[#This Row],['#Water points coverage]]&lt;0,0,WWWW[[#This Row],[Total required water points]]-WWWW[[#This Row],['#Water points coverage]])</f>
        <v>6.0000000000000053E-2</v>
      </c>
      <c r="BD287" s="781">
        <f>ROUND(IF(WWWW[[#This Row],[Total PoP ]]&lt;250,1,WWWW[[#This Row],[Total PoP ]]/250),0)</f>
        <v>4</v>
      </c>
      <c r="BE28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0.39593908629441626</v>
      </c>
      <c r="BF287" s="779">
        <f>WWWW[[#This Row],[% people access to functioning Latrine]]*WWWW[[#This Row],[Total PoP ]]</f>
        <v>390</v>
      </c>
      <c r="BG287" s="781">
        <f>WWWW[[#This Row],['#_of_Functioning_latrines_in_school]]*50</f>
        <v>0</v>
      </c>
      <c r="BH287" s="781">
        <f>ROUND((WWWW[[#This Row],[Total PoP ]]/6),0)</f>
        <v>164</v>
      </c>
      <c r="BI287" s="781">
        <f>IF(WWWW[[#This Row],[Total required Latrines]]-(WWWW[[#This Row],['#_of_sanitary_fly-proof_HH_latrines]])&lt;0,0,WWWW[[#This Row],[Total required Latrines]]-(WWWW[[#This Row],['#_of_sanitary_fly-proof_HH_latrines]]))</f>
        <v>99</v>
      </c>
      <c r="BJ287" s="778">
        <f>1-WWWW[[#This Row],[% people access to functioning Latrine]]</f>
        <v>0.60406091370558368</v>
      </c>
      <c r="BK28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7" s="772">
        <f>IF(WWWW[[#This Row],['#_of_functional_handwashing_facilities_at_HH_level]]*6&gt;WWWW[[#This Row],[Total PoP ]],WWWW[[#This Row],[Total PoP ]],WWWW[[#This Row],['#_of_functional_handwashing_facilities_at_HH_level]]*6)</f>
        <v>0</v>
      </c>
      <c r="BM287" s="781">
        <f>IF(WWWW[[#This Row],['# people reached by regular dedicated hygiene promotion]]&gt;WWWW[[#This Row],['# People received regular supply of hygiene items]],WWWW[[#This Row],['# people reached by regular dedicated hygiene promotion]],WWWW[[#This Row],['# People received regular supply of hygiene items]])</f>
        <v>0</v>
      </c>
      <c r="BN287" s="780">
        <f>IF(WWWW[[#This Row],[HRP3]]/WWWW[[#This Row],[Total PoP ]]&gt;100%,100%,WWWW[[#This Row],[HRP3]]/WWWW[[#This Row],[Total PoP ]])</f>
        <v>0</v>
      </c>
      <c r="BO287" s="778">
        <f>1-WWWW[[#This Row],[Hygiene Coverage%]]</f>
        <v>1</v>
      </c>
      <c r="BP287" s="777">
        <f>WWWW[[#This Row],['# people reached by regular dedicated hygiene promotion]]/WWWW[[#This Row],[Total PoP ]]</f>
        <v>0</v>
      </c>
      <c r="BQ28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7" s="770">
        <f>WWWW[[#This Row],['#_of_affected_women_and_girls_receiving_a_sufficient_quantity_of_sanitary_pads]]</f>
        <v>0</v>
      </c>
      <c r="BS287" s="773">
        <f>IF(WWWW[[#This Row],['# People with access to soap]]&gt;WWWW[[#This Row],['# People with access to Sanity Pads]],WWWW[[#This Row],['# People with access to soap]],WWWW[[#This Row],['# People with access to Sanity Pads]])</f>
        <v>0</v>
      </c>
      <c r="BT287" s="772" t="str">
        <f>IF(OR(WWWW[[#This Row],['#of students in school]]="",WWWW[[#This Row],['#of students in school]]=0),"No","Yes")</f>
        <v>No</v>
      </c>
      <c r="BU287" s="782" t="str">
        <f>VLOOKUP(WWWW[[#This Row],[Village  Name]],SiteDB6[[Site Name]:[Location Type 1]],9,FALSE)</f>
        <v>Village</v>
      </c>
      <c r="BV287" s="782" t="str">
        <f>VLOOKUP(WWWW[[#This Row],[Village  Name]],SiteDB6[[Site Name]:[Type of Accommodation]],10,FALSE)</f>
        <v>Village</v>
      </c>
      <c r="BW287" s="782">
        <f>VLOOKUP(WWWW[[#This Row],[Village  Name]],SiteDB6[[Site Name]:[Ethnic or GCA/NGCA]],11,FALSE)</f>
        <v>0</v>
      </c>
      <c r="BX287" s="782">
        <f>VLOOKUP(WWWW[[#This Row],[Village  Name]],SiteDB6[[Site Name]:[Lat]],12,FALSE)</f>
        <v>20.4733695983887</v>
      </c>
      <c r="BY287" s="782">
        <f>VLOOKUP(WWWW[[#This Row],[Village  Name]],SiteDB6[[Site Name]:[Long]],13,FALSE)</f>
        <v>93.291687011718807</v>
      </c>
      <c r="BZ287" s="782">
        <f>VLOOKUP(WWWW[[#This Row],[Village  Name]],SiteDB6[[Site Name]:[Pcode]],3,FALSE)</f>
        <v>197041</v>
      </c>
      <c r="CA287" s="782" t="str">
        <f t="shared" si="18"/>
        <v>Covered</v>
      </c>
      <c r="CB287" s="783"/>
    </row>
    <row r="288" spans="1:80">
      <c r="A288" s="774" t="s">
        <v>3199</v>
      </c>
      <c r="B288" s="727" t="s">
        <v>314</v>
      </c>
      <c r="C288" s="728" t="s">
        <v>314</v>
      </c>
      <c r="D288" s="728" t="s">
        <v>307</v>
      </c>
      <c r="E288" s="728" t="s">
        <v>2648</v>
      </c>
      <c r="F288" s="728" t="s">
        <v>312</v>
      </c>
      <c r="G288" s="644" t="str">
        <f>VLOOKUP(WWWW[[#This Row],[Village  Name]],SiteDB6[[Site Name]:[Location Type]],8,FALSE)</f>
        <v>Village</v>
      </c>
      <c r="H288" s="728" t="s">
        <v>2607</v>
      </c>
      <c r="I288" s="775">
        <v>157</v>
      </c>
      <c r="J288" s="775">
        <v>735</v>
      </c>
      <c r="K288" s="784">
        <v>42736</v>
      </c>
      <c r="L288" s="785">
        <v>44551</v>
      </c>
      <c r="M288" s="775"/>
      <c r="N288" s="775"/>
      <c r="O288" s="773">
        <v>0</v>
      </c>
      <c r="P288" s="775">
        <v>32</v>
      </c>
      <c r="Q288" s="775">
        <v>3</v>
      </c>
      <c r="R288" s="775"/>
      <c r="S288" s="775"/>
      <c r="T288" s="775"/>
      <c r="U288" s="776"/>
      <c r="V288" s="775">
        <v>72</v>
      </c>
      <c r="W288" s="775" t="s">
        <v>130</v>
      </c>
      <c r="X288" s="775"/>
      <c r="Y288" s="775"/>
      <c r="Z288" s="775"/>
      <c r="AA288" s="775"/>
      <c r="AB288" s="775"/>
      <c r="AC288" s="776"/>
      <c r="AD288" s="775"/>
      <c r="AE288" s="775"/>
      <c r="AF288" s="775"/>
      <c r="AG288" s="775"/>
      <c r="AH288" s="775"/>
      <c r="AI288" s="775"/>
      <c r="AJ288" s="773"/>
      <c r="AK288" s="775"/>
      <c r="AL288" s="773"/>
      <c r="AM288" s="773"/>
      <c r="AN288" s="776"/>
      <c r="AO288" s="769"/>
      <c r="AP288" s="769"/>
      <c r="AQ288" s="773"/>
      <c r="AR288" s="773"/>
      <c r="AS288" s="773"/>
      <c r="AT28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88" s="779">
        <f>WWWW[[#This Row],[%Equitable and continuous access to sufficient quantity of safe drinking water]]*WWWW[[#This Row],[Total PoP ]]</f>
        <v>735</v>
      </c>
      <c r="AV28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88" s="779">
        <f>WWWW[[#This Row],[% Access to unimproved water points]]*WWWW[[#This Row],[Total PoP ]]</f>
        <v>735</v>
      </c>
      <c r="AX28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8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735</v>
      </c>
      <c r="AZ288" s="779">
        <f>WWWW[[#This Row],[HRP1]]/250</f>
        <v>2.94</v>
      </c>
      <c r="BA288" s="780">
        <f>1-WWWW[[#This Row],[% Equitable and continuous access to sufficient quantity of domestic water]]</f>
        <v>0</v>
      </c>
      <c r="BB288" s="779">
        <f>WWWW[[#This Row],[%equitable and continuous access to sufficient quantity of safe drinking and domestic water''s GAP]]*WWWW[[#This Row],[Total PoP ]]</f>
        <v>0</v>
      </c>
      <c r="BC288" s="781">
        <f>IF(WWWW[[#This Row],[Total required water points]]-WWWW[[#This Row],['#Water points coverage]]&lt;0,0,WWWW[[#This Row],[Total required water points]]-WWWW[[#This Row],['#Water points coverage]])</f>
        <v>6.0000000000000053E-2</v>
      </c>
      <c r="BD288" s="781">
        <f>ROUND(IF(WWWW[[#This Row],[Total PoP ]]&lt;250,1,WWWW[[#This Row],[Total PoP ]]/250),0)</f>
        <v>3</v>
      </c>
      <c r="BE28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0.58775510204081638</v>
      </c>
      <c r="BF288" s="779">
        <f>WWWW[[#This Row],[% people access to functioning Latrine]]*WWWW[[#This Row],[Total PoP ]]</f>
        <v>432.00000000000006</v>
      </c>
      <c r="BG288" s="781">
        <f>WWWW[[#This Row],['#_of_Functioning_latrines_in_school]]*50</f>
        <v>0</v>
      </c>
      <c r="BH288" s="781">
        <f>ROUND((WWWW[[#This Row],[Total PoP ]]/6),0)</f>
        <v>123</v>
      </c>
      <c r="BI288" s="781">
        <f>IF(WWWW[[#This Row],[Total required Latrines]]-(WWWW[[#This Row],['#_of_sanitary_fly-proof_HH_latrines]])&lt;0,0,WWWW[[#This Row],[Total required Latrines]]-(WWWW[[#This Row],['#_of_sanitary_fly-proof_HH_latrines]]))</f>
        <v>51</v>
      </c>
      <c r="BJ288" s="778">
        <f>1-WWWW[[#This Row],[% people access to functioning Latrine]]</f>
        <v>0.41224489795918362</v>
      </c>
      <c r="BK28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8" s="772">
        <f>IF(WWWW[[#This Row],['#_of_functional_handwashing_facilities_at_HH_level]]*6&gt;WWWW[[#This Row],[Total PoP ]],WWWW[[#This Row],[Total PoP ]],WWWW[[#This Row],['#_of_functional_handwashing_facilities_at_HH_level]]*6)</f>
        <v>0</v>
      </c>
      <c r="BM288" s="781">
        <f>IF(WWWW[[#This Row],['# people reached by regular dedicated hygiene promotion]]&gt;WWWW[[#This Row],['# People received regular supply of hygiene items]],WWWW[[#This Row],['# people reached by regular dedicated hygiene promotion]],WWWW[[#This Row],['# People received regular supply of hygiene items]])</f>
        <v>0</v>
      </c>
      <c r="BN288" s="780">
        <f>IF(WWWW[[#This Row],[HRP3]]/WWWW[[#This Row],[Total PoP ]]&gt;100%,100%,WWWW[[#This Row],[HRP3]]/WWWW[[#This Row],[Total PoP ]])</f>
        <v>0</v>
      </c>
      <c r="BO288" s="778">
        <f>1-WWWW[[#This Row],[Hygiene Coverage%]]</f>
        <v>1</v>
      </c>
      <c r="BP288" s="777">
        <f>WWWW[[#This Row],['# people reached by regular dedicated hygiene promotion]]/WWWW[[#This Row],[Total PoP ]]</f>
        <v>0</v>
      </c>
      <c r="BQ28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8" s="770">
        <f>WWWW[[#This Row],['#_of_affected_women_and_girls_receiving_a_sufficient_quantity_of_sanitary_pads]]</f>
        <v>0</v>
      </c>
      <c r="BS288" s="773">
        <f>IF(WWWW[[#This Row],['# People with access to soap]]&gt;WWWW[[#This Row],['# People with access to Sanity Pads]],WWWW[[#This Row],['# People with access to soap]],WWWW[[#This Row],['# People with access to Sanity Pads]])</f>
        <v>0</v>
      </c>
      <c r="BT288" s="772" t="str">
        <f>IF(OR(WWWW[[#This Row],['#of students in school]]="",WWWW[[#This Row],['#of students in school]]=0),"No","Yes")</f>
        <v>No</v>
      </c>
      <c r="BU288" s="782" t="str">
        <f>VLOOKUP(WWWW[[#This Row],[Village  Name]],SiteDB6[[Site Name]:[Location Type 1]],9,FALSE)</f>
        <v>Village</v>
      </c>
      <c r="BV288" s="782" t="str">
        <f>VLOOKUP(WWWW[[#This Row],[Village  Name]],SiteDB6[[Site Name]:[Type of Accommodation]],10,FALSE)</f>
        <v>Village</v>
      </c>
      <c r="BW288" s="782">
        <f>VLOOKUP(WWWW[[#This Row],[Village  Name]],SiteDB6[[Site Name]:[Ethnic or GCA/NGCA]],11,FALSE)</f>
        <v>0</v>
      </c>
      <c r="BX288" s="782">
        <f>VLOOKUP(WWWW[[#This Row],[Village  Name]],SiteDB6[[Site Name]:[Lat]],12,FALSE)</f>
        <v>20.478410720825199</v>
      </c>
      <c r="BY288" s="782">
        <f>VLOOKUP(WWWW[[#This Row],[Village  Name]],SiteDB6[[Site Name]:[Long]],13,FALSE)</f>
        <v>93.28662109375</v>
      </c>
      <c r="BZ288" s="782">
        <f>VLOOKUP(WWWW[[#This Row],[Village  Name]],SiteDB6[[Site Name]:[Pcode]],3,FALSE)</f>
        <v>197042</v>
      </c>
      <c r="CA288" s="782" t="str">
        <f t="shared" si="18"/>
        <v>Covered</v>
      </c>
      <c r="CB288" s="783"/>
    </row>
    <row r="289" spans="1:80">
      <c r="A289" s="774" t="s">
        <v>3199</v>
      </c>
      <c r="B289" s="727" t="s">
        <v>314</v>
      </c>
      <c r="C289" s="728" t="s">
        <v>314</v>
      </c>
      <c r="D289" s="728" t="s">
        <v>307</v>
      </c>
      <c r="E289" s="728" t="s">
        <v>2648</v>
      </c>
      <c r="F289" s="728" t="s">
        <v>312</v>
      </c>
      <c r="G289" s="644" t="str">
        <f>VLOOKUP(WWWW[[#This Row],[Village  Name]],SiteDB6[[Site Name]:[Location Type]],8,FALSE)</f>
        <v>Village</v>
      </c>
      <c r="H289" s="728" t="s">
        <v>2608</v>
      </c>
      <c r="I289" s="775">
        <v>35</v>
      </c>
      <c r="J289" s="775">
        <v>142</v>
      </c>
      <c r="K289" s="784">
        <v>42736</v>
      </c>
      <c r="L289" s="785">
        <v>44551</v>
      </c>
      <c r="M289" s="775"/>
      <c r="N289" s="775"/>
      <c r="O289" s="773">
        <v>0</v>
      </c>
      <c r="P289" s="775">
        <v>117</v>
      </c>
      <c r="Q289" s="775">
        <v>3</v>
      </c>
      <c r="R289" s="775"/>
      <c r="S289" s="775"/>
      <c r="T289" s="775"/>
      <c r="U289" s="776"/>
      <c r="V289" s="775">
        <v>235</v>
      </c>
      <c r="W289" s="775" t="s">
        <v>130</v>
      </c>
      <c r="X289" s="775"/>
      <c r="Y289" s="775"/>
      <c r="Z289" s="775"/>
      <c r="AA289" s="775"/>
      <c r="AB289" s="775"/>
      <c r="AC289" s="776"/>
      <c r="AD289" s="775"/>
      <c r="AE289" s="775"/>
      <c r="AF289" s="775"/>
      <c r="AG289" s="775"/>
      <c r="AH289" s="775"/>
      <c r="AI289" s="775"/>
      <c r="AJ289" s="773"/>
      <c r="AK289" s="775"/>
      <c r="AL289" s="773"/>
      <c r="AM289" s="773"/>
      <c r="AN289" s="776"/>
      <c r="AO289" s="769"/>
      <c r="AP289" s="769"/>
      <c r="AQ289" s="773"/>
      <c r="AR289" s="773"/>
      <c r="AS289" s="773"/>
      <c r="AT28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89" s="779">
        <f>WWWW[[#This Row],[%Equitable and continuous access to sufficient quantity of safe drinking water]]*WWWW[[#This Row],[Total PoP ]]</f>
        <v>142</v>
      </c>
      <c r="AV28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89" s="779">
        <f>WWWW[[#This Row],[% Access to unimproved water points]]*WWWW[[#This Row],[Total PoP ]]</f>
        <v>142</v>
      </c>
      <c r="AX28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8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142</v>
      </c>
      <c r="AZ289" s="779">
        <f>WWWW[[#This Row],[HRP1]]/250</f>
        <v>0.56799999999999995</v>
      </c>
      <c r="BA289" s="780">
        <f>1-WWWW[[#This Row],[% Equitable and continuous access to sufficient quantity of domestic water]]</f>
        <v>0</v>
      </c>
      <c r="BB289" s="779">
        <f>WWWW[[#This Row],[%equitable and continuous access to sufficient quantity of safe drinking and domestic water''s GAP]]*WWWW[[#This Row],[Total PoP ]]</f>
        <v>0</v>
      </c>
      <c r="BC289" s="781">
        <f>IF(WWWW[[#This Row],[Total required water points]]-WWWW[[#This Row],['#Water points coverage]]&lt;0,0,WWWW[[#This Row],[Total required water points]]-WWWW[[#This Row],['#Water points coverage]])</f>
        <v>0.43200000000000005</v>
      </c>
      <c r="BD289" s="781">
        <f>ROUND(IF(WWWW[[#This Row],[Total PoP ]]&lt;250,1,WWWW[[#This Row],[Total PoP ]]/250),0)</f>
        <v>1</v>
      </c>
      <c r="BE28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89" s="779">
        <f>WWWW[[#This Row],[% people access to functioning Latrine]]*WWWW[[#This Row],[Total PoP ]]</f>
        <v>142</v>
      </c>
      <c r="BG289" s="781">
        <f>WWWW[[#This Row],['#_of_Functioning_latrines_in_school]]*50</f>
        <v>0</v>
      </c>
      <c r="BH289" s="781">
        <f>ROUND((WWWW[[#This Row],[Total PoP ]]/6),0)</f>
        <v>24</v>
      </c>
      <c r="BI289" s="781">
        <f>IF(WWWW[[#This Row],[Total required Latrines]]-(WWWW[[#This Row],['#_of_sanitary_fly-proof_HH_latrines]])&lt;0,0,WWWW[[#This Row],[Total required Latrines]]-(WWWW[[#This Row],['#_of_sanitary_fly-proof_HH_latrines]]))</f>
        <v>0</v>
      </c>
      <c r="BJ289" s="778">
        <f>1-WWWW[[#This Row],[% people access to functioning Latrine]]</f>
        <v>0</v>
      </c>
      <c r="BK28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89" s="772">
        <f>IF(WWWW[[#This Row],['#_of_functional_handwashing_facilities_at_HH_level]]*6&gt;WWWW[[#This Row],[Total PoP ]],WWWW[[#This Row],[Total PoP ]],WWWW[[#This Row],['#_of_functional_handwashing_facilities_at_HH_level]]*6)</f>
        <v>0</v>
      </c>
      <c r="BM289" s="781">
        <f>IF(WWWW[[#This Row],['# people reached by regular dedicated hygiene promotion]]&gt;WWWW[[#This Row],['# People received regular supply of hygiene items]],WWWW[[#This Row],['# people reached by regular dedicated hygiene promotion]],WWWW[[#This Row],['# People received regular supply of hygiene items]])</f>
        <v>0</v>
      </c>
      <c r="BN289" s="780">
        <f>IF(WWWW[[#This Row],[HRP3]]/WWWW[[#This Row],[Total PoP ]]&gt;100%,100%,WWWW[[#This Row],[HRP3]]/WWWW[[#This Row],[Total PoP ]])</f>
        <v>0</v>
      </c>
      <c r="BO289" s="778">
        <f>1-WWWW[[#This Row],[Hygiene Coverage%]]</f>
        <v>1</v>
      </c>
      <c r="BP289" s="777">
        <f>WWWW[[#This Row],['# people reached by regular dedicated hygiene promotion]]/WWWW[[#This Row],[Total PoP ]]</f>
        <v>0</v>
      </c>
      <c r="BQ28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89" s="770">
        <f>WWWW[[#This Row],['#_of_affected_women_and_girls_receiving_a_sufficient_quantity_of_sanitary_pads]]</f>
        <v>0</v>
      </c>
      <c r="BS289" s="773">
        <f>IF(WWWW[[#This Row],['# People with access to soap]]&gt;WWWW[[#This Row],['# People with access to Sanity Pads]],WWWW[[#This Row],['# People with access to soap]],WWWW[[#This Row],['# People with access to Sanity Pads]])</f>
        <v>0</v>
      </c>
      <c r="BT289" s="772" t="str">
        <f>IF(OR(WWWW[[#This Row],['#of students in school]]="",WWWW[[#This Row],['#of students in school]]=0),"No","Yes")</f>
        <v>No</v>
      </c>
      <c r="BU289" s="782" t="str">
        <f>VLOOKUP(WWWW[[#This Row],[Village  Name]],SiteDB6[[Site Name]:[Location Type 1]],9,FALSE)</f>
        <v>Village</v>
      </c>
      <c r="BV289" s="782" t="str">
        <f>VLOOKUP(WWWW[[#This Row],[Village  Name]],SiteDB6[[Site Name]:[Type of Accommodation]],10,FALSE)</f>
        <v>Village</v>
      </c>
      <c r="BW289" s="782">
        <f>VLOOKUP(WWWW[[#This Row],[Village  Name]],SiteDB6[[Site Name]:[Ethnic or GCA/NGCA]],11,FALSE)</f>
        <v>0</v>
      </c>
      <c r="BX289" s="782">
        <f>VLOOKUP(WWWW[[#This Row],[Village  Name]],SiteDB6[[Site Name]:[Lat]],12,FALSE)</f>
        <v>20.481389999389599</v>
      </c>
      <c r="BY289" s="782">
        <f>VLOOKUP(WWWW[[#This Row],[Village  Name]],SiteDB6[[Site Name]:[Long]],13,FALSE)</f>
        <v>93.283447265625</v>
      </c>
      <c r="BZ289" s="782">
        <f>VLOOKUP(WWWW[[#This Row],[Village  Name]],SiteDB6[[Site Name]:[Pcode]],3,FALSE)</f>
        <v>197043</v>
      </c>
      <c r="CA289" s="782" t="str">
        <f t="shared" si="18"/>
        <v>Covered</v>
      </c>
      <c r="CB289" s="783"/>
    </row>
    <row r="290" spans="1:80">
      <c r="A290" s="774" t="s">
        <v>3199</v>
      </c>
      <c r="B290" s="727" t="s">
        <v>314</v>
      </c>
      <c r="C290" s="728" t="s">
        <v>314</v>
      </c>
      <c r="D290" s="728" t="s">
        <v>307</v>
      </c>
      <c r="E290" s="728" t="s">
        <v>2648</v>
      </c>
      <c r="F290" s="728" t="s">
        <v>312</v>
      </c>
      <c r="G290" s="644" t="str">
        <f>VLOOKUP(WWWW[[#This Row],[Village  Name]],SiteDB6[[Site Name]:[Location Type]],8,FALSE)</f>
        <v>Village</v>
      </c>
      <c r="H290" s="728" t="s">
        <v>2609</v>
      </c>
      <c r="I290" s="775">
        <v>148</v>
      </c>
      <c r="J290" s="775">
        <v>630</v>
      </c>
      <c r="K290" s="784">
        <v>42736</v>
      </c>
      <c r="L290" s="785">
        <v>44551</v>
      </c>
      <c r="M290" s="775"/>
      <c r="N290" s="775"/>
      <c r="O290" s="773">
        <v>6</v>
      </c>
      <c r="P290" s="775">
        <v>92</v>
      </c>
      <c r="Q290" s="775">
        <v>3</v>
      </c>
      <c r="R290" s="775"/>
      <c r="S290" s="775"/>
      <c r="T290" s="775"/>
      <c r="U290" s="776"/>
      <c r="V290" s="775">
        <v>204</v>
      </c>
      <c r="W290" s="775" t="s">
        <v>130</v>
      </c>
      <c r="X290" s="775"/>
      <c r="Y290" s="775"/>
      <c r="Z290" s="775"/>
      <c r="AA290" s="775"/>
      <c r="AB290" s="775"/>
      <c r="AC290" s="776"/>
      <c r="AD290" s="775"/>
      <c r="AE290" s="775"/>
      <c r="AF290" s="775"/>
      <c r="AG290" s="775"/>
      <c r="AH290" s="775"/>
      <c r="AI290" s="775"/>
      <c r="AJ290" s="773"/>
      <c r="AK290" s="775"/>
      <c r="AL290" s="773"/>
      <c r="AM290" s="773"/>
      <c r="AN290" s="776"/>
      <c r="AO290" s="769"/>
      <c r="AP290" s="769"/>
      <c r="AQ290" s="773"/>
      <c r="AR290" s="773"/>
      <c r="AS290" s="773"/>
      <c r="AT29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90" s="779">
        <f>WWWW[[#This Row],[%Equitable and continuous access to sufficient quantity of safe drinking water]]*WWWW[[#This Row],[Total PoP ]]</f>
        <v>630</v>
      </c>
      <c r="AV29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90" s="779">
        <f>WWWW[[#This Row],[% Access to unimproved water points]]*WWWW[[#This Row],[Total PoP ]]</f>
        <v>630</v>
      </c>
      <c r="AX29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9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630</v>
      </c>
      <c r="AZ290" s="779">
        <f>WWWW[[#This Row],[HRP1]]/250</f>
        <v>2.52</v>
      </c>
      <c r="BA290" s="780">
        <f>1-WWWW[[#This Row],[% Equitable and continuous access to sufficient quantity of domestic water]]</f>
        <v>0</v>
      </c>
      <c r="BB290" s="779">
        <f>WWWW[[#This Row],[%equitable and continuous access to sufficient quantity of safe drinking and domestic water''s GAP]]*WWWW[[#This Row],[Total PoP ]]</f>
        <v>0</v>
      </c>
      <c r="BC290" s="781">
        <f>IF(WWWW[[#This Row],[Total required water points]]-WWWW[[#This Row],['#Water points coverage]]&lt;0,0,WWWW[[#This Row],[Total required water points]]-WWWW[[#This Row],['#Water points coverage]])</f>
        <v>0.48</v>
      </c>
      <c r="BD290" s="781">
        <f>ROUND(IF(WWWW[[#This Row],[Total PoP ]]&lt;250,1,WWWW[[#This Row],[Total PoP ]]/250),0)</f>
        <v>3</v>
      </c>
      <c r="BE29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90" s="779">
        <f>WWWW[[#This Row],[% people access to functioning Latrine]]*WWWW[[#This Row],[Total PoP ]]</f>
        <v>630</v>
      </c>
      <c r="BG290" s="781">
        <f>WWWW[[#This Row],['#_of_Functioning_latrines_in_school]]*50</f>
        <v>0</v>
      </c>
      <c r="BH290" s="781">
        <f>ROUND((WWWW[[#This Row],[Total PoP ]]/6),0)</f>
        <v>105</v>
      </c>
      <c r="BI290" s="781">
        <f>IF(WWWW[[#This Row],[Total required Latrines]]-(WWWW[[#This Row],['#_of_sanitary_fly-proof_HH_latrines]])&lt;0,0,WWWW[[#This Row],[Total required Latrines]]-(WWWW[[#This Row],['#_of_sanitary_fly-proof_HH_latrines]]))</f>
        <v>0</v>
      </c>
      <c r="BJ290" s="778">
        <f>1-WWWW[[#This Row],[% people access to functioning Latrine]]</f>
        <v>0</v>
      </c>
      <c r="BK29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0" s="772">
        <f>IF(WWWW[[#This Row],['#_of_functional_handwashing_facilities_at_HH_level]]*6&gt;WWWW[[#This Row],[Total PoP ]],WWWW[[#This Row],[Total PoP ]],WWWW[[#This Row],['#_of_functional_handwashing_facilities_at_HH_level]]*6)</f>
        <v>0</v>
      </c>
      <c r="BM290" s="781">
        <f>IF(WWWW[[#This Row],['# people reached by regular dedicated hygiene promotion]]&gt;WWWW[[#This Row],['# People received regular supply of hygiene items]],WWWW[[#This Row],['# people reached by regular dedicated hygiene promotion]],WWWW[[#This Row],['# People received regular supply of hygiene items]])</f>
        <v>0</v>
      </c>
      <c r="BN290" s="780">
        <f>IF(WWWW[[#This Row],[HRP3]]/WWWW[[#This Row],[Total PoP ]]&gt;100%,100%,WWWW[[#This Row],[HRP3]]/WWWW[[#This Row],[Total PoP ]])</f>
        <v>0</v>
      </c>
      <c r="BO290" s="778">
        <f>1-WWWW[[#This Row],[Hygiene Coverage%]]</f>
        <v>1</v>
      </c>
      <c r="BP290" s="777">
        <f>WWWW[[#This Row],['# people reached by regular dedicated hygiene promotion]]/WWWW[[#This Row],[Total PoP ]]</f>
        <v>0</v>
      </c>
      <c r="BQ29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0" s="770">
        <f>WWWW[[#This Row],['#_of_affected_women_and_girls_receiving_a_sufficient_quantity_of_sanitary_pads]]</f>
        <v>0</v>
      </c>
      <c r="BS290" s="773">
        <f>IF(WWWW[[#This Row],['# People with access to soap]]&gt;WWWW[[#This Row],['# People with access to Sanity Pads]],WWWW[[#This Row],['# People with access to soap]],WWWW[[#This Row],['# People with access to Sanity Pads]])</f>
        <v>0</v>
      </c>
      <c r="BT290" s="772" t="str">
        <f>IF(OR(WWWW[[#This Row],['#of students in school]]="",WWWW[[#This Row],['#of students in school]]=0),"No","Yes")</f>
        <v>No</v>
      </c>
      <c r="BU290" s="782" t="str">
        <f>VLOOKUP(WWWW[[#This Row],[Village  Name]],SiteDB6[[Site Name]:[Location Type 1]],9,FALSE)</f>
        <v>Village</v>
      </c>
      <c r="BV290" s="782" t="str">
        <f>VLOOKUP(WWWW[[#This Row],[Village  Name]],SiteDB6[[Site Name]:[Type of Accommodation]],10,FALSE)</f>
        <v>Village</v>
      </c>
      <c r="BW290" s="782">
        <f>VLOOKUP(WWWW[[#This Row],[Village  Name]],SiteDB6[[Site Name]:[Ethnic or GCA/NGCA]],11,FALSE)</f>
        <v>0</v>
      </c>
      <c r="BX290" s="782">
        <f>VLOOKUP(WWWW[[#This Row],[Village  Name]],SiteDB6[[Site Name]:[Lat]],12,FALSE)</f>
        <v>20.422460556030298</v>
      </c>
      <c r="BY290" s="782">
        <f>VLOOKUP(WWWW[[#This Row],[Village  Name]],SiteDB6[[Site Name]:[Long]],13,FALSE)</f>
        <v>93.317733764648395</v>
      </c>
      <c r="BZ290" s="782">
        <f>VLOOKUP(WWWW[[#This Row],[Village  Name]],SiteDB6[[Site Name]:[Pcode]],3,FALSE)</f>
        <v>197089</v>
      </c>
      <c r="CA290" s="782" t="str">
        <f t="shared" si="18"/>
        <v>Covered</v>
      </c>
      <c r="CB290" s="783"/>
    </row>
    <row r="291" spans="1:80">
      <c r="A291" s="774" t="s">
        <v>3199</v>
      </c>
      <c r="B291" s="727" t="s">
        <v>314</v>
      </c>
      <c r="C291" s="728" t="s">
        <v>314</v>
      </c>
      <c r="D291" s="728" t="s">
        <v>307</v>
      </c>
      <c r="E291" s="728" t="s">
        <v>2648</v>
      </c>
      <c r="F291" s="728" t="s">
        <v>312</v>
      </c>
      <c r="G291" s="644" t="str">
        <f>VLOOKUP(WWWW[[#This Row],[Village  Name]],SiteDB6[[Site Name]:[Location Type]],8,FALSE)</f>
        <v>Village</v>
      </c>
      <c r="H291" s="728" t="s">
        <v>2610</v>
      </c>
      <c r="I291" s="775">
        <v>135</v>
      </c>
      <c r="J291" s="775">
        <v>593</v>
      </c>
      <c r="K291" s="784">
        <v>42736</v>
      </c>
      <c r="L291" s="785">
        <v>44551</v>
      </c>
      <c r="M291" s="775"/>
      <c r="N291" s="775"/>
      <c r="O291" s="773">
        <v>7</v>
      </c>
      <c r="P291" s="775">
        <v>55</v>
      </c>
      <c r="Q291" s="775">
        <v>2</v>
      </c>
      <c r="R291" s="775"/>
      <c r="S291" s="775"/>
      <c r="T291" s="775"/>
      <c r="U291" s="776"/>
      <c r="V291" s="775">
        <v>114</v>
      </c>
      <c r="W291" s="775" t="s">
        <v>130</v>
      </c>
      <c r="X291" s="775"/>
      <c r="Y291" s="775"/>
      <c r="Z291" s="775"/>
      <c r="AA291" s="775"/>
      <c r="AB291" s="775"/>
      <c r="AC291" s="776"/>
      <c r="AD291" s="775"/>
      <c r="AE291" s="775"/>
      <c r="AF291" s="775"/>
      <c r="AG291" s="775"/>
      <c r="AH291" s="775"/>
      <c r="AI291" s="775"/>
      <c r="AJ291" s="773"/>
      <c r="AK291" s="775"/>
      <c r="AL291" s="773"/>
      <c r="AM291" s="773"/>
      <c r="AN291" s="776"/>
      <c r="AO291" s="769"/>
      <c r="AP291" s="769"/>
      <c r="AQ291" s="773"/>
      <c r="AR291" s="773"/>
      <c r="AS291" s="773"/>
      <c r="AT29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91" s="779">
        <f>WWWW[[#This Row],[%Equitable and continuous access to sufficient quantity of safe drinking water]]*WWWW[[#This Row],[Total PoP ]]</f>
        <v>593</v>
      </c>
      <c r="AV29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91" s="779">
        <f>WWWW[[#This Row],[% Access to unimproved water points]]*WWWW[[#This Row],[Total PoP ]]</f>
        <v>593</v>
      </c>
      <c r="AX29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9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593</v>
      </c>
      <c r="AZ291" s="779">
        <f>WWWW[[#This Row],[HRP1]]/250</f>
        <v>2.3719999999999999</v>
      </c>
      <c r="BA291" s="780">
        <f>1-WWWW[[#This Row],[% Equitable and continuous access to sufficient quantity of domestic water]]</f>
        <v>0</v>
      </c>
      <c r="BB291" s="779">
        <f>WWWW[[#This Row],[%equitable and continuous access to sufficient quantity of safe drinking and domestic water''s GAP]]*WWWW[[#This Row],[Total PoP ]]</f>
        <v>0</v>
      </c>
      <c r="BC291" s="781">
        <f>IF(WWWW[[#This Row],[Total required water points]]-WWWW[[#This Row],['#Water points coverage]]&lt;0,0,WWWW[[#This Row],[Total required water points]]-WWWW[[#This Row],['#Water points coverage]])</f>
        <v>0</v>
      </c>
      <c r="BD291" s="781">
        <f>ROUND(IF(WWWW[[#This Row],[Total PoP ]]&lt;250,1,WWWW[[#This Row],[Total PoP ]]/250),0)</f>
        <v>2</v>
      </c>
      <c r="BE29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91" s="779">
        <f>WWWW[[#This Row],[% people access to functioning Latrine]]*WWWW[[#This Row],[Total PoP ]]</f>
        <v>593</v>
      </c>
      <c r="BG291" s="781">
        <f>WWWW[[#This Row],['#_of_Functioning_latrines_in_school]]*50</f>
        <v>0</v>
      </c>
      <c r="BH291" s="781">
        <f>ROUND((WWWW[[#This Row],[Total PoP ]]/6),0)</f>
        <v>99</v>
      </c>
      <c r="BI291" s="781">
        <f>IF(WWWW[[#This Row],[Total required Latrines]]-(WWWW[[#This Row],['#_of_sanitary_fly-proof_HH_latrines]])&lt;0,0,WWWW[[#This Row],[Total required Latrines]]-(WWWW[[#This Row],['#_of_sanitary_fly-proof_HH_latrines]]))</f>
        <v>0</v>
      </c>
      <c r="BJ291" s="778">
        <f>1-WWWW[[#This Row],[% people access to functioning Latrine]]</f>
        <v>0</v>
      </c>
      <c r="BK29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1" s="772">
        <f>IF(WWWW[[#This Row],['#_of_functional_handwashing_facilities_at_HH_level]]*6&gt;WWWW[[#This Row],[Total PoP ]],WWWW[[#This Row],[Total PoP ]],WWWW[[#This Row],['#_of_functional_handwashing_facilities_at_HH_level]]*6)</f>
        <v>0</v>
      </c>
      <c r="BM291" s="781">
        <f>IF(WWWW[[#This Row],['# people reached by regular dedicated hygiene promotion]]&gt;WWWW[[#This Row],['# People received regular supply of hygiene items]],WWWW[[#This Row],['# people reached by regular dedicated hygiene promotion]],WWWW[[#This Row],['# People received regular supply of hygiene items]])</f>
        <v>0</v>
      </c>
      <c r="BN291" s="780">
        <f>IF(WWWW[[#This Row],[HRP3]]/WWWW[[#This Row],[Total PoP ]]&gt;100%,100%,WWWW[[#This Row],[HRP3]]/WWWW[[#This Row],[Total PoP ]])</f>
        <v>0</v>
      </c>
      <c r="BO291" s="778">
        <f>1-WWWW[[#This Row],[Hygiene Coverage%]]</f>
        <v>1</v>
      </c>
      <c r="BP291" s="777">
        <f>WWWW[[#This Row],['# people reached by regular dedicated hygiene promotion]]/WWWW[[#This Row],[Total PoP ]]</f>
        <v>0</v>
      </c>
      <c r="BQ29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1" s="770">
        <f>WWWW[[#This Row],['#_of_affected_women_and_girls_receiving_a_sufficient_quantity_of_sanitary_pads]]</f>
        <v>0</v>
      </c>
      <c r="BS291" s="773">
        <f>IF(WWWW[[#This Row],['# People with access to soap]]&gt;WWWW[[#This Row],['# People with access to Sanity Pads]],WWWW[[#This Row],['# People with access to soap]],WWWW[[#This Row],['# People with access to Sanity Pads]])</f>
        <v>0</v>
      </c>
      <c r="BT291" s="772" t="str">
        <f>IF(OR(WWWW[[#This Row],['#of students in school]]="",WWWW[[#This Row],['#of students in school]]=0),"No","Yes")</f>
        <v>No</v>
      </c>
      <c r="BU291" s="782" t="str">
        <f>VLOOKUP(WWWW[[#This Row],[Village  Name]],SiteDB6[[Site Name]:[Location Type 1]],9,FALSE)</f>
        <v>Village</v>
      </c>
      <c r="BV291" s="782" t="str">
        <f>VLOOKUP(WWWW[[#This Row],[Village  Name]],SiteDB6[[Site Name]:[Type of Accommodation]],10,FALSE)</f>
        <v>Village</v>
      </c>
      <c r="BW291" s="782">
        <f>VLOOKUP(WWWW[[#This Row],[Village  Name]],SiteDB6[[Site Name]:[Ethnic or GCA/NGCA]],11,FALSE)</f>
        <v>0</v>
      </c>
      <c r="BX291" s="782">
        <f>VLOOKUP(WWWW[[#This Row],[Village  Name]],SiteDB6[[Site Name]:[Lat]],12,FALSE)</f>
        <v>20.445030212402301</v>
      </c>
      <c r="BY291" s="782">
        <f>VLOOKUP(WWWW[[#This Row],[Village  Name]],SiteDB6[[Site Name]:[Long]],13,FALSE)</f>
        <v>93.312812805175795</v>
      </c>
      <c r="BZ291" s="782">
        <f>VLOOKUP(WWWW[[#This Row],[Village  Name]],SiteDB6[[Site Name]:[Pcode]],3,FALSE)</f>
        <v>197090</v>
      </c>
      <c r="CA291" s="782" t="str">
        <f t="shared" si="18"/>
        <v>Covered</v>
      </c>
      <c r="CB291" s="783"/>
    </row>
    <row r="292" spans="1:80">
      <c r="A292" s="774" t="s">
        <v>3199</v>
      </c>
      <c r="B292" s="727" t="s">
        <v>314</v>
      </c>
      <c r="C292" s="728" t="s">
        <v>314</v>
      </c>
      <c r="D292" s="728" t="s">
        <v>307</v>
      </c>
      <c r="E292" s="728" t="s">
        <v>2648</v>
      </c>
      <c r="F292" s="728" t="s">
        <v>312</v>
      </c>
      <c r="G292" s="644" t="str">
        <f>VLOOKUP(WWWW[[#This Row],[Village  Name]],SiteDB6[[Site Name]:[Location Type]],8,FALSE)</f>
        <v>Village</v>
      </c>
      <c r="H292" s="728" t="s">
        <v>876</v>
      </c>
      <c r="I292" s="775">
        <v>139</v>
      </c>
      <c r="J292" s="775">
        <v>585</v>
      </c>
      <c r="K292" s="784">
        <v>42736</v>
      </c>
      <c r="L292" s="785">
        <v>44551</v>
      </c>
      <c r="M292" s="775"/>
      <c r="N292" s="775"/>
      <c r="O292" s="773">
        <v>3</v>
      </c>
      <c r="P292" s="775">
        <v>69</v>
      </c>
      <c r="Q292" s="775">
        <v>1</v>
      </c>
      <c r="R292" s="775"/>
      <c r="S292" s="775"/>
      <c r="T292" s="775"/>
      <c r="U292" s="776"/>
      <c r="V292" s="775">
        <v>54</v>
      </c>
      <c r="W292" s="775" t="s">
        <v>130</v>
      </c>
      <c r="X292" s="775"/>
      <c r="Y292" s="775"/>
      <c r="Z292" s="775"/>
      <c r="AA292" s="775"/>
      <c r="AB292" s="775"/>
      <c r="AC292" s="776"/>
      <c r="AD292" s="775"/>
      <c r="AE292" s="775"/>
      <c r="AF292" s="775"/>
      <c r="AG292" s="775"/>
      <c r="AH292" s="775"/>
      <c r="AI292" s="775"/>
      <c r="AJ292" s="773"/>
      <c r="AK292" s="775"/>
      <c r="AL292" s="773"/>
      <c r="AM292" s="773"/>
      <c r="AN292" s="776"/>
      <c r="AO292" s="769"/>
      <c r="AP292" s="769"/>
      <c r="AQ292" s="773"/>
      <c r="AR292" s="773"/>
      <c r="AS292" s="773"/>
      <c r="AT29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92" s="779">
        <f>WWWW[[#This Row],[%Equitable and continuous access to sufficient quantity of safe drinking water]]*WWWW[[#This Row],[Total PoP ]]</f>
        <v>585</v>
      </c>
      <c r="AV29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92" s="779">
        <f>WWWW[[#This Row],[% Access to unimproved water points]]*WWWW[[#This Row],[Total PoP ]]</f>
        <v>585</v>
      </c>
      <c r="AX29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9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585</v>
      </c>
      <c r="AZ292" s="779">
        <f>WWWW[[#This Row],[HRP1]]/250</f>
        <v>2.34</v>
      </c>
      <c r="BA292" s="780">
        <f>1-WWWW[[#This Row],[% Equitable and continuous access to sufficient quantity of domestic water]]</f>
        <v>0</v>
      </c>
      <c r="BB292" s="779">
        <f>WWWW[[#This Row],[%equitable and continuous access to sufficient quantity of safe drinking and domestic water''s GAP]]*WWWW[[#This Row],[Total PoP ]]</f>
        <v>0</v>
      </c>
      <c r="BC292" s="781">
        <f>IF(WWWW[[#This Row],[Total required water points]]-WWWW[[#This Row],['#Water points coverage]]&lt;0,0,WWWW[[#This Row],[Total required water points]]-WWWW[[#This Row],['#Water points coverage]])</f>
        <v>0</v>
      </c>
      <c r="BD292" s="781">
        <f>ROUND(IF(WWWW[[#This Row],[Total PoP ]]&lt;250,1,WWWW[[#This Row],[Total PoP ]]/250),0)</f>
        <v>2</v>
      </c>
      <c r="BE29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0.55384615384615388</v>
      </c>
      <c r="BF292" s="779">
        <f>WWWW[[#This Row],[% people access to functioning Latrine]]*WWWW[[#This Row],[Total PoP ]]</f>
        <v>324</v>
      </c>
      <c r="BG292" s="781">
        <f>WWWW[[#This Row],['#_of_Functioning_latrines_in_school]]*50</f>
        <v>0</v>
      </c>
      <c r="BH292" s="781">
        <f>ROUND((WWWW[[#This Row],[Total PoP ]]/6),0)</f>
        <v>98</v>
      </c>
      <c r="BI292" s="781">
        <f>IF(WWWW[[#This Row],[Total required Latrines]]-(WWWW[[#This Row],['#_of_sanitary_fly-proof_HH_latrines]])&lt;0,0,WWWW[[#This Row],[Total required Latrines]]-(WWWW[[#This Row],['#_of_sanitary_fly-proof_HH_latrines]]))</f>
        <v>44</v>
      </c>
      <c r="BJ292" s="778">
        <f>1-WWWW[[#This Row],[% people access to functioning Latrine]]</f>
        <v>0.44615384615384612</v>
      </c>
      <c r="BK29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2" s="772">
        <f>IF(WWWW[[#This Row],['#_of_functional_handwashing_facilities_at_HH_level]]*6&gt;WWWW[[#This Row],[Total PoP ]],WWWW[[#This Row],[Total PoP ]],WWWW[[#This Row],['#_of_functional_handwashing_facilities_at_HH_level]]*6)</f>
        <v>0</v>
      </c>
      <c r="BM292" s="781">
        <f>IF(WWWW[[#This Row],['# people reached by regular dedicated hygiene promotion]]&gt;WWWW[[#This Row],['# People received regular supply of hygiene items]],WWWW[[#This Row],['# people reached by regular dedicated hygiene promotion]],WWWW[[#This Row],['# People received regular supply of hygiene items]])</f>
        <v>0</v>
      </c>
      <c r="BN292" s="780">
        <f>IF(WWWW[[#This Row],[HRP3]]/WWWW[[#This Row],[Total PoP ]]&gt;100%,100%,WWWW[[#This Row],[HRP3]]/WWWW[[#This Row],[Total PoP ]])</f>
        <v>0</v>
      </c>
      <c r="BO292" s="778">
        <f>1-WWWW[[#This Row],[Hygiene Coverage%]]</f>
        <v>1</v>
      </c>
      <c r="BP292" s="777">
        <f>WWWW[[#This Row],['# people reached by regular dedicated hygiene promotion]]/WWWW[[#This Row],[Total PoP ]]</f>
        <v>0</v>
      </c>
      <c r="BQ29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2" s="770">
        <f>WWWW[[#This Row],['#_of_affected_women_and_girls_receiving_a_sufficient_quantity_of_sanitary_pads]]</f>
        <v>0</v>
      </c>
      <c r="BS292" s="773">
        <f>IF(WWWW[[#This Row],['# People with access to soap]]&gt;WWWW[[#This Row],['# People with access to Sanity Pads]],WWWW[[#This Row],['# People with access to soap]],WWWW[[#This Row],['# People with access to Sanity Pads]])</f>
        <v>0</v>
      </c>
      <c r="BT292" s="772" t="str">
        <f>IF(OR(WWWW[[#This Row],['#of students in school]]="",WWWW[[#This Row],['#of students in school]]=0),"No","Yes")</f>
        <v>No</v>
      </c>
      <c r="BU292" s="782" t="str">
        <f>VLOOKUP(WWWW[[#This Row],[Village  Name]],SiteDB6[[Site Name]:[Location Type 1]],9,FALSE)</f>
        <v>Village</v>
      </c>
      <c r="BV292" s="782" t="str">
        <f>VLOOKUP(WWWW[[#This Row],[Village  Name]],SiteDB6[[Site Name]:[Type of Accommodation]],10,FALSE)</f>
        <v>Village</v>
      </c>
      <c r="BW292" s="782">
        <f>VLOOKUP(WWWW[[#This Row],[Village  Name]],SiteDB6[[Site Name]:[Ethnic or GCA/NGCA]],11,FALSE)</f>
        <v>0</v>
      </c>
      <c r="BX292" s="782">
        <f>VLOOKUP(WWWW[[#This Row],[Village  Name]],SiteDB6[[Site Name]:[Lat]],12,FALSE)</f>
        <v>20.466840744018601</v>
      </c>
      <c r="BY292" s="782">
        <f>VLOOKUP(WWWW[[#This Row],[Village  Name]],SiteDB6[[Site Name]:[Long]],13,FALSE)</f>
        <v>93.304931640625</v>
      </c>
      <c r="BZ292" s="782">
        <f>VLOOKUP(WWWW[[#This Row],[Village  Name]],SiteDB6[[Site Name]:[Pcode]],3,FALSE)</f>
        <v>197149</v>
      </c>
      <c r="CA292" s="782" t="str">
        <f t="shared" si="18"/>
        <v>Covered</v>
      </c>
      <c r="CB292" s="783"/>
    </row>
    <row r="293" spans="1:80">
      <c r="A293" s="774" t="s">
        <v>3199</v>
      </c>
      <c r="B293" s="727" t="s">
        <v>314</v>
      </c>
      <c r="C293" s="728" t="s">
        <v>314</v>
      </c>
      <c r="D293" s="728" t="s">
        <v>307</v>
      </c>
      <c r="E293" s="728" t="s">
        <v>2648</v>
      </c>
      <c r="F293" s="728" t="s">
        <v>312</v>
      </c>
      <c r="G293" s="644" t="str">
        <f>VLOOKUP(WWWW[[#This Row],[Village  Name]],SiteDB6[[Site Name]:[Location Type]],8,FALSE)</f>
        <v>Village</v>
      </c>
      <c r="H293" s="728" t="s">
        <v>895</v>
      </c>
      <c r="I293" s="775">
        <v>408</v>
      </c>
      <c r="J293" s="775">
        <v>2009</v>
      </c>
      <c r="K293" s="784">
        <v>42736</v>
      </c>
      <c r="L293" s="785">
        <v>44551</v>
      </c>
      <c r="M293" s="775"/>
      <c r="N293" s="775"/>
      <c r="O293" s="773">
        <v>1</v>
      </c>
      <c r="P293" s="775">
        <v>14</v>
      </c>
      <c r="Q293" s="775">
        <v>1</v>
      </c>
      <c r="R293" s="775"/>
      <c r="S293" s="775"/>
      <c r="T293" s="775"/>
      <c r="U293" s="776"/>
      <c r="V293" s="775">
        <v>20</v>
      </c>
      <c r="W293" s="775" t="s">
        <v>130</v>
      </c>
      <c r="X293" s="775"/>
      <c r="Y293" s="775"/>
      <c r="Z293" s="775"/>
      <c r="AA293" s="775"/>
      <c r="AB293" s="775"/>
      <c r="AC293" s="776"/>
      <c r="AD293" s="775"/>
      <c r="AE293" s="775"/>
      <c r="AF293" s="775"/>
      <c r="AG293" s="775"/>
      <c r="AH293" s="775"/>
      <c r="AI293" s="775"/>
      <c r="AJ293" s="773"/>
      <c r="AK293" s="775"/>
      <c r="AL293" s="773"/>
      <c r="AM293" s="773"/>
      <c r="AN293" s="776"/>
      <c r="AO293" s="769"/>
      <c r="AP293" s="769"/>
      <c r="AQ293" s="773"/>
      <c r="AR293" s="773"/>
      <c r="AS293" s="773"/>
      <c r="AT29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93" s="779">
        <f>WWWW[[#This Row],[%Equitable and continuous access to sufficient quantity of safe drinking water]]*WWWW[[#This Row],[Total PoP ]]</f>
        <v>2009</v>
      </c>
      <c r="AV29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93" s="779">
        <f>WWWW[[#This Row],[% Access to unimproved water points]]*WWWW[[#This Row],[Total PoP ]]</f>
        <v>2009</v>
      </c>
      <c r="AX29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9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2009</v>
      </c>
      <c r="AZ293" s="779">
        <f>WWWW[[#This Row],[HRP1]]/250</f>
        <v>8.0359999999999996</v>
      </c>
      <c r="BA293" s="780">
        <f>1-WWWW[[#This Row],[% Equitable and continuous access to sufficient quantity of domestic water]]</f>
        <v>0</v>
      </c>
      <c r="BB293" s="779">
        <f>WWWW[[#This Row],[%equitable and continuous access to sufficient quantity of safe drinking and domestic water''s GAP]]*WWWW[[#This Row],[Total PoP ]]</f>
        <v>0</v>
      </c>
      <c r="BC293" s="781">
        <f>IF(WWWW[[#This Row],[Total required water points]]-WWWW[[#This Row],['#Water points coverage]]&lt;0,0,WWWW[[#This Row],[Total required water points]]-WWWW[[#This Row],['#Water points coverage]])</f>
        <v>0</v>
      </c>
      <c r="BD293" s="781">
        <f>ROUND(IF(WWWW[[#This Row],[Total PoP ]]&lt;250,1,WWWW[[#This Row],[Total PoP ]]/250),0)</f>
        <v>8</v>
      </c>
      <c r="BE29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5.9731209556993528E-2</v>
      </c>
      <c r="BF293" s="779">
        <f>WWWW[[#This Row],[% people access to functioning Latrine]]*WWWW[[#This Row],[Total PoP ]]</f>
        <v>120</v>
      </c>
      <c r="BG293" s="781">
        <f>WWWW[[#This Row],['#_of_Functioning_latrines_in_school]]*50</f>
        <v>0</v>
      </c>
      <c r="BH293" s="781">
        <f>ROUND((WWWW[[#This Row],[Total PoP ]]/6),0)</f>
        <v>335</v>
      </c>
      <c r="BI293" s="781">
        <f>IF(WWWW[[#This Row],[Total required Latrines]]-(WWWW[[#This Row],['#_of_sanitary_fly-proof_HH_latrines]])&lt;0,0,WWWW[[#This Row],[Total required Latrines]]-(WWWW[[#This Row],['#_of_sanitary_fly-proof_HH_latrines]]))</f>
        <v>315</v>
      </c>
      <c r="BJ293" s="778">
        <f>1-WWWW[[#This Row],[% people access to functioning Latrine]]</f>
        <v>0.94026879044300649</v>
      </c>
      <c r="BK29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3" s="772">
        <f>IF(WWWW[[#This Row],['#_of_functional_handwashing_facilities_at_HH_level]]*6&gt;WWWW[[#This Row],[Total PoP ]],WWWW[[#This Row],[Total PoP ]],WWWW[[#This Row],['#_of_functional_handwashing_facilities_at_HH_level]]*6)</f>
        <v>0</v>
      </c>
      <c r="BM293" s="781">
        <f>IF(WWWW[[#This Row],['# people reached by regular dedicated hygiene promotion]]&gt;WWWW[[#This Row],['# People received regular supply of hygiene items]],WWWW[[#This Row],['# people reached by regular dedicated hygiene promotion]],WWWW[[#This Row],['# People received regular supply of hygiene items]])</f>
        <v>0</v>
      </c>
      <c r="BN293" s="780">
        <f>IF(WWWW[[#This Row],[HRP3]]/WWWW[[#This Row],[Total PoP ]]&gt;100%,100%,WWWW[[#This Row],[HRP3]]/WWWW[[#This Row],[Total PoP ]])</f>
        <v>0</v>
      </c>
      <c r="BO293" s="778">
        <f>1-WWWW[[#This Row],[Hygiene Coverage%]]</f>
        <v>1</v>
      </c>
      <c r="BP293" s="777">
        <f>WWWW[[#This Row],['# people reached by regular dedicated hygiene promotion]]/WWWW[[#This Row],[Total PoP ]]</f>
        <v>0</v>
      </c>
      <c r="BQ29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3" s="770">
        <f>WWWW[[#This Row],['#_of_affected_women_and_girls_receiving_a_sufficient_quantity_of_sanitary_pads]]</f>
        <v>0</v>
      </c>
      <c r="BS293" s="773">
        <f>IF(WWWW[[#This Row],['# People with access to soap]]&gt;WWWW[[#This Row],['# People with access to Sanity Pads]],WWWW[[#This Row],['# People with access to soap]],WWWW[[#This Row],['# People with access to Sanity Pads]])</f>
        <v>0</v>
      </c>
      <c r="BT293" s="772" t="str">
        <f>IF(OR(WWWW[[#This Row],['#of students in school]]="",WWWW[[#This Row],['#of students in school]]=0),"No","Yes")</f>
        <v>No</v>
      </c>
      <c r="BU293" s="782" t="str">
        <f>VLOOKUP(WWWW[[#This Row],[Village  Name]],SiteDB6[[Site Name]:[Location Type 1]],9,FALSE)</f>
        <v>Village</v>
      </c>
      <c r="BV293" s="782" t="str">
        <f>VLOOKUP(WWWW[[#This Row],[Village  Name]],SiteDB6[[Site Name]:[Type of Accommodation]],10,FALSE)</f>
        <v>Returned</v>
      </c>
      <c r="BW293" s="782" t="str">
        <f>VLOOKUP(WWWW[[#This Row],[Village  Name]],SiteDB6[[Site Name]:[Ethnic or GCA/NGCA]],11,FALSE)</f>
        <v>Muslim</v>
      </c>
      <c r="BX293" s="782">
        <f>VLOOKUP(WWWW[[#This Row],[Village  Name]],SiteDB6[[Site Name]:[Lat]],12,FALSE)</f>
        <v>20.480898</v>
      </c>
      <c r="BY293" s="782">
        <f>VLOOKUP(WWWW[[#This Row],[Village  Name]],SiteDB6[[Site Name]:[Long]],13,FALSE)</f>
        <v>93.299485000000004</v>
      </c>
      <c r="BZ293" s="782" t="str">
        <f>VLOOKUP(WWWW[[#This Row],[Village  Name]],SiteDB6[[Site Name]:[Pcode]],3,FALSE)</f>
        <v>MMR012CMP006</v>
      </c>
      <c r="CA293" s="782" t="str">
        <f t="shared" si="18"/>
        <v>Covered</v>
      </c>
      <c r="CB293" s="783"/>
    </row>
    <row r="294" spans="1:80">
      <c r="A294" s="774" t="s">
        <v>3199</v>
      </c>
      <c r="B294" s="727" t="s">
        <v>314</v>
      </c>
      <c r="C294" s="728" t="s">
        <v>314</v>
      </c>
      <c r="D294" s="728" t="s">
        <v>307</v>
      </c>
      <c r="E294" s="728" t="s">
        <v>2648</v>
      </c>
      <c r="F294" s="728" t="s">
        <v>312</v>
      </c>
      <c r="G294" s="644" t="str">
        <f>VLOOKUP(WWWW[[#This Row],[Village  Name]],SiteDB6[[Site Name]:[Location Type]],8,FALSE)</f>
        <v>Village</v>
      </c>
      <c r="H294" s="728" t="s">
        <v>2611</v>
      </c>
      <c r="I294" s="775">
        <v>47</v>
      </c>
      <c r="J294" s="775">
        <v>190</v>
      </c>
      <c r="K294" s="784">
        <v>42736</v>
      </c>
      <c r="L294" s="785">
        <v>44551</v>
      </c>
      <c r="M294" s="775"/>
      <c r="N294" s="775"/>
      <c r="O294" s="773">
        <v>3</v>
      </c>
      <c r="P294" s="775">
        <v>60</v>
      </c>
      <c r="Q294" s="775">
        <v>2</v>
      </c>
      <c r="R294" s="775"/>
      <c r="S294" s="775"/>
      <c r="T294" s="775"/>
      <c r="U294" s="776"/>
      <c r="V294" s="775">
        <v>43</v>
      </c>
      <c r="W294" s="775" t="s">
        <v>130</v>
      </c>
      <c r="X294" s="775"/>
      <c r="Y294" s="775"/>
      <c r="Z294" s="775"/>
      <c r="AA294" s="775"/>
      <c r="AB294" s="775"/>
      <c r="AC294" s="776"/>
      <c r="AD294" s="775"/>
      <c r="AE294" s="775"/>
      <c r="AF294" s="775"/>
      <c r="AG294" s="775"/>
      <c r="AH294" s="775"/>
      <c r="AI294" s="775"/>
      <c r="AJ294" s="773"/>
      <c r="AK294" s="775"/>
      <c r="AL294" s="773"/>
      <c r="AM294" s="773"/>
      <c r="AN294" s="776"/>
      <c r="AO294" s="769"/>
      <c r="AP294" s="769"/>
      <c r="AQ294" s="773"/>
      <c r="AR294" s="773"/>
      <c r="AS294" s="773"/>
      <c r="AT29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94" s="779">
        <f>WWWW[[#This Row],[%Equitable and continuous access to sufficient quantity of safe drinking water]]*WWWW[[#This Row],[Total PoP ]]</f>
        <v>190</v>
      </c>
      <c r="AV29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94" s="779">
        <f>WWWW[[#This Row],[% Access to unimproved water points]]*WWWW[[#This Row],[Total PoP ]]</f>
        <v>190</v>
      </c>
      <c r="AX29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9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190</v>
      </c>
      <c r="AZ294" s="779">
        <f>WWWW[[#This Row],[HRP1]]/250</f>
        <v>0.76</v>
      </c>
      <c r="BA294" s="780">
        <f>1-WWWW[[#This Row],[% Equitable and continuous access to sufficient quantity of domestic water]]</f>
        <v>0</v>
      </c>
      <c r="BB294" s="779">
        <f>WWWW[[#This Row],[%equitable and continuous access to sufficient quantity of safe drinking and domestic water''s GAP]]*WWWW[[#This Row],[Total PoP ]]</f>
        <v>0</v>
      </c>
      <c r="BC294" s="781">
        <f>IF(WWWW[[#This Row],[Total required water points]]-WWWW[[#This Row],['#Water points coverage]]&lt;0,0,WWWW[[#This Row],[Total required water points]]-WWWW[[#This Row],['#Water points coverage]])</f>
        <v>0.24</v>
      </c>
      <c r="BD294" s="781">
        <f>ROUND(IF(WWWW[[#This Row],[Total PoP ]]&lt;250,1,WWWW[[#This Row],[Total PoP ]]/250),0)</f>
        <v>1</v>
      </c>
      <c r="BE29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294" s="779">
        <f>WWWW[[#This Row],[% people access to functioning Latrine]]*WWWW[[#This Row],[Total PoP ]]</f>
        <v>190</v>
      </c>
      <c r="BG294" s="781">
        <f>WWWW[[#This Row],['#_of_Functioning_latrines_in_school]]*50</f>
        <v>0</v>
      </c>
      <c r="BH294" s="781">
        <f>ROUND((WWWW[[#This Row],[Total PoP ]]/6),0)</f>
        <v>32</v>
      </c>
      <c r="BI294" s="781">
        <f>IF(WWWW[[#This Row],[Total required Latrines]]-(WWWW[[#This Row],['#_of_sanitary_fly-proof_HH_latrines]])&lt;0,0,WWWW[[#This Row],[Total required Latrines]]-(WWWW[[#This Row],['#_of_sanitary_fly-proof_HH_latrines]]))</f>
        <v>0</v>
      </c>
      <c r="BJ294" s="778">
        <f>1-WWWW[[#This Row],[% people access to functioning Latrine]]</f>
        <v>0</v>
      </c>
      <c r="BK29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4" s="772">
        <f>IF(WWWW[[#This Row],['#_of_functional_handwashing_facilities_at_HH_level]]*6&gt;WWWW[[#This Row],[Total PoP ]],WWWW[[#This Row],[Total PoP ]],WWWW[[#This Row],['#_of_functional_handwashing_facilities_at_HH_level]]*6)</f>
        <v>0</v>
      </c>
      <c r="BM294" s="781">
        <f>IF(WWWW[[#This Row],['# people reached by regular dedicated hygiene promotion]]&gt;WWWW[[#This Row],['# People received regular supply of hygiene items]],WWWW[[#This Row],['# people reached by regular dedicated hygiene promotion]],WWWW[[#This Row],['# People received regular supply of hygiene items]])</f>
        <v>0</v>
      </c>
      <c r="BN294" s="780">
        <f>IF(WWWW[[#This Row],[HRP3]]/WWWW[[#This Row],[Total PoP ]]&gt;100%,100%,WWWW[[#This Row],[HRP3]]/WWWW[[#This Row],[Total PoP ]])</f>
        <v>0</v>
      </c>
      <c r="BO294" s="778">
        <f>1-WWWW[[#This Row],[Hygiene Coverage%]]</f>
        <v>1</v>
      </c>
      <c r="BP294" s="777">
        <f>WWWW[[#This Row],['# people reached by regular dedicated hygiene promotion]]/WWWW[[#This Row],[Total PoP ]]</f>
        <v>0</v>
      </c>
      <c r="BQ29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4" s="770">
        <f>WWWW[[#This Row],['#_of_affected_women_and_girls_receiving_a_sufficient_quantity_of_sanitary_pads]]</f>
        <v>0</v>
      </c>
      <c r="BS294" s="773">
        <f>IF(WWWW[[#This Row],['# People with access to soap]]&gt;WWWW[[#This Row],['# People with access to Sanity Pads]],WWWW[[#This Row],['# People with access to soap]],WWWW[[#This Row],['# People with access to Sanity Pads]])</f>
        <v>0</v>
      </c>
      <c r="BT294" s="772" t="str">
        <f>IF(OR(WWWW[[#This Row],['#of students in school]]="",WWWW[[#This Row],['#of students in school]]=0),"No","Yes")</f>
        <v>No</v>
      </c>
      <c r="BU294" s="782" t="str">
        <f>VLOOKUP(WWWW[[#This Row],[Village  Name]],SiteDB6[[Site Name]:[Location Type 1]],9,FALSE)</f>
        <v>Village</v>
      </c>
      <c r="BV294" s="782" t="str">
        <f>VLOOKUP(WWWW[[#This Row],[Village  Name]],SiteDB6[[Site Name]:[Type of Accommodation]],10,FALSE)</f>
        <v>Village</v>
      </c>
      <c r="BW294" s="782">
        <f>VLOOKUP(WWWW[[#This Row],[Village  Name]],SiteDB6[[Site Name]:[Ethnic or GCA/NGCA]],11,FALSE)</f>
        <v>0</v>
      </c>
      <c r="BX294" s="782">
        <f>VLOOKUP(WWWW[[#This Row],[Village  Name]],SiteDB6[[Site Name]:[Lat]],12,FALSE)</f>
        <v>0</v>
      </c>
      <c r="BY294" s="782">
        <f>VLOOKUP(WWWW[[#This Row],[Village  Name]],SiteDB6[[Site Name]:[Long]],13,FALSE)</f>
        <v>0</v>
      </c>
      <c r="BZ294" s="782">
        <f>VLOOKUP(WWWW[[#This Row],[Village  Name]],SiteDB6[[Site Name]:[Pcode]],3,FALSE)</f>
        <v>0</v>
      </c>
      <c r="CA294" s="782" t="str">
        <f t="shared" si="18"/>
        <v>Covered</v>
      </c>
      <c r="CB294" s="783"/>
    </row>
    <row r="295" spans="1:80">
      <c r="A295" s="774" t="s">
        <v>3199</v>
      </c>
      <c r="B295" s="727" t="s">
        <v>314</v>
      </c>
      <c r="C295" s="728" t="s">
        <v>314</v>
      </c>
      <c r="D295" s="728" t="s">
        <v>307</v>
      </c>
      <c r="E295" s="728" t="s">
        <v>2648</v>
      </c>
      <c r="F295" s="728" t="s">
        <v>312</v>
      </c>
      <c r="G295" s="644" t="str">
        <f>VLOOKUP(WWWW[[#This Row],[Village  Name]],SiteDB6[[Site Name]:[Location Type]],8,FALSE)</f>
        <v>Village</v>
      </c>
      <c r="H295" s="728" t="s">
        <v>2612</v>
      </c>
      <c r="I295" s="775">
        <v>150</v>
      </c>
      <c r="J295" s="775">
        <v>532</v>
      </c>
      <c r="K295" s="784">
        <v>42736</v>
      </c>
      <c r="L295" s="785">
        <v>44551</v>
      </c>
      <c r="M295" s="775"/>
      <c r="N295" s="775"/>
      <c r="O295" s="773">
        <v>0</v>
      </c>
      <c r="P295" s="775">
        <v>84</v>
      </c>
      <c r="Q295" s="775">
        <v>2</v>
      </c>
      <c r="R295" s="775"/>
      <c r="S295" s="775"/>
      <c r="T295" s="775"/>
      <c r="U295" s="776"/>
      <c r="V295" s="775">
        <v>45</v>
      </c>
      <c r="W295" s="775" t="s">
        <v>130</v>
      </c>
      <c r="X295" s="775"/>
      <c r="Y295" s="775"/>
      <c r="Z295" s="775"/>
      <c r="AA295" s="775"/>
      <c r="AB295" s="775"/>
      <c r="AC295" s="776"/>
      <c r="AD295" s="775"/>
      <c r="AE295" s="775"/>
      <c r="AF295" s="775"/>
      <c r="AG295" s="775"/>
      <c r="AH295" s="775"/>
      <c r="AI295" s="775"/>
      <c r="AJ295" s="773"/>
      <c r="AK295" s="775"/>
      <c r="AL295" s="773"/>
      <c r="AM295" s="773"/>
      <c r="AN295" s="776"/>
      <c r="AO295" s="769"/>
      <c r="AP295" s="769"/>
      <c r="AQ295" s="773"/>
      <c r="AR295" s="773"/>
      <c r="AS295" s="773"/>
      <c r="AT29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95" s="779">
        <f>WWWW[[#This Row],[%Equitable and continuous access to sufficient quantity of safe drinking water]]*WWWW[[#This Row],[Total PoP ]]</f>
        <v>532</v>
      </c>
      <c r="AV29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95" s="779">
        <f>WWWW[[#This Row],[% Access to unimproved water points]]*WWWW[[#This Row],[Total PoP ]]</f>
        <v>532</v>
      </c>
      <c r="AX29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9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532</v>
      </c>
      <c r="AZ295" s="779">
        <f>WWWW[[#This Row],[HRP1]]/250</f>
        <v>2.1280000000000001</v>
      </c>
      <c r="BA295" s="780">
        <f>1-WWWW[[#This Row],[% Equitable and continuous access to sufficient quantity of domestic water]]</f>
        <v>0</v>
      </c>
      <c r="BB295" s="779">
        <f>WWWW[[#This Row],[%equitable and continuous access to sufficient quantity of safe drinking and domestic water''s GAP]]*WWWW[[#This Row],[Total PoP ]]</f>
        <v>0</v>
      </c>
      <c r="BC295" s="781">
        <f>IF(WWWW[[#This Row],[Total required water points]]-WWWW[[#This Row],['#Water points coverage]]&lt;0,0,WWWW[[#This Row],[Total required water points]]-WWWW[[#This Row],['#Water points coverage]])</f>
        <v>0</v>
      </c>
      <c r="BD295" s="781">
        <f>ROUND(IF(WWWW[[#This Row],[Total PoP ]]&lt;250,1,WWWW[[#This Row],[Total PoP ]]/250),0)</f>
        <v>2</v>
      </c>
      <c r="BE29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0.50751879699248126</v>
      </c>
      <c r="BF295" s="779">
        <f>WWWW[[#This Row],[% people access to functioning Latrine]]*WWWW[[#This Row],[Total PoP ]]</f>
        <v>270.00000000000006</v>
      </c>
      <c r="BG295" s="781">
        <f>WWWW[[#This Row],['#_of_Functioning_latrines_in_school]]*50</f>
        <v>0</v>
      </c>
      <c r="BH295" s="781">
        <f>ROUND((WWWW[[#This Row],[Total PoP ]]/6),0)</f>
        <v>89</v>
      </c>
      <c r="BI295" s="781">
        <f>IF(WWWW[[#This Row],[Total required Latrines]]-(WWWW[[#This Row],['#_of_sanitary_fly-proof_HH_latrines]])&lt;0,0,WWWW[[#This Row],[Total required Latrines]]-(WWWW[[#This Row],['#_of_sanitary_fly-proof_HH_latrines]]))</f>
        <v>44</v>
      </c>
      <c r="BJ295" s="778">
        <f>1-WWWW[[#This Row],[% people access to functioning Latrine]]</f>
        <v>0.49248120300751874</v>
      </c>
      <c r="BK29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5" s="772">
        <f>IF(WWWW[[#This Row],['#_of_functional_handwashing_facilities_at_HH_level]]*6&gt;WWWW[[#This Row],[Total PoP ]],WWWW[[#This Row],[Total PoP ]],WWWW[[#This Row],['#_of_functional_handwashing_facilities_at_HH_level]]*6)</f>
        <v>0</v>
      </c>
      <c r="BM295" s="781">
        <f>IF(WWWW[[#This Row],['# people reached by regular dedicated hygiene promotion]]&gt;WWWW[[#This Row],['# People received regular supply of hygiene items]],WWWW[[#This Row],['# people reached by regular dedicated hygiene promotion]],WWWW[[#This Row],['# People received regular supply of hygiene items]])</f>
        <v>0</v>
      </c>
      <c r="BN295" s="780">
        <f>IF(WWWW[[#This Row],[HRP3]]/WWWW[[#This Row],[Total PoP ]]&gt;100%,100%,WWWW[[#This Row],[HRP3]]/WWWW[[#This Row],[Total PoP ]])</f>
        <v>0</v>
      </c>
      <c r="BO295" s="778">
        <f>1-WWWW[[#This Row],[Hygiene Coverage%]]</f>
        <v>1</v>
      </c>
      <c r="BP295" s="777">
        <f>WWWW[[#This Row],['# people reached by regular dedicated hygiene promotion]]/WWWW[[#This Row],[Total PoP ]]</f>
        <v>0</v>
      </c>
      <c r="BQ29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5" s="770">
        <f>WWWW[[#This Row],['#_of_affected_women_and_girls_receiving_a_sufficient_quantity_of_sanitary_pads]]</f>
        <v>0</v>
      </c>
      <c r="BS295" s="773">
        <f>IF(WWWW[[#This Row],['# People with access to soap]]&gt;WWWW[[#This Row],['# People with access to Sanity Pads]],WWWW[[#This Row],['# People with access to soap]],WWWW[[#This Row],['# People with access to Sanity Pads]])</f>
        <v>0</v>
      </c>
      <c r="BT295" s="772" t="str">
        <f>IF(OR(WWWW[[#This Row],['#of students in school]]="",WWWW[[#This Row],['#of students in school]]=0),"No","Yes")</f>
        <v>No</v>
      </c>
      <c r="BU295" s="782" t="str">
        <f>VLOOKUP(WWWW[[#This Row],[Village  Name]],SiteDB6[[Site Name]:[Location Type 1]],9,FALSE)</f>
        <v>Village</v>
      </c>
      <c r="BV295" s="782" t="str">
        <f>VLOOKUP(WWWW[[#This Row],[Village  Name]],SiteDB6[[Site Name]:[Type of Accommodation]],10,FALSE)</f>
        <v>Village</v>
      </c>
      <c r="BW295" s="782">
        <f>VLOOKUP(WWWW[[#This Row],[Village  Name]],SiteDB6[[Site Name]:[Ethnic or GCA/NGCA]],11,FALSE)</f>
        <v>0</v>
      </c>
      <c r="BX295" s="782">
        <f>VLOOKUP(WWWW[[#This Row],[Village  Name]],SiteDB6[[Site Name]:[Lat]],12,FALSE)</f>
        <v>20.440990447998001</v>
      </c>
      <c r="BY295" s="782">
        <f>VLOOKUP(WWWW[[#This Row],[Village  Name]],SiteDB6[[Site Name]:[Long]],13,FALSE)</f>
        <v>93.336273193359403</v>
      </c>
      <c r="BZ295" s="782">
        <f>VLOOKUP(WWWW[[#This Row],[Village  Name]],SiteDB6[[Site Name]:[Pcode]],3,FALSE)</f>
        <v>197092</v>
      </c>
      <c r="CA295" s="782" t="str">
        <f t="shared" si="18"/>
        <v>Covered</v>
      </c>
      <c r="CB295" s="783"/>
    </row>
    <row r="296" spans="1:80">
      <c r="A296" s="774" t="s">
        <v>3199</v>
      </c>
      <c r="B296" s="727" t="s">
        <v>314</v>
      </c>
      <c r="C296" s="728" t="s">
        <v>314</v>
      </c>
      <c r="D296" s="728" t="s">
        <v>307</v>
      </c>
      <c r="E296" s="728" t="s">
        <v>2648</v>
      </c>
      <c r="F296" s="728" t="s">
        <v>312</v>
      </c>
      <c r="G296" s="644" t="str">
        <f>VLOOKUP(WWWW[[#This Row],[Village  Name]],SiteDB6[[Site Name]:[Location Type]],8,FALSE)</f>
        <v>Village</v>
      </c>
      <c r="H296" s="728" t="s">
        <v>2613</v>
      </c>
      <c r="I296" s="775">
        <v>142</v>
      </c>
      <c r="J296" s="775">
        <v>542</v>
      </c>
      <c r="K296" s="784">
        <v>42736</v>
      </c>
      <c r="L296" s="785">
        <v>44551</v>
      </c>
      <c r="M296" s="775"/>
      <c r="N296" s="775"/>
      <c r="O296" s="773">
        <v>11</v>
      </c>
      <c r="P296" s="775">
        <v>65</v>
      </c>
      <c r="Q296" s="775">
        <v>2</v>
      </c>
      <c r="R296" s="775"/>
      <c r="S296" s="775"/>
      <c r="T296" s="775"/>
      <c r="U296" s="776"/>
      <c r="V296" s="775">
        <v>56</v>
      </c>
      <c r="W296" s="775" t="s">
        <v>130</v>
      </c>
      <c r="X296" s="775"/>
      <c r="Y296" s="775"/>
      <c r="Z296" s="775"/>
      <c r="AA296" s="775"/>
      <c r="AB296" s="775"/>
      <c r="AC296" s="776"/>
      <c r="AD296" s="775"/>
      <c r="AE296" s="775"/>
      <c r="AF296" s="775"/>
      <c r="AG296" s="775"/>
      <c r="AH296" s="775"/>
      <c r="AI296" s="775"/>
      <c r="AJ296" s="773"/>
      <c r="AK296" s="775"/>
      <c r="AL296" s="773"/>
      <c r="AM296" s="773"/>
      <c r="AN296" s="776"/>
      <c r="AO296" s="769"/>
      <c r="AP296" s="769"/>
      <c r="AQ296" s="773"/>
      <c r="AR296" s="773"/>
      <c r="AS296" s="773"/>
      <c r="AT29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96" s="779">
        <f>WWWW[[#This Row],[%Equitable and continuous access to sufficient quantity of safe drinking water]]*WWWW[[#This Row],[Total PoP ]]</f>
        <v>542</v>
      </c>
      <c r="AV29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96" s="779">
        <f>WWWW[[#This Row],[% Access to unimproved water points]]*WWWW[[#This Row],[Total PoP ]]</f>
        <v>542</v>
      </c>
      <c r="AX29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9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542</v>
      </c>
      <c r="AZ296" s="779">
        <f>WWWW[[#This Row],[HRP1]]/250</f>
        <v>2.1680000000000001</v>
      </c>
      <c r="BA296" s="780">
        <f>1-WWWW[[#This Row],[% Equitable and continuous access to sufficient quantity of domestic water]]</f>
        <v>0</v>
      </c>
      <c r="BB296" s="779">
        <f>WWWW[[#This Row],[%equitable and continuous access to sufficient quantity of safe drinking and domestic water''s GAP]]*WWWW[[#This Row],[Total PoP ]]</f>
        <v>0</v>
      </c>
      <c r="BC296" s="781">
        <f>IF(WWWW[[#This Row],[Total required water points]]-WWWW[[#This Row],['#Water points coverage]]&lt;0,0,WWWW[[#This Row],[Total required water points]]-WWWW[[#This Row],['#Water points coverage]])</f>
        <v>0</v>
      </c>
      <c r="BD296" s="781">
        <f>ROUND(IF(WWWW[[#This Row],[Total PoP ]]&lt;250,1,WWWW[[#This Row],[Total PoP ]]/250),0)</f>
        <v>2</v>
      </c>
      <c r="BE29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0.61992619926199266</v>
      </c>
      <c r="BF296" s="779">
        <f>WWWW[[#This Row],[% people access to functioning Latrine]]*WWWW[[#This Row],[Total PoP ]]</f>
        <v>336</v>
      </c>
      <c r="BG296" s="781">
        <f>WWWW[[#This Row],['#_of_Functioning_latrines_in_school]]*50</f>
        <v>0</v>
      </c>
      <c r="BH296" s="781">
        <f>ROUND((WWWW[[#This Row],[Total PoP ]]/6),0)</f>
        <v>90</v>
      </c>
      <c r="BI296" s="781">
        <f>IF(WWWW[[#This Row],[Total required Latrines]]-(WWWW[[#This Row],['#_of_sanitary_fly-proof_HH_latrines]])&lt;0,0,WWWW[[#This Row],[Total required Latrines]]-(WWWW[[#This Row],['#_of_sanitary_fly-proof_HH_latrines]]))</f>
        <v>34</v>
      </c>
      <c r="BJ296" s="778">
        <f>1-WWWW[[#This Row],[% people access to functioning Latrine]]</f>
        <v>0.38007380073800734</v>
      </c>
      <c r="BK29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6" s="772">
        <f>IF(WWWW[[#This Row],['#_of_functional_handwashing_facilities_at_HH_level]]*6&gt;WWWW[[#This Row],[Total PoP ]],WWWW[[#This Row],[Total PoP ]],WWWW[[#This Row],['#_of_functional_handwashing_facilities_at_HH_level]]*6)</f>
        <v>0</v>
      </c>
      <c r="BM296" s="781">
        <f>IF(WWWW[[#This Row],['# people reached by regular dedicated hygiene promotion]]&gt;WWWW[[#This Row],['# People received regular supply of hygiene items]],WWWW[[#This Row],['# people reached by regular dedicated hygiene promotion]],WWWW[[#This Row],['# People received regular supply of hygiene items]])</f>
        <v>0</v>
      </c>
      <c r="BN296" s="780">
        <f>IF(WWWW[[#This Row],[HRP3]]/WWWW[[#This Row],[Total PoP ]]&gt;100%,100%,WWWW[[#This Row],[HRP3]]/WWWW[[#This Row],[Total PoP ]])</f>
        <v>0</v>
      </c>
      <c r="BO296" s="778">
        <f>1-WWWW[[#This Row],[Hygiene Coverage%]]</f>
        <v>1</v>
      </c>
      <c r="BP296" s="777">
        <f>WWWW[[#This Row],['# people reached by regular dedicated hygiene promotion]]/WWWW[[#This Row],[Total PoP ]]</f>
        <v>0</v>
      </c>
      <c r="BQ29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6" s="770">
        <f>WWWW[[#This Row],['#_of_affected_women_and_girls_receiving_a_sufficient_quantity_of_sanitary_pads]]</f>
        <v>0</v>
      </c>
      <c r="BS296" s="773">
        <f>IF(WWWW[[#This Row],['# People with access to soap]]&gt;WWWW[[#This Row],['# People with access to Sanity Pads]],WWWW[[#This Row],['# People with access to soap]],WWWW[[#This Row],['# People with access to Sanity Pads]])</f>
        <v>0</v>
      </c>
      <c r="BT296" s="772" t="str">
        <f>IF(OR(WWWW[[#This Row],['#of students in school]]="",WWWW[[#This Row],['#of students in school]]=0),"No","Yes")</f>
        <v>No</v>
      </c>
      <c r="BU296" s="782" t="str">
        <f>VLOOKUP(WWWW[[#This Row],[Village  Name]],SiteDB6[[Site Name]:[Location Type 1]],9,FALSE)</f>
        <v>Village</v>
      </c>
      <c r="BV296" s="782" t="str">
        <f>VLOOKUP(WWWW[[#This Row],[Village  Name]],SiteDB6[[Site Name]:[Type of Accommodation]],10,FALSE)</f>
        <v>Village</v>
      </c>
      <c r="BW296" s="782">
        <f>VLOOKUP(WWWW[[#This Row],[Village  Name]],SiteDB6[[Site Name]:[Ethnic or GCA/NGCA]],11,FALSE)</f>
        <v>0</v>
      </c>
      <c r="BX296" s="782">
        <f>VLOOKUP(WWWW[[#This Row],[Village  Name]],SiteDB6[[Site Name]:[Lat]],12,FALSE)</f>
        <v>20.438470840454102</v>
      </c>
      <c r="BY296" s="782">
        <f>VLOOKUP(WWWW[[#This Row],[Village  Name]],SiteDB6[[Site Name]:[Long]],13,FALSE)</f>
        <v>93.344322204589801</v>
      </c>
      <c r="BZ296" s="782">
        <f>VLOOKUP(WWWW[[#This Row],[Village  Name]],SiteDB6[[Site Name]:[Pcode]],3,FALSE)</f>
        <v>197100</v>
      </c>
      <c r="CA296" s="782" t="str">
        <f t="shared" si="18"/>
        <v>Covered</v>
      </c>
      <c r="CB296" s="783"/>
    </row>
    <row r="297" spans="1:80">
      <c r="A297" s="774" t="s">
        <v>3199</v>
      </c>
      <c r="B297" s="727" t="s">
        <v>314</v>
      </c>
      <c r="C297" s="728" t="s">
        <v>314</v>
      </c>
      <c r="D297" s="728" t="s">
        <v>307</v>
      </c>
      <c r="E297" s="728" t="s">
        <v>2648</v>
      </c>
      <c r="F297" s="728" t="s">
        <v>312</v>
      </c>
      <c r="G297" s="644" t="str">
        <f>VLOOKUP(WWWW[[#This Row],[Village  Name]],SiteDB6[[Site Name]:[Location Type]],8,FALSE)</f>
        <v>Village</v>
      </c>
      <c r="H297" s="728" t="s">
        <v>2614</v>
      </c>
      <c r="I297" s="775">
        <v>290</v>
      </c>
      <c r="J297" s="775">
        <v>1314</v>
      </c>
      <c r="K297" s="784">
        <v>42736</v>
      </c>
      <c r="L297" s="785">
        <v>44551</v>
      </c>
      <c r="M297" s="775"/>
      <c r="N297" s="775"/>
      <c r="O297" s="773">
        <v>7</v>
      </c>
      <c r="P297" s="775">
        <v>135</v>
      </c>
      <c r="Q297" s="775">
        <v>3</v>
      </c>
      <c r="R297" s="775"/>
      <c r="S297" s="775"/>
      <c r="T297" s="775"/>
      <c r="U297" s="776"/>
      <c r="V297" s="775">
        <v>159</v>
      </c>
      <c r="W297" s="775" t="s">
        <v>130</v>
      </c>
      <c r="X297" s="775"/>
      <c r="Y297" s="775"/>
      <c r="Z297" s="775"/>
      <c r="AA297" s="775"/>
      <c r="AB297" s="775"/>
      <c r="AC297" s="776"/>
      <c r="AD297" s="775"/>
      <c r="AE297" s="775"/>
      <c r="AF297" s="775"/>
      <c r="AG297" s="775"/>
      <c r="AH297" s="775"/>
      <c r="AI297" s="775"/>
      <c r="AJ297" s="773"/>
      <c r="AK297" s="775"/>
      <c r="AL297" s="773"/>
      <c r="AM297" s="773"/>
      <c r="AN297" s="776"/>
      <c r="AO297" s="769"/>
      <c r="AP297" s="769"/>
      <c r="AQ297" s="773"/>
      <c r="AR297" s="773"/>
      <c r="AS297" s="773"/>
      <c r="AT29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97" s="779">
        <f>WWWW[[#This Row],[%Equitable and continuous access to sufficient quantity of safe drinking water]]*WWWW[[#This Row],[Total PoP ]]</f>
        <v>1314</v>
      </c>
      <c r="AV29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97" s="779">
        <f>WWWW[[#This Row],[% Access to unimproved water points]]*WWWW[[#This Row],[Total PoP ]]</f>
        <v>1314</v>
      </c>
      <c r="AX29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9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1314</v>
      </c>
      <c r="AZ297" s="779">
        <f>WWWW[[#This Row],[HRP1]]/250</f>
        <v>5.2560000000000002</v>
      </c>
      <c r="BA297" s="780">
        <f>1-WWWW[[#This Row],[% Equitable and continuous access to sufficient quantity of domestic water]]</f>
        <v>0</v>
      </c>
      <c r="BB297" s="779">
        <f>WWWW[[#This Row],[%equitable and continuous access to sufficient quantity of safe drinking and domestic water''s GAP]]*WWWW[[#This Row],[Total PoP ]]</f>
        <v>0</v>
      </c>
      <c r="BC297" s="781">
        <f>IF(WWWW[[#This Row],[Total required water points]]-WWWW[[#This Row],['#Water points coverage]]&lt;0,0,WWWW[[#This Row],[Total required water points]]-WWWW[[#This Row],['#Water points coverage]])</f>
        <v>0</v>
      </c>
      <c r="BD297" s="781">
        <f>ROUND(IF(WWWW[[#This Row],[Total PoP ]]&lt;250,1,WWWW[[#This Row],[Total PoP ]]/250),0)</f>
        <v>5</v>
      </c>
      <c r="BE29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0.72602739726027399</v>
      </c>
      <c r="BF297" s="779">
        <f>WWWW[[#This Row],[% people access to functioning Latrine]]*WWWW[[#This Row],[Total PoP ]]</f>
        <v>954</v>
      </c>
      <c r="BG297" s="781">
        <f>WWWW[[#This Row],['#_of_Functioning_latrines_in_school]]*50</f>
        <v>0</v>
      </c>
      <c r="BH297" s="781">
        <f>ROUND((WWWW[[#This Row],[Total PoP ]]/6),0)</f>
        <v>219</v>
      </c>
      <c r="BI297" s="781">
        <f>IF(WWWW[[#This Row],[Total required Latrines]]-(WWWW[[#This Row],['#_of_sanitary_fly-proof_HH_latrines]])&lt;0,0,WWWW[[#This Row],[Total required Latrines]]-(WWWW[[#This Row],['#_of_sanitary_fly-proof_HH_latrines]]))</f>
        <v>60</v>
      </c>
      <c r="BJ297" s="778">
        <f>1-WWWW[[#This Row],[% people access to functioning Latrine]]</f>
        <v>0.27397260273972601</v>
      </c>
      <c r="BK29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7" s="772">
        <f>IF(WWWW[[#This Row],['#_of_functional_handwashing_facilities_at_HH_level]]*6&gt;WWWW[[#This Row],[Total PoP ]],WWWW[[#This Row],[Total PoP ]],WWWW[[#This Row],['#_of_functional_handwashing_facilities_at_HH_level]]*6)</f>
        <v>0</v>
      </c>
      <c r="BM297" s="781">
        <f>IF(WWWW[[#This Row],['# people reached by regular dedicated hygiene promotion]]&gt;WWWW[[#This Row],['# People received regular supply of hygiene items]],WWWW[[#This Row],['# people reached by regular dedicated hygiene promotion]],WWWW[[#This Row],['# People received regular supply of hygiene items]])</f>
        <v>0</v>
      </c>
      <c r="BN297" s="780">
        <f>IF(WWWW[[#This Row],[HRP3]]/WWWW[[#This Row],[Total PoP ]]&gt;100%,100%,WWWW[[#This Row],[HRP3]]/WWWW[[#This Row],[Total PoP ]])</f>
        <v>0</v>
      </c>
      <c r="BO297" s="778">
        <f>1-WWWW[[#This Row],[Hygiene Coverage%]]</f>
        <v>1</v>
      </c>
      <c r="BP297" s="777">
        <f>WWWW[[#This Row],['# people reached by regular dedicated hygiene promotion]]/WWWW[[#This Row],[Total PoP ]]</f>
        <v>0</v>
      </c>
      <c r="BQ29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7" s="770">
        <f>WWWW[[#This Row],['#_of_affected_women_and_girls_receiving_a_sufficient_quantity_of_sanitary_pads]]</f>
        <v>0</v>
      </c>
      <c r="BS297" s="773">
        <f>IF(WWWW[[#This Row],['# People with access to soap]]&gt;WWWW[[#This Row],['# People with access to Sanity Pads]],WWWW[[#This Row],['# People with access to soap]],WWWW[[#This Row],['# People with access to Sanity Pads]])</f>
        <v>0</v>
      </c>
      <c r="BT297" s="772" t="str">
        <f>IF(OR(WWWW[[#This Row],['#of students in school]]="",WWWW[[#This Row],['#of students in school]]=0),"No","Yes")</f>
        <v>No</v>
      </c>
      <c r="BU297" s="782" t="str">
        <f>VLOOKUP(WWWW[[#This Row],[Village  Name]],SiteDB6[[Site Name]:[Location Type 1]],9,FALSE)</f>
        <v>Village</v>
      </c>
      <c r="BV297" s="782" t="str">
        <f>VLOOKUP(WWWW[[#This Row],[Village  Name]],SiteDB6[[Site Name]:[Type of Accommodation]],10,FALSE)</f>
        <v>Village</v>
      </c>
      <c r="BW297" s="782">
        <f>VLOOKUP(WWWW[[#This Row],[Village  Name]],SiteDB6[[Site Name]:[Ethnic or GCA/NGCA]],11,FALSE)</f>
        <v>0</v>
      </c>
      <c r="BX297" s="782">
        <f>VLOOKUP(WWWW[[#This Row],[Village  Name]],SiteDB6[[Site Name]:[Lat]],12,FALSE)</f>
        <v>20.424299240112301</v>
      </c>
      <c r="BY297" s="782">
        <f>VLOOKUP(WWWW[[#This Row],[Village  Name]],SiteDB6[[Site Name]:[Long]],13,FALSE)</f>
        <v>93.337341308593807</v>
      </c>
      <c r="BZ297" s="782">
        <f>VLOOKUP(WWWW[[#This Row],[Village  Name]],SiteDB6[[Site Name]:[Pcode]],3,FALSE)</f>
        <v>197099</v>
      </c>
      <c r="CA297" s="782" t="str">
        <f t="shared" si="18"/>
        <v>Covered</v>
      </c>
      <c r="CB297" s="783"/>
    </row>
    <row r="298" spans="1:80">
      <c r="A298" s="774" t="s">
        <v>3199</v>
      </c>
      <c r="B298" s="727" t="s">
        <v>314</v>
      </c>
      <c r="C298" s="728" t="s">
        <v>314</v>
      </c>
      <c r="D298" s="728" t="s">
        <v>307</v>
      </c>
      <c r="E298" s="728" t="s">
        <v>2648</v>
      </c>
      <c r="F298" s="728" t="s">
        <v>312</v>
      </c>
      <c r="G298" s="644" t="str">
        <f>VLOOKUP(WWWW[[#This Row],[Village  Name]],SiteDB6[[Site Name]:[Location Type]],8,FALSE)</f>
        <v>Village</v>
      </c>
      <c r="H298" s="728" t="s">
        <v>2615</v>
      </c>
      <c r="I298" s="775">
        <v>215</v>
      </c>
      <c r="J298" s="775">
        <v>1125</v>
      </c>
      <c r="K298" s="784">
        <v>42736</v>
      </c>
      <c r="L298" s="785">
        <v>44551</v>
      </c>
      <c r="M298" s="775"/>
      <c r="N298" s="775"/>
      <c r="O298" s="773">
        <v>0</v>
      </c>
      <c r="P298" s="775">
        <v>40</v>
      </c>
      <c r="Q298" s="775">
        <v>1</v>
      </c>
      <c r="R298" s="775"/>
      <c r="S298" s="775"/>
      <c r="T298" s="775"/>
      <c r="U298" s="776"/>
      <c r="V298" s="775">
        <v>36</v>
      </c>
      <c r="W298" s="775" t="s">
        <v>130</v>
      </c>
      <c r="X298" s="775"/>
      <c r="Y298" s="775"/>
      <c r="Z298" s="775"/>
      <c r="AA298" s="775"/>
      <c r="AB298" s="775"/>
      <c r="AC298" s="776"/>
      <c r="AD298" s="775"/>
      <c r="AE298" s="775"/>
      <c r="AF298" s="775"/>
      <c r="AG298" s="775"/>
      <c r="AH298" s="775"/>
      <c r="AI298" s="775"/>
      <c r="AJ298" s="773"/>
      <c r="AK298" s="775"/>
      <c r="AL298" s="773"/>
      <c r="AM298" s="773"/>
      <c r="AN298" s="776"/>
      <c r="AO298" s="769"/>
      <c r="AP298" s="769"/>
      <c r="AQ298" s="773"/>
      <c r="AR298" s="773"/>
      <c r="AS298" s="773"/>
      <c r="AT29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98" s="779">
        <f>WWWW[[#This Row],[%Equitable and continuous access to sufficient quantity of safe drinking water]]*WWWW[[#This Row],[Total PoP ]]</f>
        <v>1125</v>
      </c>
      <c r="AV29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98" s="779">
        <f>WWWW[[#This Row],[% Access to unimproved water points]]*WWWW[[#This Row],[Total PoP ]]</f>
        <v>1125</v>
      </c>
      <c r="AX29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9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1125</v>
      </c>
      <c r="AZ298" s="779">
        <f>WWWW[[#This Row],[HRP1]]/250</f>
        <v>4.5</v>
      </c>
      <c r="BA298" s="780">
        <f>1-WWWW[[#This Row],[% Equitable and continuous access to sufficient quantity of domestic water]]</f>
        <v>0</v>
      </c>
      <c r="BB298" s="779">
        <f>WWWW[[#This Row],[%equitable and continuous access to sufficient quantity of safe drinking and domestic water''s GAP]]*WWWW[[#This Row],[Total PoP ]]</f>
        <v>0</v>
      </c>
      <c r="BC298" s="781">
        <f>IF(WWWW[[#This Row],[Total required water points]]-WWWW[[#This Row],['#Water points coverage]]&lt;0,0,WWWW[[#This Row],[Total required water points]]-WWWW[[#This Row],['#Water points coverage]])</f>
        <v>0.5</v>
      </c>
      <c r="BD298" s="781">
        <f>ROUND(IF(WWWW[[#This Row],[Total PoP ]]&lt;250,1,WWWW[[#This Row],[Total PoP ]]/250),0)</f>
        <v>5</v>
      </c>
      <c r="BE29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0.192</v>
      </c>
      <c r="BF298" s="779">
        <f>WWWW[[#This Row],[% people access to functioning Latrine]]*WWWW[[#This Row],[Total PoP ]]</f>
        <v>216</v>
      </c>
      <c r="BG298" s="781">
        <f>WWWW[[#This Row],['#_of_Functioning_latrines_in_school]]*50</f>
        <v>0</v>
      </c>
      <c r="BH298" s="781">
        <f>ROUND((WWWW[[#This Row],[Total PoP ]]/6),0)</f>
        <v>188</v>
      </c>
      <c r="BI298" s="781">
        <f>IF(WWWW[[#This Row],[Total required Latrines]]-(WWWW[[#This Row],['#_of_sanitary_fly-proof_HH_latrines]])&lt;0,0,WWWW[[#This Row],[Total required Latrines]]-(WWWW[[#This Row],['#_of_sanitary_fly-proof_HH_latrines]]))</f>
        <v>152</v>
      </c>
      <c r="BJ298" s="778">
        <f>1-WWWW[[#This Row],[% people access to functioning Latrine]]</f>
        <v>0.80800000000000005</v>
      </c>
      <c r="BK29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8" s="772">
        <f>IF(WWWW[[#This Row],['#_of_functional_handwashing_facilities_at_HH_level]]*6&gt;WWWW[[#This Row],[Total PoP ]],WWWW[[#This Row],[Total PoP ]],WWWW[[#This Row],['#_of_functional_handwashing_facilities_at_HH_level]]*6)</f>
        <v>0</v>
      </c>
      <c r="BM298" s="781">
        <f>IF(WWWW[[#This Row],['# people reached by regular dedicated hygiene promotion]]&gt;WWWW[[#This Row],['# People received regular supply of hygiene items]],WWWW[[#This Row],['# people reached by regular dedicated hygiene promotion]],WWWW[[#This Row],['# People received regular supply of hygiene items]])</f>
        <v>0</v>
      </c>
      <c r="BN298" s="780">
        <f>IF(WWWW[[#This Row],[HRP3]]/WWWW[[#This Row],[Total PoP ]]&gt;100%,100%,WWWW[[#This Row],[HRP3]]/WWWW[[#This Row],[Total PoP ]])</f>
        <v>0</v>
      </c>
      <c r="BO298" s="778">
        <f>1-WWWW[[#This Row],[Hygiene Coverage%]]</f>
        <v>1</v>
      </c>
      <c r="BP298" s="777">
        <f>WWWW[[#This Row],['# people reached by regular dedicated hygiene promotion]]/WWWW[[#This Row],[Total PoP ]]</f>
        <v>0</v>
      </c>
      <c r="BQ29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8" s="770">
        <f>WWWW[[#This Row],['#_of_affected_women_and_girls_receiving_a_sufficient_quantity_of_sanitary_pads]]</f>
        <v>0</v>
      </c>
      <c r="BS298" s="773">
        <f>IF(WWWW[[#This Row],['# People with access to soap]]&gt;WWWW[[#This Row],['# People with access to Sanity Pads]],WWWW[[#This Row],['# People with access to soap]],WWWW[[#This Row],['# People with access to Sanity Pads]])</f>
        <v>0</v>
      </c>
      <c r="BT298" s="772" t="str">
        <f>IF(OR(WWWW[[#This Row],['#of students in school]]="",WWWW[[#This Row],['#of students in school]]=0),"No","Yes")</f>
        <v>No</v>
      </c>
      <c r="BU298" s="782" t="str">
        <f>VLOOKUP(WWWW[[#This Row],[Village  Name]],SiteDB6[[Site Name]:[Location Type 1]],9,FALSE)</f>
        <v>Village</v>
      </c>
      <c r="BV298" s="782" t="str">
        <f>VLOOKUP(WWWW[[#This Row],[Village  Name]],SiteDB6[[Site Name]:[Type of Accommodation]],10,FALSE)</f>
        <v>Village</v>
      </c>
      <c r="BW298" s="782">
        <f>VLOOKUP(WWWW[[#This Row],[Village  Name]],SiteDB6[[Site Name]:[Ethnic or GCA/NGCA]],11,FALSE)</f>
        <v>0</v>
      </c>
      <c r="BX298" s="782">
        <f>VLOOKUP(WWWW[[#This Row],[Village  Name]],SiteDB6[[Site Name]:[Lat]],12,FALSE)</f>
        <v>20.470190048217798</v>
      </c>
      <c r="BY298" s="782">
        <f>VLOOKUP(WWWW[[#This Row],[Village  Name]],SiteDB6[[Site Name]:[Long]],13,FALSE)</f>
        <v>93.3311767578125</v>
      </c>
      <c r="BZ298" s="782">
        <f>VLOOKUP(WWWW[[#This Row],[Village  Name]],SiteDB6[[Site Name]:[Pcode]],3,FALSE)</f>
        <v>197102</v>
      </c>
      <c r="CA298" s="782" t="str">
        <f t="shared" si="18"/>
        <v>Covered</v>
      </c>
      <c r="CB298" s="783"/>
    </row>
    <row r="299" spans="1:80">
      <c r="A299" s="774" t="s">
        <v>3199</v>
      </c>
      <c r="B299" s="727" t="s">
        <v>314</v>
      </c>
      <c r="C299" s="728" t="s">
        <v>314</v>
      </c>
      <c r="D299" s="728" t="s">
        <v>307</v>
      </c>
      <c r="E299" s="728" t="s">
        <v>2648</v>
      </c>
      <c r="F299" s="728" t="s">
        <v>312</v>
      </c>
      <c r="G299" s="644" t="str">
        <f>VLOOKUP(WWWW[[#This Row],[Village  Name]],SiteDB6[[Site Name]:[Location Type]],8,FALSE)</f>
        <v>Village</v>
      </c>
      <c r="H299" s="728" t="s">
        <v>2616</v>
      </c>
      <c r="I299" s="775">
        <v>181</v>
      </c>
      <c r="J299" s="775">
        <v>940</v>
      </c>
      <c r="K299" s="784">
        <v>42736</v>
      </c>
      <c r="L299" s="785">
        <v>44551</v>
      </c>
      <c r="M299" s="775"/>
      <c r="N299" s="775"/>
      <c r="O299" s="773">
        <v>0</v>
      </c>
      <c r="P299" s="775">
        <v>78</v>
      </c>
      <c r="Q299" s="775">
        <v>2</v>
      </c>
      <c r="R299" s="775"/>
      <c r="S299" s="775"/>
      <c r="T299" s="775"/>
      <c r="U299" s="776"/>
      <c r="V299" s="775">
        <v>88</v>
      </c>
      <c r="W299" s="775" t="s">
        <v>130</v>
      </c>
      <c r="X299" s="775"/>
      <c r="Y299" s="775"/>
      <c r="Z299" s="775"/>
      <c r="AA299" s="775"/>
      <c r="AB299" s="775"/>
      <c r="AC299" s="776"/>
      <c r="AD299" s="775"/>
      <c r="AE299" s="775"/>
      <c r="AF299" s="775"/>
      <c r="AG299" s="775"/>
      <c r="AH299" s="775"/>
      <c r="AI299" s="775"/>
      <c r="AJ299" s="773"/>
      <c r="AK299" s="775"/>
      <c r="AL299" s="773"/>
      <c r="AM299" s="773"/>
      <c r="AN299" s="776"/>
      <c r="AO299" s="769"/>
      <c r="AP299" s="769"/>
      <c r="AQ299" s="773"/>
      <c r="AR299" s="773"/>
      <c r="AS299" s="773"/>
      <c r="AT29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299" s="779">
        <f>WWWW[[#This Row],[%Equitable and continuous access to sufficient quantity of safe drinking water]]*WWWW[[#This Row],[Total PoP ]]</f>
        <v>940</v>
      </c>
      <c r="AV29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299" s="779">
        <f>WWWW[[#This Row],[% Access to unimproved water points]]*WWWW[[#This Row],[Total PoP ]]</f>
        <v>940</v>
      </c>
      <c r="AX29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29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940</v>
      </c>
      <c r="AZ299" s="779">
        <f>WWWW[[#This Row],[HRP1]]/250</f>
        <v>3.76</v>
      </c>
      <c r="BA299" s="780">
        <f>1-WWWW[[#This Row],[% Equitable and continuous access to sufficient quantity of domestic water]]</f>
        <v>0</v>
      </c>
      <c r="BB299" s="779">
        <f>WWWW[[#This Row],[%equitable and continuous access to sufficient quantity of safe drinking and domestic water''s GAP]]*WWWW[[#This Row],[Total PoP ]]</f>
        <v>0</v>
      </c>
      <c r="BC299" s="781">
        <f>IF(WWWW[[#This Row],[Total required water points]]-WWWW[[#This Row],['#Water points coverage]]&lt;0,0,WWWW[[#This Row],[Total required water points]]-WWWW[[#This Row],['#Water points coverage]])</f>
        <v>0.24000000000000021</v>
      </c>
      <c r="BD299" s="781">
        <f>ROUND(IF(WWWW[[#This Row],[Total PoP ]]&lt;250,1,WWWW[[#This Row],[Total PoP ]]/250),0)</f>
        <v>4</v>
      </c>
      <c r="BE29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0.5617021276595745</v>
      </c>
      <c r="BF299" s="779">
        <f>WWWW[[#This Row],[% people access to functioning Latrine]]*WWWW[[#This Row],[Total PoP ]]</f>
        <v>528</v>
      </c>
      <c r="BG299" s="781">
        <f>WWWW[[#This Row],['#_of_Functioning_latrines_in_school]]*50</f>
        <v>0</v>
      </c>
      <c r="BH299" s="781">
        <f>ROUND((WWWW[[#This Row],[Total PoP ]]/6),0)</f>
        <v>157</v>
      </c>
      <c r="BI299" s="781">
        <f>IF(WWWW[[#This Row],[Total required Latrines]]-(WWWW[[#This Row],['#_of_sanitary_fly-proof_HH_latrines]])&lt;0,0,WWWW[[#This Row],[Total required Latrines]]-(WWWW[[#This Row],['#_of_sanitary_fly-proof_HH_latrines]]))</f>
        <v>69</v>
      </c>
      <c r="BJ299" s="778">
        <f>1-WWWW[[#This Row],[% people access to functioning Latrine]]</f>
        <v>0.4382978723404255</v>
      </c>
      <c r="BK29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299" s="772">
        <f>IF(WWWW[[#This Row],['#_of_functional_handwashing_facilities_at_HH_level]]*6&gt;WWWW[[#This Row],[Total PoP ]],WWWW[[#This Row],[Total PoP ]],WWWW[[#This Row],['#_of_functional_handwashing_facilities_at_HH_level]]*6)</f>
        <v>0</v>
      </c>
      <c r="BM299" s="781">
        <f>IF(WWWW[[#This Row],['# people reached by regular dedicated hygiene promotion]]&gt;WWWW[[#This Row],['# People received regular supply of hygiene items]],WWWW[[#This Row],['# people reached by regular dedicated hygiene promotion]],WWWW[[#This Row],['# People received regular supply of hygiene items]])</f>
        <v>0</v>
      </c>
      <c r="BN299" s="780">
        <f>IF(WWWW[[#This Row],[HRP3]]/WWWW[[#This Row],[Total PoP ]]&gt;100%,100%,WWWW[[#This Row],[HRP3]]/WWWW[[#This Row],[Total PoP ]])</f>
        <v>0</v>
      </c>
      <c r="BO299" s="778">
        <f>1-WWWW[[#This Row],[Hygiene Coverage%]]</f>
        <v>1</v>
      </c>
      <c r="BP299" s="777">
        <f>WWWW[[#This Row],['# people reached by regular dedicated hygiene promotion]]/WWWW[[#This Row],[Total PoP ]]</f>
        <v>0</v>
      </c>
      <c r="BQ29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299" s="770">
        <f>WWWW[[#This Row],['#_of_affected_women_and_girls_receiving_a_sufficient_quantity_of_sanitary_pads]]</f>
        <v>0</v>
      </c>
      <c r="BS299" s="773">
        <f>IF(WWWW[[#This Row],['# People with access to soap]]&gt;WWWW[[#This Row],['# People with access to Sanity Pads]],WWWW[[#This Row],['# People with access to soap]],WWWW[[#This Row],['# People with access to Sanity Pads]])</f>
        <v>0</v>
      </c>
      <c r="BT299" s="772" t="str">
        <f>IF(OR(WWWW[[#This Row],['#of students in school]]="",WWWW[[#This Row],['#of students in school]]=0),"No","Yes")</f>
        <v>No</v>
      </c>
      <c r="BU299" s="782" t="str">
        <f>VLOOKUP(WWWW[[#This Row],[Village  Name]],SiteDB6[[Site Name]:[Location Type 1]],9,FALSE)</f>
        <v>Village</v>
      </c>
      <c r="BV299" s="782" t="str">
        <f>VLOOKUP(WWWW[[#This Row],[Village  Name]],SiteDB6[[Site Name]:[Type of Accommodation]],10,FALSE)</f>
        <v>Village</v>
      </c>
      <c r="BW299" s="782">
        <f>VLOOKUP(WWWW[[#This Row],[Village  Name]],SiteDB6[[Site Name]:[Ethnic or GCA/NGCA]],11,FALSE)</f>
        <v>0</v>
      </c>
      <c r="BX299" s="782">
        <f>VLOOKUP(WWWW[[#This Row],[Village  Name]],SiteDB6[[Site Name]:[Lat]],12,FALSE)</f>
        <v>20.494003295898398</v>
      </c>
      <c r="BY299" s="782">
        <f>VLOOKUP(WWWW[[#This Row],[Village  Name]],SiteDB6[[Site Name]:[Long]],13,FALSE)</f>
        <v>93.324035644531307</v>
      </c>
      <c r="BZ299" s="782">
        <f>VLOOKUP(WWWW[[#This Row],[Village  Name]],SiteDB6[[Site Name]:[Pcode]],3,FALSE)</f>
        <v>220651</v>
      </c>
      <c r="CA299" s="782" t="str">
        <f t="shared" si="18"/>
        <v>Covered</v>
      </c>
      <c r="CB299" s="783"/>
    </row>
    <row r="300" spans="1:80">
      <c r="A300" s="774" t="s">
        <v>3199</v>
      </c>
      <c r="B300" s="727" t="s">
        <v>314</v>
      </c>
      <c r="C300" s="728" t="s">
        <v>314</v>
      </c>
      <c r="D300" s="728" t="s">
        <v>307</v>
      </c>
      <c r="E300" s="728" t="s">
        <v>2648</v>
      </c>
      <c r="F300" s="728" t="s">
        <v>312</v>
      </c>
      <c r="G300" s="644" t="str">
        <f>VLOOKUP(WWWW[[#This Row],[Village  Name]],SiteDB6[[Site Name]:[Location Type]],8,FALSE)</f>
        <v>Village</v>
      </c>
      <c r="H300" s="728" t="s">
        <v>2617</v>
      </c>
      <c r="I300" s="775">
        <v>170</v>
      </c>
      <c r="J300" s="775">
        <v>743</v>
      </c>
      <c r="K300" s="784">
        <v>42736</v>
      </c>
      <c r="L300" s="785">
        <v>44551</v>
      </c>
      <c r="M300" s="775"/>
      <c r="N300" s="775"/>
      <c r="O300" s="773">
        <v>14</v>
      </c>
      <c r="P300" s="775">
        <v>69</v>
      </c>
      <c r="Q300" s="775">
        <v>3</v>
      </c>
      <c r="R300" s="775"/>
      <c r="S300" s="775"/>
      <c r="T300" s="775"/>
      <c r="U300" s="776"/>
      <c r="V300" s="775">
        <v>71</v>
      </c>
      <c r="W300" s="775" t="s">
        <v>130</v>
      </c>
      <c r="X300" s="775"/>
      <c r="Y300" s="775"/>
      <c r="Z300" s="775"/>
      <c r="AA300" s="775"/>
      <c r="AB300" s="775"/>
      <c r="AC300" s="776"/>
      <c r="AD300" s="775"/>
      <c r="AE300" s="775"/>
      <c r="AF300" s="775"/>
      <c r="AG300" s="775"/>
      <c r="AH300" s="775"/>
      <c r="AI300" s="775"/>
      <c r="AJ300" s="773"/>
      <c r="AK300" s="775"/>
      <c r="AL300" s="773"/>
      <c r="AM300" s="773"/>
      <c r="AN300" s="776"/>
      <c r="AO300" s="769"/>
      <c r="AP300" s="769"/>
      <c r="AQ300" s="773"/>
      <c r="AR300" s="773"/>
      <c r="AS300" s="773"/>
      <c r="AT30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00" s="779">
        <f>WWWW[[#This Row],[%Equitable and continuous access to sufficient quantity of safe drinking water]]*WWWW[[#This Row],[Total PoP ]]</f>
        <v>743</v>
      </c>
      <c r="AV30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00" s="779">
        <f>WWWW[[#This Row],[% Access to unimproved water points]]*WWWW[[#This Row],[Total PoP ]]</f>
        <v>743</v>
      </c>
      <c r="AX30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0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743</v>
      </c>
      <c r="AZ300" s="779">
        <f>WWWW[[#This Row],[HRP1]]/250</f>
        <v>2.972</v>
      </c>
      <c r="BA300" s="780">
        <f>1-WWWW[[#This Row],[% Equitable and continuous access to sufficient quantity of domestic water]]</f>
        <v>0</v>
      </c>
      <c r="BB300" s="779">
        <f>WWWW[[#This Row],[%equitable and continuous access to sufficient quantity of safe drinking and domestic water''s GAP]]*WWWW[[#This Row],[Total PoP ]]</f>
        <v>0</v>
      </c>
      <c r="BC300" s="781">
        <f>IF(WWWW[[#This Row],[Total required water points]]-WWWW[[#This Row],['#Water points coverage]]&lt;0,0,WWWW[[#This Row],[Total required water points]]-WWWW[[#This Row],['#Water points coverage]])</f>
        <v>2.8000000000000025E-2</v>
      </c>
      <c r="BD300" s="781">
        <f>ROUND(IF(WWWW[[#This Row],[Total PoP ]]&lt;250,1,WWWW[[#This Row],[Total PoP ]]/250),0)</f>
        <v>3</v>
      </c>
      <c r="BE30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0.57335127860026913</v>
      </c>
      <c r="BF300" s="779">
        <f>WWWW[[#This Row],[% people access to functioning Latrine]]*WWWW[[#This Row],[Total PoP ]]</f>
        <v>425.99999999999994</v>
      </c>
      <c r="BG300" s="781">
        <f>WWWW[[#This Row],['#_of_Functioning_latrines_in_school]]*50</f>
        <v>0</v>
      </c>
      <c r="BH300" s="781">
        <f>ROUND((WWWW[[#This Row],[Total PoP ]]/6),0)</f>
        <v>124</v>
      </c>
      <c r="BI300" s="781">
        <f>IF(WWWW[[#This Row],[Total required Latrines]]-(WWWW[[#This Row],['#_of_sanitary_fly-proof_HH_latrines]])&lt;0,0,WWWW[[#This Row],[Total required Latrines]]-(WWWW[[#This Row],['#_of_sanitary_fly-proof_HH_latrines]]))</f>
        <v>53</v>
      </c>
      <c r="BJ300" s="778">
        <f>1-WWWW[[#This Row],[% people access to functioning Latrine]]</f>
        <v>0.42664872139973087</v>
      </c>
      <c r="BK30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00" s="772">
        <f>IF(WWWW[[#This Row],['#_of_functional_handwashing_facilities_at_HH_level]]*6&gt;WWWW[[#This Row],[Total PoP ]],WWWW[[#This Row],[Total PoP ]],WWWW[[#This Row],['#_of_functional_handwashing_facilities_at_HH_level]]*6)</f>
        <v>0</v>
      </c>
      <c r="BM300" s="781">
        <f>IF(WWWW[[#This Row],['# people reached by regular dedicated hygiene promotion]]&gt;WWWW[[#This Row],['# People received regular supply of hygiene items]],WWWW[[#This Row],['# people reached by regular dedicated hygiene promotion]],WWWW[[#This Row],['# People received regular supply of hygiene items]])</f>
        <v>0</v>
      </c>
      <c r="BN300" s="780">
        <f>IF(WWWW[[#This Row],[HRP3]]/WWWW[[#This Row],[Total PoP ]]&gt;100%,100%,WWWW[[#This Row],[HRP3]]/WWWW[[#This Row],[Total PoP ]])</f>
        <v>0</v>
      </c>
      <c r="BO300" s="778">
        <f>1-WWWW[[#This Row],[Hygiene Coverage%]]</f>
        <v>1</v>
      </c>
      <c r="BP300" s="777">
        <f>WWWW[[#This Row],['# people reached by regular dedicated hygiene promotion]]/WWWW[[#This Row],[Total PoP ]]</f>
        <v>0</v>
      </c>
      <c r="BQ30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00" s="770">
        <f>WWWW[[#This Row],['#_of_affected_women_and_girls_receiving_a_sufficient_quantity_of_sanitary_pads]]</f>
        <v>0</v>
      </c>
      <c r="BS300" s="773">
        <f>IF(WWWW[[#This Row],['# People with access to soap]]&gt;WWWW[[#This Row],['# People with access to Sanity Pads]],WWWW[[#This Row],['# People with access to soap]],WWWW[[#This Row],['# People with access to Sanity Pads]])</f>
        <v>0</v>
      </c>
      <c r="BT300" s="772" t="str">
        <f>IF(OR(WWWW[[#This Row],['#of students in school]]="",WWWW[[#This Row],['#of students in school]]=0),"No","Yes")</f>
        <v>No</v>
      </c>
      <c r="BU300" s="782" t="str">
        <f>VLOOKUP(WWWW[[#This Row],[Village  Name]],SiteDB6[[Site Name]:[Location Type 1]],9,FALSE)</f>
        <v>Village</v>
      </c>
      <c r="BV300" s="782" t="str">
        <f>VLOOKUP(WWWW[[#This Row],[Village  Name]],SiteDB6[[Site Name]:[Type of Accommodation]],10,FALSE)</f>
        <v>Village</v>
      </c>
      <c r="BW300" s="782">
        <f>VLOOKUP(WWWW[[#This Row],[Village  Name]],SiteDB6[[Site Name]:[Ethnic or GCA/NGCA]],11,FALSE)</f>
        <v>0</v>
      </c>
      <c r="BX300" s="782">
        <f>VLOOKUP(WWWW[[#This Row],[Village  Name]],SiteDB6[[Site Name]:[Lat]],12,FALSE)</f>
        <v>20.476139068603501</v>
      </c>
      <c r="BY300" s="782">
        <f>VLOOKUP(WWWW[[#This Row],[Village  Name]],SiteDB6[[Site Name]:[Long]],13,FALSE)</f>
        <v>93.338516235351605</v>
      </c>
      <c r="BZ300" s="782">
        <f>VLOOKUP(WWWW[[#This Row],[Village  Name]],SiteDB6[[Site Name]:[Pcode]],3,FALSE)</f>
        <v>197103</v>
      </c>
      <c r="CA300" s="782" t="str">
        <f t="shared" si="18"/>
        <v>Covered</v>
      </c>
      <c r="CB300" s="783"/>
    </row>
    <row r="301" spans="1:80">
      <c r="A301" s="774" t="s">
        <v>3199</v>
      </c>
      <c r="B301" s="727" t="s">
        <v>314</v>
      </c>
      <c r="C301" s="728" t="s">
        <v>314</v>
      </c>
      <c r="D301" s="728" t="s">
        <v>307</v>
      </c>
      <c r="E301" s="728" t="s">
        <v>2648</v>
      </c>
      <c r="F301" s="728" t="s">
        <v>312</v>
      </c>
      <c r="G301" s="644" t="str">
        <f>VLOOKUP(WWWW[[#This Row],[Village  Name]],SiteDB6[[Site Name]:[Location Type]],8,FALSE)</f>
        <v>Village</v>
      </c>
      <c r="H301" s="728" t="s">
        <v>462</v>
      </c>
      <c r="I301" s="775">
        <v>121</v>
      </c>
      <c r="J301" s="775">
        <v>421</v>
      </c>
      <c r="K301" s="784">
        <v>42736</v>
      </c>
      <c r="L301" s="785">
        <v>44551</v>
      </c>
      <c r="M301" s="775"/>
      <c r="N301" s="775"/>
      <c r="O301" s="773">
        <v>0</v>
      </c>
      <c r="P301" s="775">
        <v>98</v>
      </c>
      <c r="Q301" s="775">
        <v>2</v>
      </c>
      <c r="R301" s="775"/>
      <c r="S301" s="775"/>
      <c r="T301" s="775"/>
      <c r="U301" s="776"/>
      <c r="V301" s="775">
        <v>112</v>
      </c>
      <c r="W301" s="775" t="s">
        <v>130</v>
      </c>
      <c r="X301" s="775"/>
      <c r="Y301" s="775"/>
      <c r="Z301" s="775"/>
      <c r="AA301" s="775"/>
      <c r="AB301" s="775"/>
      <c r="AC301" s="776"/>
      <c r="AD301" s="775"/>
      <c r="AE301" s="775"/>
      <c r="AF301" s="775"/>
      <c r="AG301" s="775"/>
      <c r="AH301" s="775"/>
      <c r="AI301" s="775"/>
      <c r="AJ301" s="773"/>
      <c r="AK301" s="775"/>
      <c r="AL301" s="773"/>
      <c r="AM301" s="773"/>
      <c r="AN301" s="776"/>
      <c r="AO301" s="769"/>
      <c r="AP301" s="769"/>
      <c r="AQ301" s="773"/>
      <c r="AR301" s="773"/>
      <c r="AS301" s="773"/>
      <c r="AT30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01" s="779">
        <f>WWWW[[#This Row],[%Equitable and continuous access to sufficient quantity of safe drinking water]]*WWWW[[#This Row],[Total PoP ]]</f>
        <v>421</v>
      </c>
      <c r="AV30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01" s="779">
        <f>WWWW[[#This Row],[% Access to unimproved water points]]*WWWW[[#This Row],[Total PoP ]]</f>
        <v>421</v>
      </c>
      <c r="AX30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0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421</v>
      </c>
      <c r="AZ301" s="779">
        <f>WWWW[[#This Row],[HRP1]]/250</f>
        <v>1.6839999999999999</v>
      </c>
      <c r="BA301" s="780">
        <f>1-WWWW[[#This Row],[% Equitable and continuous access to sufficient quantity of domestic water]]</f>
        <v>0</v>
      </c>
      <c r="BB301" s="779">
        <f>WWWW[[#This Row],[%equitable and continuous access to sufficient quantity of safe drinking and domestic water''s GAP]]*WWWW[[#This Row],[Total PoP ]]</f>
        <v>0</v>
      </c>
      <c r="BC301" s="781">
        <f>IF(WWWW[[#This Row],[Total required water points]]-WWWW[[#This Row],['#Water points coverage]]&lt;0,0,WWWW[[#This Row],[Total required water points]]-WWWW[[#This Row],['#Water points coverage]])</f>
        <v>0.31600000000000006</v>
      </c>
      <c r="BD301" s="781">
        <f>ROUND(IF(WWWW[[#This Row],[Total PoP ]]&lt;250,1,WWWW[[#This Row],[Total PoP ]]/250),0)</f>
        <v>2</v>
      </c>
      <c r="BE30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01" s="779">
        <f>WWWW[[#This Row],[% people access to functioning Latrine]]*WWWW[[#This Row],[Total PoP ]]</f>
        <v>421</v>
      </c>
      <c r="BG301" s="781">
        <f>WWWW[[#This Row],['#_of_Functioning_latrines_in_school]]*50</f>
        <v>0</v>
      </c>
      <c r="BH301" s="781">
        <f>ROUND((WWWW[[#This Row],[Total PoP ]]/6),0)</f>
        <v>70</v>
      </c>
      <c r="BI301" s="781">
        <f>IF(WWWW[[#This Row],[Total required Latrines]]-(WWWW[[#This Row],['#_of_sanitary_fly-proof_HH_latrines]])&lt;0,0,WWWW[[#This Row],[Total required Latrines]]-(WWWW[[#This Row],['#_of_sanitary_fly-proof_HH_latrines]]))</f>
        <v>0</v>
      </c>
      <c r="BJ301" s="778">
        <f>1-WWWW[[#This Row],[% people access to functioning Latrine]]</f>
        <v>0</v>
      </c>
      <c r="BK30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01" s="772">
        <f>IF(WWWW[[#This Row],['#_of_functional_handwashing_facilities_at_HH_level]]*6&gt;WWWW[[#This Row],[Total PoP ]],WWWW[[#This Row],[Total PoP ]],WWWW[[#This Row],['#_of_functional_handwashing_facilities_at_HH_level]]*6)</f>
        <v>0</v>
      </c>
      <c r="BM301" s="781">
        <f>IF(WWWW[[#This Row],['# people reached by regular dedicated hygiene promotion]]&gt;WWWW[[#This Row],['# People received regular supply of hygiene items]],WWWW[[#This Row],['# people reached by regular dedicated hygiene promotion]],WWWW[[#This Row],['# People received regular supply of hygiene items]])</f>
        <v>0</v>
      </c>
      <c r="BN301" s="780">
        <f>IF(WWWW[[#This Row],[HRP3]]/WWWW[[#This Row],[Total PoP ]]&gt;100%,100%,WWWW[[#This Row],[HRP3]]/WWWW[[#This Row],[Total PoP ]])</f>
        <v>0</v>
      </c>
      <c r="BO301" s="778">
        <f>1-WWWW[[#This Row],[Hygiene Coverage%]]</f>
        <v>1</v>
      </c>
      <c r="BP301" s="777">
        <f>WWWW[[#This Row],['# people reached by regular dedicated hygiene promotion]]/WWWW[[#This Row],[Total PoP ]]</f>
        <v>0</v>
      </c>
      <c r="BQ30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01" s="770">
        <f>WWWW[[#This Row],['#_of_affected_women_and_girls_receiving_a_sufficient_quantity_of_sanitary_pads]]</f>
        <v>0</v>
      </c>
      <c r="BS301" s="773">
        <f>IF(WWWW[[#This Row],['# People with access to soap]]&gt;WWWW[[#This Row],['# People with access to Sanity Pads]],WWWW[[#This Row],['# People with access to soap]],WWWW[[#This Row],['# People with access to Sanity Pads]])</f>
        <v>0</v>
      </c>
      <c r="BT301" s="772" t="str">
        <f>IF(OR(WWWW[[#This Row],['#of students in school]]="",WWWW[[#This Row],['#of students in school]]=0),"No","Yes")</f>
        <v>No</v>
      </c>
      <c r="BU301" s="782" t="str">
        <f>VLOOKUP(WWWW[[#This Row],[Village  Name]],SiteDB6[[Site Name]:[Location Type 1]],9,FALSE)</f>
        <v>Village</v>
      </c>
      <c r="BV301" s="782" t="str">
        <f>VLOOKUP(WWWW[[#This Row],[Village  Name]],SiteDB6[[Site Name]:[Type of Accommodation]],10,FALSE)</f>
        <v>Village</v>
      </c>
      <c r="BW301" s="782" t="str">
        <f>VLOOKUP(WWWW[[#This Row],[Village  Name]],SiteDB6[[Site Name]:[Ethnic or GCA/NGCA]],11,FALSE)</f>
        <v>Mixed</v>
      </c>
      <c r="BX301" s="782">
        <f>VLOOKUP(WWWW[[#This Row],[Village  Name]],SiteDB6[[Site Name]:[Lat]],12,FALSE)</f>
        <v>20.394809720000001</v>
      </c>
      <c r="BY301" s="782">
        <f>VLOOKUP(WWWW[[#This Row],[Village  Name]],SiteDB6[[Site Name]:[Long]],13,FALSE)</f>
        <v>93.251609799999997</v>
      </c>
      <c r="BZ301" s="782">
        <f>VLOOKUP(WWWW[[#This Row],[Village  Name]],SiteDB6[[Site Name]:[Pcode]],3,FALSE)</f>
        <v>196994</v>
      </c>
      <c r="CA301" s="782" t="str">
        <f t="shared" si="18"/>
        <v>Covered</v>
      </c>
      <c r="CB301" s="783"/>
    </row>
    <row r="302" spans="1:80">
      <c r="A302" s="774" t="s">
        <v>3199</v>
      </c>
      <c r="B302" s="727" t="s">
        <v>314</v>
      </c>
      <c r="C302" s="728" t="s">
        <v>314</v>
      </c>
      <c r="D302" s="728" t="s">
        <v>307</v>
      </c>
      <c r="E302" s="728" t="s">
        <v>2648</v>
      </c>
      <c r="F302" s="728" t="s">
        <v>312</v>
      </c>
      <c r="G302" s="644" t="str">
        <f>VLOOKUP(WWWW[[#This Row],[Village  Name]],SiteDB6[[Site Name]:[Location Type]],8,FALSE)</f>
        <v>Village</v>
      </c>
      <c r="H302" s="728" t="s">
        <v>1747</v>
      </c>
      <c r="I302" s="775">
        <v>203</v>
      </c>
      <c r="J302" s="775">
        <v>1118</v>
      </c>
      <c r="K302" s="784">
        <v>42736</v>
      </c>
      <c r="L302" s="785">
        <v>44551</v>
      </c>
      <c r="M302" s="775"/>
      <c r="N302" s="775"/>
      <c r="O302" s="773">
        <v>18</v>
      </c>
      <c r="P302" s="775">
        <v>111</v>
      </c>
      <c r="Q302" s="775">
        <v>2</v>
      </c>
      <c r="R302" s="775"/>
      <c r="S302" s="775"/>
      <c r="T302" s="775"/>
      <c r="U302" s="776"/>
      <c r="V302" s="775">
        <v>97</v>
      </c>
      <c r="W302" s="775" t="s">
        <v>130</v>
      </c>
      <c r="X302" s="775"/>
      <c r="Y302" s="775"/>
      <c r="Z302" s="775"/>
      <c r="AA302" s="775"/>
      <c r="AB302" s="775"/>
      <c r="AC302" s="776"/>
      <c r="AD302" s="775"/>
      <c r="AE302" s="775"/>
      <c r="AF302" s="775"/>
      <c r="AG302" s="775"/>
      <c r="AH302" s="775"/>
      <c r="AI302" s="775"/>
      <c r="AJ302" s="773"/>
      <c r="AK302" s="775"/>
      <c r="AL302" s="773"/>
      <c r="AM302" s="773"/>
      <c r="AN302" s="776"/>
      <c r="AO302" s="769"/>
      <c r="AP302" s="769"/>
      <c r="AQ302" s="773"/>
      <c r="AR302" s="773"/>
      <c r="AS302" s="773"/>
      <c r="AT30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02" s="779">
        <f>WWWW[[#This Row],[%Equitable and continuous access to sufficient quantity of safe drinking water]]*WWWW[[#This Row],[Total PoP ]]</f>
        <v>1118</v>
      </c>
      <c r="AV30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02" s="779">
        <f>WWWW[[#This Row],[% Access to unimproved water points]]*WWWW[[#This Row],[Total PoP ]]</f>
        <v>1118</v>
      </c>
      <c r="AX30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0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1118</v>
      </c>
      <c r="AZ302" s="779">
        <f>WWWW[[#This Row],[HRP1]]/250</f>
        <v>4.4720000000000004</v>
      </c>
      <c r="BA302" s="780">
        <f>1-WWWW[[#This Row],[% Equitable and continuous access to sufficient quantity of domestic water]]</f>
        <v>0</v>
      </c>
      <c r="BB302" s="779">
        <f>WWWW[[#This Row],[%equitable and continuous access to sufficient quantity of safe drinking and domestic water''s GAP]]*WWWW[[#This Row],[Total PoP ]]</f>
        <v>0</v>
      </c>
      <c r="BC302" s="781">
        <f>IF(WWWW[[#This Row],[Total required water points]]-WWWW[[#This Row],['#Water points coverage]]&lt;0,0,WWWW[[#This Row],[Total required water points]]-WWWW[[#This Row],['#Water points coverage]])</f>
        <v>0</v>
      </c>
      <c r="BD302" s="781">
        <f>ROUND(IF(WWWW[[#This Row],[Total PoP ]]&lt;250,1,WWWW[[#This Row],[Total PoP ]]/250),0)</f>
        <v>4</v>
      </c>
      <c r="BE30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0.52057245080500891</v>
      </c>
      <c r="BF302" s="779">
        <f>WWWW[[#This Row],[% people access to functioning Latrine]]*WWWW[[#This Row],[Total PoP ]]</f>
        <v>582</v>
      </c>
      <c r="BG302" s="781">
        <f>WWWW[[#This Row],['#_of_Functioning_latrines_in_school]]*50</f>
        <v>0</v>
      </c>
      <c r="BH302" s="781">
        <f>ROUND((WWWW[[#This Row],[Total PoP ]]/6),0)</f>
        <v>186</v>
      </c>
      <c r="BI302" s="781">
        <f>IF(WWWW[[#This Row],[Total required Latrines]]-(WWWW[[#This Row],['#_of_sanitary_fly-proof_HH_latrines]])&lt;0,0,WWWW[[#This Row],[Total required Latrines]]-(WWWW[[#This Row],['#_of_sanitary_fly-proof_HH_latrines]]))</f>
        <v>89</v>
      </c>
      <c r="BJ302" s="778">
        <f>1-WWWW[[#This Row],[% people access to functioning Latrine]]</f>
        <v>0.47942754919499109</v>
      </c>
      <c r="BK30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02" s="772">
        <f>IF(WWWW[[#This Row],['#_of_functional_handwashing_facilities_at_HH_level]]*6&gt;WWWW[[#This Row],[Total PoP ]],WWWW[[#This Row],[Total PoP ]],WWWW[[#This Row],['#_of_functional_handwashing_facilities_at_HH_level]]*6)</f>
        <v>0</v>
      </c>
      <c r="BM302" s="781">
        <f>IF(WWWW[[#This Row],['# people reached by regular dedicated hygiene promotion]]&gt;WWWW[[#This Row],['# People received regular supply of hygiene items]],WWWW[[#This Row],['# people reached by regular dedicated hygiene promotion]],WWWW[[#This Row],['# People received regular supply of hygiene items]])</f>
        <v>0</v>
      </c>
      <c r="BN302" s="780">
        <f>IF(WWWW[[#This Row],[HRP3]]/WWWW[[#This Row],[Total PoP ]]&gt;100%,100%,WWWW[[#This Row],[HRP3]]/WWWW[[#This Row],[Total PoP ]])</f>
        <v>0</v>
      </c>
      <c r="BO302" s="778">
        <f>1-WWWW[[#This Row],[Hygiene Coverage%]]</f>
        <v>1</v>
      </c>
      <c r="BP302" s="777">
        <f>WWWW[[#This Row],['# people reached by regular dedicated hygiene promotion]]/WWWW[[#This Row],[Total PoP ]]</f>
        <v>0</v>
      </c>
      <c r="BQ30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02" s="770">
        <f>WWWW[[#This Row],['#_of_affected_women_and_girls_receiving_a_sufficient_quantity_of_sanitary_pads]]</f>
        <v>0</v>
      </c>
      <c r="BS302" s="773">
        <f>IF(WWWW[[#This Row],['# People with access to soap]]&gt;WWWW[[#This Row],['# People with access to Sanity Pads]],WWWW[[#This Row],['# People with access to soap]],WWWW[[#This Row],['# People with access to Sanity Pads]])</f>
        <v>0</v>
      </c>
      <c r="BT302" s="772" t="str">
        <f>IF(OR(WWWW[[#This Row],['#of students in school]]="",WWWW[[#This Row],['#of students in school]]=0),"No","Yes")</f>
        <v>No</v>
      </c>
      <c r="BU302" s="782" t="str">
        <f>VLOOKUP(WWWW[[#This Row],[Village  Name]],SiteDB6[[Site Name]:[Location Type 1]],9,FALSE)</f>
        <v>Village</v>
      </c>
      <c r="BV302" s="782" t="str">
        <f>VLOOKUP(WWWW[[#This Row],[Village  Name]],SiteDB6[[Site Name]:[Type of Accommodation]],10,FALSE)</f>
        <v>Village</v>
      </c>
      <c r="BW302" s="782">
        <f>VLOOKUP(WWWW[[#This Row],[Village  Name]],SiteDB6[[Site Name]:[Ethnic or GCA/NGCA]],11,FALSE)</f>
        <v>0</v>
      </c>
      <c r="BX302" s="782">
        <f>VLOOKUP(WWWW[[#This Row],[Village  Name]],SiteDB6[[Site Name]:[Lat]],12,FALSE)</f>
        <v>20.391029357910199</v>
      </c>
      <c r="BY302" s="782">
        <f>VLOOKUP(WWWW[[#This Row],[Village  Name]],SiteDB6[[Site Name]:[Long]],13,FALSE)</f>
        <v>93.257637023925795</v>
      </c>
      <c r="BZ302" s="782">
        <f>VLOOKUP(WWWW[[#This Row],[Village  Name]],SiteDB6[[Site Name]:[Pcode]],3,FALSE)</f>
        <v>196997</v>
      </c>
      <c r="CA302" s="782" t="str">
        <f t="shared" ref="CA302:CA321" si="19">IF(C302="none","Notcovered","Covered")</f>
        <v>Covered</v>
      </c>
      <c r="CB302" s="783"/>
    </row>
    <row r="303" spans="1:80">
      <c r="A303" s="774" t="s">
        <v>3199</v>
      </c>
      <c r="B303" s="727" t="s">
        <v>314</v>
      </c>
      <c r="C303" s="728" t="s">
        <v>314</v>
      </c>
      <c r="D303" s="728" t="s">
        <v>307</v>
      </c>
      <c r="E303" s="728" t="s">
        <v>2648</v>
      </c>
      <c r="F303" s="728" t="s">
        <v>312</v>
      </c>
      <c r="G303" s="644" t="str">
        <f>VLOOKUP(WWWW[[#This Row],[Village  Name]],SiteDB6[[Site Name]:[Location Type]],8,FALSE)</f>
        <v>Village</v>
      </c>
      <c r="H303" s="728" t="s">
        <v>463</v>
      </c>
      <c r="I303" s="775">
        <v>31</v>
      </c>
      <c r="J303" s="775">
        <v>170</v>
      </c>
      <c r="K303" s="784">
        <v>42736</v>
      </c>
      <c r="L303" s="785">
        <v>44551</v>
      </c>
      <c r="M303" s="775"/>
      <c r="N303" s="775"/>
      <c r="O303" s="773">
        <v>0</v>
      </c>
      <c r="P303" s="775">
        <v>54</v>
      </c>
      <c r="Q303" s="775">
        <v>4</v>
      </c>
      <c r="R303" s="775"/>
      <c r="S303" s="775"/>
      <c r="T303" s="775"/>
      <c r="U303" s="776"/>
      <c r="V303" s="775">
        <v>154</v>
      </c>
      <c r="W303" s="775" t="s">
        <v>130</v>
      </c>
      <c r="X303" s="775"/>
      <c r="Y303" s="775"/>
      <c r="Z303" s="775"/>
      <c r="AA303" s="775"/>
      <c r="AB303" s="775"/>
      <c r="AC303" s="776"/>
      <c r="AD303" s="775"/>
      <c r="AE303" s="775"/>
      <c r="AF303" s="775"/>
      <c r="AG303" s="775"/>
      <c r="AH303" s="775"/>
      <c r="AI303" s="775"/>
      <c r="AJ303" s="773"/>
      <c r="AK303" s="775"/>
      <c r="AL303" s="773"/>
      <c r="AM303" s="773"/>
      <c r="AN303" s="776"/>
      <c r="AO303" s="769"/>
      <c r="AP303" s="769"/>
      <c r="AQ303" s="773"/>
      <c r="AR303" s="773"/>
      <c r="AS303" s="773"/>
      <c r="AT30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03" s="779">
        <f>WWWW[[#This Row],[%Equitable and continuous access to sufficient quantity of safe drinking water]]*WWWW[[#This Row],[Total PoP ]]</f>
        <v>170</v>
      </c>
      <c r="AV30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03" s="779">
        <f>WWWW[[#This Row],[% Access to unimproved water points]]*WWWW[[#This Row],[Total PoP ]]</f>
        <v>170</v>
      </c>
      <c r="AX30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0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170</v>
      </c>
      <c r="AZ303" s="779">
        <f>WWWW[[#This Row],[HRP1]]/250</f>
        <v>0.68</v>
      </c>
      <c r="BA303" s="780">
        <f>1-WWWW[[#This Row],[% Equitable and continuous access to sufficient quantity of domestic water]]</f>
        <v>0</v>
      </c>
      <c r="BB303" s="779">
        <f>WWWW[[#This Row],[%equitable and continuous access to sufficient quantity of safe drinking and domestic water''s GAP]]*WWWW[[#This Row],[Total PoP ]]</f>
        <v>0</v>
      </c>
      <c r="BC303" s="781">
        <f>IF(WWWW[[#This Row],[Total required water points]]-WWWW[[#This Row],['#Water points coverage]]&lt;0,0,WWWW[[#This Row],[Total required water points]]-WWWW[[#This Row],['#Water points coverage]])</f>
        <v>0.31999999999999995</v>
      </c>
      <c r="BD303" s="781">
        <f>ROUND(IF(WWWW[[#This Row],[Total PoP ]]&lt;250,1,WWWW[[#This Row],[Total PoP ]]/250),0)</f>
        <v>1</v>
      </c>
      <c r="BE30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03" s="779">
        <f>WWWW[[#This Row],[% people access to functioning Latrine]]*WWWW[[#This Row],[Total PoP ]]</f>
        <v>170</v>
      </c>
      <c r="BG303" s="781">
        <f>WWWW[[#This Row],['#_of_Functioning_latrines_in_school]]*50</f>
        <v>0</v>
      </c>
      <c r="BH303" s="781">
        <f>ROUND((WWWW[[#This Row],[Total PoP ]]/6),0)</f>
        <v>28</v>
      </c>
      <c r="BI303" s="781">
        <f>IF(WWWW[[#This Row],[Total required Latrines]]-(WWWW[[#This Row],['#_of_sanitary_fly-proof_HH_latrines]])&lt;0,0,WWWW[[#This Row],[Total required Latrines]]-(WWWW[[#This Row],['#_of_sanitary_fly-proof_HH_latrines]]))</f>
        <v>0</v>
      </c>
      <c r="BJ303" s="778">
        <f>1-WWWW[[#This Row],[% people access to functioning Latrine]]</f>
        <v>0</v>
      </c>
      <c r="BK30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03" s="772">
        <f>IF(WWWW[[#This Row],['#_of_functional_handwashing_facilities_at_HH_level]]*6&gt;WWWW[[#This Row],[Total PoP ]],WWWW[[#This Row],[Total PoP ]],WWWW[[#This Row],['#_of_functional_handwashing_facilities_at_HH_level]]*6)</f>
        <v>0</v>
      </c>
      <c r="BM303" s="781">
        <f>IF(WWWW[[#This Row],['# people reached by regular dedicated hygiene promotion]]&gt;WWWW[[#This Row],['# People received regular supply of hygiene items]],WWWW[[#This Row],['# people reached by regular dedicated hygiene promotion]],WWWW[[#This Row],['# People received regular supply of hygiene items]])</f>
        <v>0</v>
      </c>
      <c r="BN303" s="780">
        <f>IF(WWWW[[#This Row],[HRP3]]/WWWW[[#This Row],[Total PoP ]]&gt;100%,100%,WWWW[[#This Row],[HRP3]]/WWWW[[#This Row],[Total PoP ]])</f>
        <v>0</v>
      </c>
      <c r="BO303" s="778">
        <f>1-WWWW[[#This Row],[Hygiene Coverage%]]</f>
        <v>1</v>
      </c>
      <c r="BP303" s="777">
        <f>WWWW[[#This Row],['# people reached by regular dedicated hygiene promotion]]/WWWW[[#This Row],[Total PoP ]]</f>
        <v>0</v>
      </c>
      <c r="BQ30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03" s="770">
        <f>WWWW[[#This Row],['#_of_affected_women_and_girls_receiving_a_sufficient_quantity_of_sanitary_pads]]</f>
        <v>0</v>
      </c>
      <c r="BS303" s="773">
        <f>IF(WWWW[[#This Row],['# People with access to soap]]&gt;WWWW[[#This Row],['# People with access to Sanity Pads]],WWWW[[#This Row],['# People with access to soap]],WWWW[[#This Row],['# People with access to Sanity Pads]])</f>
        <v>0</v>
      </c>
      <c r="BT303" s="772" t="str">
        <f>IF(OR(WWWW[[#This Row],['#of students in school]]="",WWWW[[#This Row],['#of students in school]]=0),"No","Yes")</f>
        <v>No</v>
      </c>
      <c r="BU303" s="782" t="str">
        <f>VLOOKUP(WWWW[[#This Row],[Village  Name]],SiteDB6[[Site Name]:[Location Type 1]],9,FALSE)</f>
        <v>Village</v>
      </c>
      <c r="BV303" s="782" t="str">
        <f>VLOOKUP(WWWW[[#This Row],[Village  Name]],SiteDB6[[Site Name]:[Type of Accommodation]],10,FALSE)</f>
        <v>Village</v>
      </c>
      <c r="BW303" s="782" t="str">
        <f>VLOOKUP(WWWW[[#This Row],[Village  Name]],SiteDB6[[Site Name]:[Ethnic or GCA/NGCA]],11,FALSE)</f>
        <v>Rakhine</v>
      </c>
      <c r="BX303" s="782">
        <f>VLOOKUP(WWWW[[#This Row],[Village  Name]],SiteDB6[[Site Name]:[Lat]],12,FALSE)</f>
        <v>20.396680830000001</v>
      </c>
      <c r="BY303" s="782">
        <f>VLOOKUP(WWWW[[#This Row],[Village  Name]],SiteDB6[[Site Name]:[Long]],13,FALSE)</f>
        <v>93.252868649999996</v>
      </c>
      <c r="BZ303" s="782">
        <f>VLOOKUP(WWWW[[#This Row],[Village  Name]],SiteDB6[[Site Name]:[Pcode]],3,FALSE)</f>
        <v>196998</v>
      </c>
      <c r="CA303" s="782" t="str">
        <f t="shared" si="19"/>
        <v>Covered</v>
      </c>
      <c r="CB303" s="783"/>
    </row>
    <row r="304" spans="1:80">
      <c r="A304" s="774" t="s">
        <v>3199</v>
      </c>
      <c r="B304" s="727" t="s">
        <v>314</v>
      </c>
      <c r="C304" s="728" t="s">
        <v>314</v>
      </c>
      <c r="D304" s="728" t="s">
        <v>327</v>
      </c>
      <c r="E304" s="728" t="s">
        <v>2648</v>
      </c>
      <c r="F304" s="728" t="s">
        <v>312</v>
      </c>
      <c r="G304" s="644" t="str">
        <f>VLOOKUP(WWWW[[#This Row],[Village  Name]],SiteDB6[[Site Name]:[Location Type]],8,FALSE)</f>
        <v>Village</v>
      </c>
      <c r="H304" s="728" t="s">
        <v>2618</v>
      </c>
      <c r="I304" s="775">
        <v>180</v>
      </c>
      <c r="J304" s="775">
        <v>964</v>
      </c>
      <c r="K304" s="784">
        <v>42736</v>
      </c>
      <c r="L304" s="785">
        <v>44551</v>
      </c>
      <c r="M304" s="775"/>
      <c r="N304" s="775"/>
      <c r="O304" s="773">
        <v>3</v>
      </c>
      <c r="P304" s="775">
        <v>76</v>
      </c>
      <c r="Q304" s="775">
        <v>3</v>
      </c>
      <c r="R304" s="775"/>
      <c r="S304" s="775"/>
      <c r="T304" s="775"/>
      <c r="U304" s="776"/>
      <c r="V304" s="775">
        <v>116</v>
      </c>
      <c r="W304" s="775" t="s">
        <v>130</v>
      </c>
      <c r="X304" s="775"/>
      <c r="Y304" s="775"/>
      <c r="Z304" s="775"/>
      <c r="AA304" s="775"/>
      <c r="AB304" s="775"/>
      <c r="AC304" s="776"/>
      <c r="AD304" s="775"/>
      <c r="AE304" s="775"/>
      <c r="AF304" s="775"/>
      <c r="AG304" s="775"/>
      <c r="AH304" s="775"/>
      <c r="AI304" s="775"/>
      <c r="AJ304" s="773"/>
      <c r="AK304" s="775"/>
      <c r="AL304" s="773"/>
      <c r="AM304" s="773"/>
      <c r="AN304" s="776"/>
      <c r="AO304" s="769"/>
      <c r="AP304" s="769"/>
      <c r="AQ304" s="773"/>
      <c r="AR304" s="773"/>
      <c r="AS304" s="773"/>
      <c r="AT30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04" s="779">
        <f>WWWW[[#This Row],[%Equitable and continuous access to sufficient quantity of safe drinking water]]*WWWW[[#This Row],[Total PoP ]]</f>
        <v>964</v>
      </c>
      <c r="AV30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04" s="779">
        <f>WWWW[[#This Row],[% Access to unimproved water points]]*WWWW[[#This Row],[Total PoP ]]</f>
        <v>964</v>
      </c>
      <c r="AX30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0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964</v>
      </c>
      <c r="AZ304" s="779">
        <f>WWWW[[#This Row],[HRP1]]/250</f>
        <v>3.8559999999999999</v>
      </c>
      <c r="BA304" s="780">
        <f>1-WWWW[[#This Row],[% Equitable and continuous access to sufficient quantity of domestic water]]</f>
        <v>0</v>
      </c>
      <c r="BB304" s="779">
        <f>WWWW[[#This Row],[%equitable and continuous access to sufficient quantity of safe drinking and domestic water''s GAP]]*WWWW[[#This Row],[Total PoP ]]</f>
        <v>0</v>
      </c>
      <c r="BC304" s="781">
        <f>IF(WWWW[[#This Row],[Total required water points]]-WWWW[[#This Row],['#Water points coverage]]&lt;0,0,WWWW[[#This Row],[Total required water points]]-WWWW[[#This Row],['#Water points coverage]])</f>
        <v>0.14400000000000013</v>
      </c>
      <c r="BD304" s="781">
        <f>ROUND(IF(WWWW[[#This Row],[Total PoP ]]&lt;250,1,WWWW[[#This Row],[Total PoP ]]/250),0)</f>
        <v>4</v>
      </c>
      <c r="BE30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0.72199170124481327</v>
      </c>
      <c r="BF304" s="779">
        <f>WWWW[[#This Row],[% people access to functioning Latrine]]*WWWW[[#This Row],[Total PoP ]]</f>
        <v>696</v>
      </c>
      <c r="BG304" s="781">
        <f>WWWW[[#This Row],['#_of_Functioning_latrines_in_school]]*50</f>
        <v>0</v>
      </c>
      <c r="BH304" s="781">
        <f>ROUND((WWWW[[#This Row],[Total PoP ]]/6),0)</f>
        <v>161</v>
      </c>
      <c r="BI304" s="781">
        <f>IF(WWWW[[#This Row],[Total required Latrines]]-(WWWW[[#This Row],['#_of_sanitary_fly-proof_HH_latrines]])&lt;0,0,WWWW[[#This Row],[Total required Latrines]]-(WWWW[[#This Row],['#_of_sanitary_fly-proof_HH_latrines]]))</f>
        <v>45</v>
      </c>
      <c r="BJ304" s="778">
        <f>1-WWWW[[#This Row],[% people access to functioning Latrine]]</f>
        <v>0.27800829875518673</v>
      </c>
      <c r="BK30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04" s="772">
        <f>IF(WWWW[[#This Row],['#_of_functional_handwashing_facilities_at_HH_level]]*6&gt;WWWW[[#This Row],[Total PoP ]],WWWW[[#This Row],[Total PoP ]],WWWW[[#This Row],['#_of_functional_handwashing_facilities_at_HH_level]]*6)</f>
        <v>0</v>
      </c>
      <c r="BM304" s="781">
        <f>IF(WWWW[[#This Row],['# people reached by regular dedicated hygiene promotion]]&gt;WWWW[[#This Row],['# People received regular supply of hygiene items]],WWWW[[#This Row],['# people reached by regular dedicated hygiene promotion]],WWWW[[#This Row],['# People received regular supply of hygiene items]])</f>
        <v>0</v>
      </c>
      <c r="BN304" s="780">
        <f>IF(WWWW[[#This Row],[HRP3]]/WWWW[[#This Row],[Total PoP ]]&gt;100%,100%,WWWW[[#This Row],[HRP3]]/WWWW[[#This Row],[Total PoP ]])</f>
        <v>0</v>
      </c>
      <c r="BO304" s="778">
        <f>1-WWWW[[#This Row],[Hygiene Coverage%]]</f>
        <v>1</v>
      </c>
      <c r="BP304" s="777">
        <f>WWWW[[#This Row],['# people reached by regular dedicated hygiene promotion]]/WWWW[[#This Row],[Total PoP ]]</f>
        <v>0</v>
      </c>
      <c r="BQ30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04" s="770">
        <f>WWWW[[#This Row],['#_of_affected_women_and_girls_receiving_a_sufficient_quantity_of_sanitary_pads]]</f>
        <v>0</v>
      </c>
      <c r="BS304" s="773">
        <f>IF(WWWW[[#This Row],['# People with access to soap]]&gt;WWWW[[#This Row],['# People with access to Sanity Pads]],WWWW[[#This Row],['# People with access to soap]],WWWW[[#This Row],['# People with access to Sanity Pads]])</f>
        <v>0</v>
      </c>
      <c r="BT304" s="772" t="str">
        <f>IF(OR(WWWW[[#This Row],['#of students in school]]="",WWWW[[#This Row],['#of students in school]]=0),"No","Yes")</f>
        <v>No</v>
      </c>
      <c r="BU304" s="782" t="str">
        <f>VLOOKUP(WWWW[[#This Row],[Village  Name]],SiteDB6[[Site Name]:[Location Type 1]],9,FALSE)</f>
        <v>Village</v>
      </c>
      <c r="BV304" s="782" t="str">
        <f>VLOOKUP(WWWW[[#This Row],[Village  Name]],SiteDB6[[Site Name]:[Type of Accommodation]],10,FALSE)</f>
        <v>Village</v>
      </c>
      <c r="BW304" s="782">
        <f>VLOOKUP(WWWW[[#This Row],[Village  Name]],SiteDB6[[Site Name]:[Ethnic or GCA/NGCA]],11,FALSE)</f>
        <v>0</v>
      </c>
      <c r="BX304" s="782">
        <f>VLOOKUP(WWWW[[#This Row],[Village  Name]],SiteDB6[[Site Name]:[Lat]],12,FALSE)</f>
        <v>20.410079956054702</v>
      </c>
      <c r="BY304" s="782">
        <f>VLOOKUP(WWWW[[#This Row],[Village  Name]],SiteDB6[[Site Name]:[Long]],13,FALSE)</f>
        <v>93.37109375</v>
      </c>
      <c r="BZ304" s="782">
        <f>VLOOKUP(WWWW[[#This Row],[Village  Name]],SiteDB6[[Site Name]:[Pcode]],3,FALSE)</f>
        <v>197114</v>
      </c>
      <c r="CA304" s="782" t="str">
        <f t="shared" si="19"/>
        <v>Covered</v>
      </c>
      <c r="CB304" s="783"/>
    </row>
    <row r="305" spans="1:80">
      <c r="A305" s="774" t="s">
        <v>3199</v>
      </c>
      <c r="B305" s="727" t="s">
        <v>314</v>
      </c>
      <c r="C305" s="728" t="s">
        <v>314</v>
      </c>
      <c r="D305" s="728" t="s">
        <v>327</v>
      </c>
      <c r="E305" s="728" t="s">
        <v>2648</v>
      </c>
      <c r="F305" s="728" t="s">
        <v>312</v>
      </c>
      <c r="G305" s="644" t="str">
        <f>VLOOKUP(WWWW[[#This Row],[Village  Name]],SiteDB6[[Site Name]:[Location Type]],8,FALSE)</f>
        <v>Village</v>
      </c>
      <c r="H305" s="728" t="s">
        <v>2619</v>
      </c>
      <c r="I305" s="775">
        <v>130</v>
      </c>
      <c r="J305" s="775">
        <v>398</v>
      </c>
      <c r="K305" s="784">
        <v>42736</v>
      </c>
      <c r="L305" s="785">
        <v>44551</v>
      </c>
      <c r="M305" s="775"/>
      <c r="N305" s="775"/>
      <c r="O305" s="773">
        <v>43</v>
      </c>
      <c r="P305" s="775">
        <v>48</v>
      </c>
      <c r="Q305" s="775">
        <v>2</v>
      </c>
      <c r="R305" s="775"/>
      <c r="S305" s="775"/>
      <c r="T305" s="775"/>
      <c r="U305" s="776"/>
      <c r="V305" s="775">
        <v>78</v>
      </c>
      <c r="W305" s="775" t="s">
        <v>130</v>
      </c>
      <c r="X305" s="775"/>
      <c r="Y305" s="775"/>
      <c r="Z305" s="775"/>
      <c r="AA305" s="775"/>
      <c r="AB305" s="775"/>
      <c r="AC305" s="776"/>
      <c r="AD305" s="775"/>
      <c r="AE305" s="775"/>
      <c r="AF305" s="775"/>
      <c r="AG305" s="775"/>
      <c r="AH305" s="775"/>
      <c r="AI305" s="775"/>
      <c r="AJ305" s="773"/>
      <c r="AK305" s="775"/>
      <c r="AL305" s="773"/>
      <c r="AM305" s="773"/>
      <c r="AN305" s="776"/>
      <c r="AO305" s="769"/>
      <c r="AP305" s="769"/>
      <c r="AQ305" s="773"/>
      <c r="AR305" s="773"/>
      <c r="AS305" s="773"/>
      <c r="AT30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05" s="779">
        <f>WWWW[[#This Row],[%Equitable and continuous access to sufficient quantity of safe drinking water]]*WWWW[[#This Row],[Total PoP ]]</f>
        <v>398</v>
      </c>
      <c r="AV30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05" s="779">
        <f>WWWW[[#This Row],[% Access to unimproved water points]]*WWWW[[#This Row],[Total PoP ]]</f>
        <v>398</v>
      </c>
      <c r="AX30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0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398</v>
      </c>
      <c r="AZ305" s="779">
        <f>WWWW[[#This Row],[HRP1]]/250</f>
        <v>1.5920000000000001</v>
      </c>
      <c r="BA305" s="780">
        <f>1-WWWW[[#This Row],[% Equitable and continuous access to sufficient quantity of domestic water]]</f>
        <v>0</v>
      </c>
      <c r="BB305" s="779">
        <f>WWWW[[#This Row],[%equitable and continuous access to sufficient quantity of safe drinking and domestic water''s GAP]]*WWWW[[#This Row],[Total PoP ]]</f>
        <v>0</v>
      </c>
      <c r="BC305" s="781">
        <f>IF(WWWW[[#This Row],[Total required water points]]-WWWW[[#This Row],['#Water points coverage]]&lt;0,0,WWWW[[#This Row],[Total required water points]]-WWWW[[#This Row],['#Water points coverage]])</f>
        <v>0.40799999999999992</v>
      </c>
      <c r="BD305" s="781">
        <f>ROUND(IF(WWWW[[#This Row],[Total PoP ]]&lt;250,1,WWWW[[#This Row],[Total PoP ]]/250),0)</f>
        <v>2</v>
      </c>
      <c r="BE30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05" s="779">
        <f>WWWW[[#This Row],[% people access to functioning Latrine]]*WWWW[[#This Row],[Total PoP ]]</f>
        <v>398</v>
      </c>
      <c r="BG305" s="781">
        <f>WWWW[[#This Row],['#_of_Functioning_latrines_in_school]]*50</f>
        <v>0</v>
      </c>
      <c r="BH305" s="781">
        <f>ROUND((WWWW[[#This Row],[Total PoP ]]/6),0)</f>
        <v>66</v>
      </c>
      <c r="BI305" s="781">
        <f>IF(WWWW[[#This Row],[Total required Latrines]]-(WWWW[[#This Row],['#_of_sanitary_fly-proof_HH_latrines]])&lt;0,0,WWWW[[#This Row],[Total required Latrines]]-(WWWW[[#This Row],['#_of_sanitary_fly-proof_HH_latrines]]))</f>
        <v>0</v>
      </c>
      <c r="BJ305" s="778">
        <f>1-WWWW[[#This Row],[% people access to functioning Latrine]]</f>
        <v>0</v>
      </c>
      <c r="BK30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05" s="772">
        <f>IF(WWWW[[#This Row],['#_of_functional_handwashing_facilities_at_HH_level]]*6&gt;WWWW[[#This Row],[Total PoP ]],WWWW[[#This Row],[Total PoP ]],WWWW[[#This Row],['#_of_functional_handwashing_facilities_at_HH_level]]*6)</f>
        <v>0</v>
      </c>
      <c r="BM305" s="781">
        <f>IF(WWWW[[#This Row],['# people reached by regular dedicated hygiene promotion]]&gt;WWWW[[#This Row],['# People received regular supply of hygiene items]],WWWW[[#This Row],['# people reached by regular dedicated hygiene promotion]],WWWW[[#This Row],['# People received regular supply of hygiene items]])</f>
        <v>0</v>
      </c>
      <c r="BN305" s="780">
        <f>IF(WWWW[[#This Row],[HRP3]]/WWWW[[#This Row],[Total PoP ]]&gt;100%,100%,WWWW[[#This Row],[HRP3]]/WWWW[[#This Row],[Total PoP ]])</f>
        <v>0</v>
      </c>
      <c r="BO305" s="778">
        <f>1-WWWW[[#This Row],[Hygiene Coverage%]]</f>
        <v>1</v>
      </c>
      <c r="BP305" s="777">
        <f>WWWW[[#This Row],['# people reached by regular dedicated hygiene promotion]]/WWWW[[#This Row],[Total PoP ]]</f>
        <v>0</v>
      </c>
      <c r="BQ30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05" s="770">
        <f>WWWW[[#This Row],['#_of_affected_women_and_girls_receiving_a_sufficient_quantity_of_sanitary_pads]]</f>
        <v>0</v>
      </c>
      <c r="BS305" s="773">
        <f>IF(WWWW[[#This Row],['# People with access to soap]]&gt;WWWW[[#This Row],['# People with access to Sanity Pads]],WWWW[[#This Row],['# People with access to soap]],WWWW[[#This Row],['# People with access to Sanity Pads]])</f>
        <v>0</v>
      </c>
      <c r="BT305" s="772" t="str">
        <f>IF(OR(WWWW[[#This Row],['#of students in school]]="",WWWW[[#This Row],['#of students in school]]=0),"No","Yes")</f>
        <v>No</v>
      </c>
      <c r="BU305" s="782" t="str">
        <f>VLOOKUP(WWWW[[#This Row],[Village  Name]],SiteDB6[[Site Name]:[Location Type 1]],9,FALSE)</f>
        <v>Village</v>
      </c>
      <c r="BV305" s="782" t="str">
        <f>VLOOKUP(WWWW[[#This Row],[Village  Name]],SiteDB6[[Site Name]:[Type of Accommodation]],10,FALSE)</f>
        <v>Village</v>
      </c>
      <c r="BW305" s="782">
        <f>VLOOKUP(WWWW[[#This Row],[Village  Name]],SiteDB6[[Site Name]:[Ethnic or GCA/NGCA]],11,FALSE)</f>
        <v>0</v>
      </c>
      <c r="BX305" s="782">
        <f>VLOOKUP(WWWW[[#This Row],[Village  Name]],SiteDB6[[Site Name]:[Lat]],12,FALSE)</f>
        <v>20.382389068603501</v>
      </c>
      <c r="BY305" s="782">
        <f>VLOOKUP(WWWW[[#This Row],[Village  Name]],SiteDB6[[Site Name]:[Long]],13,FALSE)</f>
        <v>93.373863220214801</v>
      </c>
      <c r="BZ305" s="782">
        <f>VLOOKUP(WWWW[[#This Row],[Village  Name]],SiteDB6[[Site Name]:[Pcode]],3,FALSE)</f>
        <v>197111</v>
      </c>
      <c r="CA305" s="782" t="str">
        <f t="shared" si="19"/>
        <v>Covered</v>
      </c>
      <c r="CB305" s="783"/>
    </row>
    <row r="306" spans="1:80">
      <c r="A306" s="774" t="s">
        <v>3199</v>
      </c>
      <c r="B306" s="727" t="s">
        <v>314</v>
      </c>
      <c r="C306" s="728" t="s">
        <v>314</v>
      </c>
      <c r="D306" s="728" t="s">
        <v>327</v>
      </c>
      <c r="E306" s="728" t="s">
        <v>2648</v>
      </c>
      <c r="F306" s="728" t="s">
        <v>312</v>
      </c>
      <c r="G306" s="644" t="str">
        <f>VLOOKUP(WWWW[[#This Row],[Village  Name]],SiteDB6[[Site Name]:[Location Type]],8,FALSE)</f>
        <v>Village</v>
      </c>
      <c r="H306" s="728" t="s">
        <v>2620</v>
      </c>
      <c r="I306" s="775">
        <v>191</v>
      </c>
      <c r="J306" s="775">
        <v>713</v>
      </c>
      <c r="K306" s="784">
        <v>42736</v>
      </c>
      <c r="L306" s="785">
        <v>44551</v>
      </c>
      <c r="M306" s="775"/>
      <c r="N306" s="775"/>
      <c r="O306" s="773">
        <v>11</v>
      </c>
      <c r="P306" s="775">
        <v>93</v>
      </c>
      <c r="Q306" s="775">
        <v>2</v>
      </c>
      <c r="R306" s="775"/>
      <c r="S306" s="775"/>
      <c r="T306" s="775"/>
      <c r="U306" s="776"/>
      <c r="V306" s="775">
        <v>89</v>
      </c>
      <c r="W306" s="775" t="s">
        <v>130</v>
      </c>
      <c r="X306" s="775"/>
      <c r="Y306" s="775"/>
      <c r="Z306" s="775"/>
      <c r="AA306" s="775"/>
      <c r="AB306" s="775"/>
      <c r="AC306" s="776"/>
      <c r="AD306" s="775"/>
      <c r="AE306" s="775"/>
      <c r="AF306" s="775"/>
      <c r="AG306" s="775"/>
      <c r="AH306" s="775"/>
      <c r="AI306" s="775"/>
      <c r="AJ306" s="773"/>
      <c r="AK306" s="775"/>
      <c r="AL306" s="773"/>
      <c r="AM306" s="773"/>
      <c r="AN306" s="776"/>
      <c r="AO306" s="769"/>
      <c r="AP306" s="769"/>
      <c r="AQ306" s="773"/>
      <c r="AR306" s="773"/>
      <c r="AS306" s="773"/>
      <c r="AT30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06" s="779">
        <f>WWWW[[#This Row],[%Equitable and continuous access to sufficient quantity of safe drinking water]]*WWWW[[#This Row],[Total PoP ]]</f>
        <v>713</v>
      </c>
      <c r="AV30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06" s="779">
        <f>WWWW[[#This Row],[% Access to unimproved water points]]*WWWW[[#This Row],[Total PoP ]]</f>
        <v>713</v>
      </c>
      <c r="AX30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0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713</v>
      </c>
      <c r="AZ306" s="779">
        <f>WWWW[[#This Row],[HRP1]]/250</f>
        <v>2.8519999999999999</v>
      </c>
      <c r="BA306" s="780">
        <f>1-WWWW[[#This Row],[% Equitable and continuous access to sufficient quantity of domestic water]]</f>
        <v>0</v>
      </c>
      <c r="BB306" s="779">
        <f>WWWW[[#This Row],[%equitable and continuous access to sufficient quantity of safe drinking and domestic water''s GAP]]*WWWW[[#This Row],[Total PoP ]]</f>
        <v>0</v>
      </c>
      <c r="BC306" s="781">
        <f>IF(WWWW[[#This Row],[Total required water points]]-WWWW[[#This Row],['#Water points coverage]]&lt;0,0,WWWW[[#This Row],[Total required water points]]-WWWW[[#This Row],['#Water points coverage]])</f>
        <v>0.14800000000000013</v>
      </c>
      <c r="BD306" s="781">
        <f>ROUND(IF(WWWW[[#This Row],[Total PoP ]]&lt;250,1,WWWW[[#This Row],[Total PoP ]]/250),0)</f>
        <v>3</v>
      </c>
      <c r="BE30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0.74894810659186539</v>
      </c>
      <c r="BF306" s="779">
        <f>WWWW[[#This Row],[% people access to functioning Latrine]]*WWWW[[#This Row],[Total PoP ]]</f>
        <v>534</v>
      </c>
      <c r="BG306" s="781">
        <f>WWWW[[#This Row],['#_of_Functioning_latrines_in_school]]*50</f>
        <v>0</v>
      </c>
      <c r="BH306" s="781">
        <f>ROUND((WWWW[[#This Row],[Total PoP ]]/6),0)</f>
        <v>119</v>
      </c>
      <c r="BI306" s="781">
        <f>IF(WWWW[[#This Row],[Total required Latrines]]-(WWWW[[#This Row],['#_of_sanitary_fly-proof_HH_latrines]])&lt;0,0,WWWW[[#This Row],[Total required Latrines]]-(WWWW[[#This Row],['#_of_sanitary_fly-proof_HH_latrines]]))</f>
        <v>30</v>
      </c>
      <c r="BJ306" s="778">
        <f>1-WWWW[[#This Row],[% people access to functioning Latrine]]</f>
        <v>0.25105189340813461</v>
      </c>
      <c r="BK30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06" s="772">
        <f>IF(WWWW[[#This Row],['#_of_functional_handwashing_facilities_at_HH_level]]*6&gt;WWWW[[#This Row],[Total PoP ]],WWWW[[#This Row],[Total PoP ]],WWWW[[#This Row],['#_of_functional_handwashing_facilities_at_HH_level]]*6)</f>
        <v>0</v>
      </c>
      <c r="BM306" s="781">
        <f>IF(WWWW[[#This Row],['# people reached by regular dedicated hygiene promotion]]&gt;WWWW[[#This Row],['# People received regular supply of hygiene items]],WWWW[[#This Row],['# people reached by regular dedicated hygiene promotion]],WWWW[[#This Row],['# People received regular supply of hygiene items]])</f>
        <v>0</v>
      </c>
      <c r="BN306" s="780">
        <f>IF(WWWW[[#This Row],[HRP3]]/WWWW[[#This Row],[Total PoP ]]&gt;100%,100%,WWWW[[#This Row],[HRP3]]/WWWW[[#This Row],[Total PoP ]])</f>
        <v>0</v>
      </c>
      <c r="BO306" s="778">
        <f>1-WWWW[[#This Row],[Hygiene Coverage%]]</f>
        <v>1</v>
      </c>
      <c r="BP306" s="777">
        <f>WWWW[[#This Row],['# people reached by regular dedicated hygiene promotion]]/WWWW[[#This Row],[Total PoP ]]</f>
        <v>0</v>
      </c>
      <c r="BQ30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06" s="770">
        <f>WWWW[[#This Row],['#_of_affected_women_and_girls_receiving_a_sufficient_quantity_of_sanitary_pads]]</f>
        <v>0</v>
      </c>
      <c r="BS306" s="773">
        <f>IF(WWWW[[#This Row],['# People with access to soap]]&gt;WWWW[[#This Row],['# People with access to Sanity Pads]],WWWW[[#This Row],['# People with access to soap]],WWWW[[#This Row],['# People with access to Sanity Pads]])</f>
        <v>0</v>
      </c>
      <c r="BT306" s="772" t="str">
        <f>IF(OR(WWWW[[#This Row],['#of students in school]]="",WWWW[[#This Row],['#of students in school]]=0),"No","Yes")</f>
        <v>No</v>
      </c>
      <c r="BU306" s="782" t="str">
        <f>VLOOKUP(WWWW[[#This Row],[Village  Name]],SiteDB6[[Site Name]:[Location Type 1]],9,FALSE)</f>
        <v>Village</v>
      </c>
      <c r="BV306" s="782" t="str">
        <f>VLOOKUP(WWWW[[#This Row],[Village  Name]],SiteDB6[[Site Name]:[Type of Accommodation]],10,FALSE)</f>
        <v>Village</v>
      </c>
      <c r="BW306" s="782">
        <f>VLOOKUP(WWWW[[#This Row],[Village  Name]],SiteDB6[[Site Name]:[Ethnic or GCA/NGCA]],11,FALSE)</f>
        <v>0</v>
      </c>
      <c r="BX306" s="782">
        <f>VLOOKUP(WWWW[[#This Row],[Village  Name]],SiteDB6[[Site Name]:[Lat]],12,FALSE)</f>
        <v>20.389610290527301</v>
      </c>
      <c r="BY306" s="782">
        <f>VLOOKUP(WWWW[[#This Row],[Village  Name]],SiteDB6[[Site Name]:[Long]],13,FALSE)</f>
        <v>93.371490478515597</v>
      </c>
      <c r="BZ306" s="782">
        <f>VLOOKUP(WWWW[[#This Row],[Village  Name]],SiteDB6[[Site Name]:[Pcode]],3,FALSE)</f>
        <v>197112</v>
      </c>
      <c r="CA306" s="782" t="str">
        <f t="shared" si="19"/>
        <v>Covered</v>
      </c>
      <c r="CB306" s="783"/>
    </row>
    <row r="307" spans="1:80">
      <c r="A307" s="774" t="s">
        <v>3199</v>
      </c>
      <c r="B307" s="727" t="s">
        <v>314</v>
      </c>
      <c r="C307" s="728" t="s">
        <v>314</v>
      </c>
      <c r="D307" s="728" t="s">
        <v>327</v>
      </c>
      <c r="E307" s="728" t="s">
        <v>2648</v>
      </c>
      <c r="F307" s="728" t="s">
        <v>312</v>
      </c>
      <c r="G307" s="644" t="str">
        <f>VLOOKUP(WWWW[[#This Row],[Village  Name]],SiteDB6[[Site Name]:[Location Type]],8,FALSE)</f>
        <v>Village</v>
      </c>
      <c r="H307" s="728" t="s">
        <v>2621</v>
      </c>
      <c r="I307" s="775">
        <v>27</v>
      </c>
      <c r="J307" s="775">
        <v>53</v>
      </c>
      <c r="K307" s="784">
        <v>42736</v>
      </c>
      <c r="L307" s="785">
        <v>44551</v>
      </c>
      <c r="M307" s="775"/>
      <c r="N307" s="775"/>
      <c r="O307" s="773">
        <v>2</v>
      </c>
      <c r="P307" s="775">
        <v>23</v>
      </c>
      <c r="Q307" s="775">
        <v>1</v>
      </c>
      <c r="R307" s="775"/>
      <c r="S307" s="775"/>
      <c r="T307" s="775"/>
      <c r="U307" s="776"/>
      <c r="V307" s="775">
        <v>22</v>
      </c>
      <c r="W307" s="775" t="s">
        <v>130</v>
      </c>
      <c r="X307" s="775"/>
      <c r="Y307" s="775"/>
      <c r="Z307" s="775"/>
      <c r="AA307" s="775"/>
      <c r="AB307" s="775"/>
      <c r="AC307" s="776"/>
      <c r="AD307" s="775"/>
      <c r="AE307" s="775"/>
      <c r="AF307" s="775"/>
      <c r="AG307" s="775"/>
      <c r="AH307" s="775"/>
      <c r="AI307" s="775"/>
      <c r="AJ307" s="773"/>
      <c r="AK307" s="775"/>
      <c r="AL307" s="773"/>
      <c r="AM307" s="773"/>
      <c r="AN307" s="776"/>
      <c r="AO307" s="769"/>
      <c r="AP307" s="769"/>
      <c r="AQ307" s="773"/>
      <c r="AR307" s="773"/>
      <c r="AS307" s="773"/>
      <c r="AT30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07" s="779">
        <f>WWWW[[#This Row],[%Equitable and continuous access to sufficient quantity of safe drinking water]]*WWWW[[#This Row],[Total PoP ]]</f>
        <v>53</v>
      </c>
      <c r="AV30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07" s="779">
        <f>WWWW[[#This Row],[% Access to unimproved water points]]*WWWW[[#This Row],[Total PoP ]]</f>
        <v>53</v>
      </c>
      <c r="AX30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0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53</v>
      </c>
      <c r="AZ307" s="779">
        <f>WWWW[[#This Row],[HRP1]]/250</f>
        <v>0.21199999999999999</v>
      </c>
      <c r="BA307" s="780">
        <f>1-WWWW[[#This Row],[% Equitable and continuous access to sufficient quantity of domestic water]]</f>
        <v>0</v>
      </c>
      <c r="BB307" s="779">
        <f>WWWW[[#This Row],[%equitable and continuous access to sufficient quantity of safe drinking and domestic water''s GAP]]*WWWW[[#This Row],[Total PoP ]]</f>
        <v>0</v>
      </c>
      <c r="BC307" s="781">
        <f>IF(WWWW[[#This Row],[Total required water points]]-WWWW[[#This Row],['#Water points coverage]]&lt;0,0,WWWW[[#This Row],[Total required water points]]-WWWW[[#This Row],['#Water points coverage]])</f>
        <v>0.78800000000000003</v>
      </c>
      <c r="BD307" s="781">
        <f>ROUND(IF(WWWW[[#This Row],[Total PoP ]]&lt;250,1,WWWW[[#This Row],[Total PoP ]]/250),0)</f>
        <v>1</v>
      </c>
      <c r="BE30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07" s="779">
        <f>WWWW[[#This Row],[% people access to functioning Latrine]]*WWWW[[#This Row],[Total PoP ]]</f>
        <v>53</v>
      </c>
      <c r="BG307" s="781">
        <f>WWWW[[#This Row],['#_of_Functioning_latrines_in_school]]*50</f>
        <v>0</v>
      </c>
      <c r="BH307" s="781">
        <f>ROUND((WWWW[[#This Row],[Total PoP ]]/6),0)</f>
        <v>9</v>
      </c>
      <c r="BI307" s="781">
        <f>IF(WWWW[[#This Row],[Total required Latrines]]-(WWWW[[#This Row],['#_of_sanitary_fly-proof_HH_latrines]])&lt;0,0,WWWW[[#This Row],[Total required Latrines]]-(WWWW[[#This Row],['#_of_sanitary_fly-proof_HH_latrines]]))</f>
        <v>0</v>
      </c>
      <c r="BJ307" s="778">
        <f>1-WWWW[[#This Row],[% people access to functioning Latrine]]</f>
        <v>0</v>
      </c>
      <c r="BK30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07" s="772">
        <f>IF(WWWW[[#This Row],['#_of_functional_handwashing_facilities_at_HH_level]]*6&gt;WWWW[[#This Row],[Total PoP ]],WWWW[[#This Row],[Total PoP ]],WWWW[[#This Row],['#_of_functional_handwashing_facilities_at_HH_level]]*6)</f>
        <v>0</v>
      </c>
      <c r="BM307" s="781">
        <f>IF(WWWW[[#This Row],['# people reached by regular dedicated hygiene promotion]]&gt;WWWW[[#This Row],['# People received regular supply of hygiene items]],WWWW[[#This Row],['# people reached by regular dedicated hygiene promotion]],WWWW[[#This Row],['# People received regular supply of hygiene items]])</f>
        <v>0</v>
      </c>
      <c r="BN307" s="780">
        <f>IF(WWWW[[#This Row],[HRP3]]/WWWW[[#This Row],[Total PoP ]]&gt;100%,100%,WWWW[[#This Row],[HRP3]]/WWWW[[#This Row],[Total PoP ]])</f>
        <v>0</v>
      </c>
      <c r="BO307" s="778">
        <f>1-WWWW[[#This Row],[Hygiene Coverage%]]</f>
        <v>1</v>
      </c>
      <c r="BP307" s="777">
        <f>WWWW[[#This Row],['# people reached by regular dedicated hygiene promotion]]/WWWW[[#This Row],[Total PoP ]]</f>
        <v>0</v>
      </c>
      <c r="BQ30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07" s="770">
        <f>WWWW[[#This Row],['#_of_affected_women_and_girls_receiving_a_sufficient_quantity_of_sanitary_pads]]</f>
        <v>0</v>
      </c>
      <c r="BS307" s="773">
        <f>IF(WWWW[[#This Row],['# People with access to soap]]&gt;WWWW[[#This Row],['# People with access to Sanity Pads]],WWWW[[#This Row],['# People with access to soap]],WWWW[[#This Row],['# People with access to Sanity Pads]])</f>
        <v>0</v>
      </c>
      <c r="BT307" s="772" t="str">
        <f>IF(OR(WWWW[[#This Row],['#of students in school]]="",WWWW[[#This Row],['#of students in school]]=0),"No","Yes")</f>
        <v>No</v>
      </c>
      <c r="BU307" s="782" t="str">
        <f>VLOOKUP(WWWW[[#This Row],[Village  Name]],SiteDB6[[Site Name]:[Location Type 1]],9,FALSE)</f>
        <v>Village</v>
      </c>
      <c r="BV307" s="782" t="str">
        <f>VLOOKUP(WWWW[[#This Row],[Village  Name]],SiteDB6[[Site Name]:[Type of Accommodation]],10,FALSE)</f>
        <v>Village</v>
      </c>
      <c r="BW307" s="782">
        <f>VLOOKUP(WWWW[[#This Row],[Village  Name]],SiteDB6[[Site Name]:[Ethnic or GCA/NGCA]],11,FALSE)</f>
        <v>0</v>
      </c>
      <c r="BX307" s="782">
        <f>VLOOKUP(WWWW[[#This Row],[Village  Name]],SiteDB6[[Site Name]:[Lat]],12,FALSE)</f>
        <v>20.384975433349599</v>
      </c>
      <c r="BY307" s="782">
        <f>VLOOKUP(WWWW[[#This Row],[Village  Name]],SiteDB6[[Site Name]:[Long]],13,FALSE)</f>
        <v>93.373054504394503</v>
      </c>
      <c r="BZ307" s="782">
        <f>VLOOKUP(WWWW[[#This Row],[Village  Name]],SiteDB6[[Site Name]:[Pcode]],3,FALSE)</f>
        <v>220653</v>
      </c>
      <c r="CA307" s="782" t="str">
        <f t="shared" si="19"/>
        <v>Covered</v>
      </c>
      <c r="CB307" s="783"/>
    </row>
    <row r="308" spans="1:80">
      <c r="A308" s="774" t="s">
        <v>3199</v>
      </c>
      <c r="B308" s="727" t="s">
        <v>314</v>
      </c>
      <c r="C308" s="728" t="s">
        <v>314</v>
      </c>
      <c r="D308" s="728" t="s">
        <v>327</v>
      </c>
      <c r="E308" s="728" t="s">
        <v>2648</v>
      </c>
      <c r="F308" s="728" t="s">
        <v>312</v>
      </c>
      <c r="G308" s="644" t="str">
        <f>VLOOKUP(WWWW[[#This Row],[Village  Name]],SiteDB6[[Site Name]:[Location Type]],8,FALSE)</f>
        <v>Village</v>
      </c>
      <c r="H308" s="728" t="s">
        <v>658</v>
      </c>
      <c r="I308" s="775">
        <v>63</v>
      </c>
      <c r="J308" s="775">
        <v>249</v>
      </c>
      <c r="K308" s="784">
        <v>42736</v>
      </c>
      <c r="L308" s="785">
        <v>44551</v>
      </c>
      <c r="M308" s="775"/>
      <c r="N308" s="775"/>
      <c r="O308" s="773">
        <v>0</v>
      </c>
      <c r="P308" s="775">
        <v>88</v>
      </c>
      <c r="Q308" s="775">
        <v>2</v>
      </c>
      <c r="R308" s="775"/>
      <c r="S308" s="775"/>
      <c r="T308" s="775"/>
      <c r="U308" s="776"/>
      <c r="V308" s="775">
        <v>108</v>
      </c>
      <c r="W308" s="775" t="s">
        <v>130</v>
      </c>
      <c r="X308" s="775"/>
      <c r="Y308" s="775"/>
      <c r="Z308" s="775"/>
      <c r="AA308" s="775"/>
      <c r="AB308" s="775"/>
      <c r="AC308" s="776"/>
      <c r="AD308" s="775"/>
      <c r="AE308" s="775"/>
      <c r="AF308" s="775"/>
      <c r="AG308" s="775"/>
      <c r="AH308" s="775"/>
      <c r="AI308" s="775"/>
      <c r="AJ308" s="773"/>
      <c r="AK308" s="775"/>
      <c r="AL308" s="773"/>
      <c r="AM308" s="773"/>
      <c r="AN308" s="776"/>
      <c r="AO308" s="769"/>
      <c r="AP308" s="769"/>
      <c r="AQ308" s="773"/>
      <c r="AR308" s="773"/>
      <c r="AS308" s="773"/>
      <c r="AT30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08" s="779">
        <f>WWWW[[#This Row],[%Equitable and continuous access to sufficient quantity of safe drinking water]]*WWWW[[#This Row],[Total PoP ]]</f>
        <v>249</v>
      </c>
      <c r="AV30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08" s="779">
        <f>WWWW[[#This Row],[% Access to unimproved water points]]*WWWW[[#This Row],[Total PoP ]]</f>
        <v>249</v>
      </c>
      <c r="AX30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0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249</v>
      </c>
      <c r="AZ308" s="779">
        <f>WWWW[[#This Row],[HRP1]]/250</f>
        <v>0.996</v>
      </c>
      <c r="BA308" s="780">
        <f>1-WWWW[[#This Row],[% Equitable and continuous access to sufficient quantity of domestic water]]</f>
        <v>0</v>
      </c>
      <c r="BB308" s="779">
        <f>WWWW[[#This Row],[%equitable and continuous access to sufficient quantity of safe drinking and domestic water''s GAP]]*WWWW[[#This Row],[Total PoP ]]</f>
        <v>0</v>
      </c>
      <c r="BC308" s="781">
        <f>IF(WWWW[[#This Row],[Total required water points]]-WWWW[[#This Row],['#Water points coverage]]&lt;0,0,WWWW[[#This Row],[Total required water points]]-WWWW[[#This Row],['#Water points coverage]])</f>
        <v>4.0000000000000036E-3</v>
      </c>
      <c r="BD308" s="781">
        <f>ROUND(IF(WWWW[[#This Row],[Total PoP ]]&lt;250,1,WWWW[[#This Row],[Total PoP ]]/250),0)</f>
        <v>1</v>
      </c>
      <c r="BE30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08" s="779">
        <f>WWWW[[#This Row],[% people access to functioning Latrine]]*WWWW[[#This Row],[Total PoP ]]</f>
        <v>249</v>
      </c>
      <c r="BG308" s="781">
        <f>WWWW[[#This Row],['#_of_Functioning_latrines_in_school]]*50</f>
        <v>0</v>
      </c>
      <c r="BH308" s="781">
        <f>ROUND((WWWW[[#This Row],[Total PoP ]]/6),0)</f>
        <v>42</v>
      </c>
      <c r="BI308" s="781">
        <f>IF(WWWW[[#This Row],[Total required Latrines]]-(WWWW[[#This Row],['#_of_sanitary_fly-proof_HH_latrines]])&lt;0,0,WWWW[[#This Row],[Total required Latrines]]-(WWWW[[#This Row],['#_of_sanitary_fly-proof_HH_latrines]]))</f>
        <v>0</v>
      </c>
      <c r="BJ308" s="778">
        <f>1-WWWW[[#This Row],[% people access to functioning Latrine]]</f>
        <v>0</v>
      </c>
      <c r="BK30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08" s="772">
        <f>IF(WWWW[[#This Row],['#_of_functional_handwashing_facilities_at_HH_level]]*6&gt;WWWW[[#This Row],[Total PoP ]],WWWW[[#This Row],[Total PoP ]],WWWW[[#This Row],['#_of_functional_handwashing_facilities_at_HH_level]]*6)</f>
        <v>0</v>
      </c>
      <c r="BM308" s="781">
        <f>IF(WWWW[[#This Row],['# people reached by regular dedicated hygiene promotion]]&gt;WWWW[[#This Row],['# People received regular supply of hygiene items]],WWWW[[#This Row],['# people reached by regular dedicated hygiene promotion]],WWWW[[#This Row],['# People received regular supply of hygiene items]])</f>
        <v>0</v>
      </c>
      <c r="BN308" s="780">
        <f>IF(WWWW[[#This Row],[HRP3]]/WWWW[[#This Row],[Total PoP ]]&gt;100%,100%,WWWW[[#This Row],[HRP3]]/WWWW[[#This Row],[Total PoP ]])</f>
        <v>0</v>
      </c>
      <c r="BO308" s="778">
        <f>1-WWWW[[#This Row],[Hygiene Coverage%]]</f>
        <v>1</v>
      </c>
      <c r="BP308" s="777">
        <f>WWWW[[#This Row],['# people reached by regular dedicated hygiene promotion]]/WWWW[[#This Row],[Total PoP ]]</f>
        <v>0</v>
      </c>
      <c r="BQ30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08" s="770">
        <f>WWWW[[#This Row],['#_of_affected_women_and_girls_receiving_a_sufficient_quantity_of_sanitary_pads]]</f>
        <v>0</v>
      </c>
      <c r="BS308" s="773">
        <f>IF(WWWW[[#This Row],['# People with access to soap]]&gt;WWWW[[#This Row],['# People with access to Sanity Pads]],WWWW[[#This Row],['# People with access to soap]],WWWW[[#This Row],['# People with access to Sanity Pads]])</f>
        <v>0</v>
      </c>
      <c r="BT308" s="772" t="str">
        <f>IF(OR(WWWW[[#This Row],['#of students in school]]="",WWWW[[#This Row],['#of students in school]]=0),"No","Yes")</f>
        <v>No</v>
      </c>
      <c r="BU308" s="782" t="str">
        <f>VLOOKUP(WWWW[[#This Row],[Village  Name]],SiteDB6[[Site Name]:[Location Type 1]],9,FALSE)</f>
        <v>Village</v>
      </c>
      <c r="BV308" s="782" t="str">
        <f>VLOOKUP(WWWW[[#This Row],[Village  Name]],SiteDB6[[Site Name]:[Type of Accommodation]],10,FALSE)</f>
        <v>Village</v>
      </c>
      <c r="BW308" s="782">
        <f>VLOOKUP(WWWW[[#This Row],[Village  Name]],SiteDB6[[Site Name]:[Ethnic or GCA/NGCA]],11,FALSE)</f>
        <v>0</v>
      </c>
      <c r="BX308" s="782">
        <f>VLOOKUP(WWWW[[#This Row],[Village  Name]],SiteDB6[[Site Name]:[Lat]],12,FALSE)</f>
        <v>0</v>
      </c>
      <c r="BY308" s="782">
        <f>VLOOKUP(WWWW[[#This Row],[Village  Name]],SiteDB6[[Site Name]:[Long]],13,FALSE)</f>
        <v>0</v>
      </c>
      <c r="BZ308" s="782">
        <f>VLOOKUP(WWWW[[#This Row],[Village  Name]],SiteDB6[[Site Name]:[Pcode]],3,FALSE)</f>
        <v>197110</v>
      </c>
      <c r="CA308" s="782" t="str">
        <f t="shared" si="19"/>
        <v>Covered</v>
      </c>
      <c r="CB308" s="783"/>
    </row>
    <row r="309" spans="1:80">
      <c r="A309" s="774" t="s">
        <v>3199</v>
      </c>
      <c r="B309" s="727" t="s">
        <v>398</v>
      </c>
      <c r="C309" s="728" t="s">
        <v>398</v>
      </c>
      <c r="D309" s="728" t="s">
        <v>3295</v>
      </c>
      <c r="E309" s="728" t="s">
        <v>2648</v>
      </c>
      <c r="F309" s="728" t="s">
        <v>399</v>
      </c>
      <c r="G309" s="644" t="str">
        <f>VLOOKUP(WWWW[[#This Row],[Village  Name]],SiteDB6[[Site Name]:[Location Type]],8,FALSE)</f>
        <v>Village</v>
      </c>
      <c r="H309" s="728" t="s">
        <v>401</v>
      </c>
      <c r="I309" s="775">
        <v>40</v>
      </c>
      <c r="J309" s="775">
        <v>217</v>
      </c>
      <c r="K309" s="784">
        <v>43952</v>
      </c>
      <c r="L309" s="785">
        <v>44316</v>
      </c>
      <c r="M309" s="775">
        <v>107</v>
      </c>
      <c r="N309" s="775"/>
      <c r="O309" s="773"/>
      <c r="P309" s="775">
        <v>8</v>
      </c>
      <c r="Q309" s="775"/>
      <c r="R309" s="775"/>
      <c r="S309" s="775"/>
      <c r="T309" s="775">
        <v>2</v>
      </c>
      <c r="U309" s="776"/>
      <c r="V309" s="775">
        <v>40</v>
      </c>
      <c r="W309" s="775" t="s">
        <v>40</v>
      </c>
      <c r="X309" s="775">
        <v>2</v>
      </c>
      <c r="Y309" s="775"/>
      <c r="Z309" s="775"/>
      <c r="AA309" s="775">
        <v>1</v>
      </c>
      <c r="AB309" s="775"/>
      <c r="AC309" s="776"/>
      <c r="AD309" s="775">
        <v>39</v>
      </c>
      <c r="AE309" s="775">
        <v>147</v>
      </c>
      <c r="AF309" s="775">
        <v>70</v>
      </c>
      <c r="AG309" s="775">
        <v>116</v>
      </c>
      <c r="AH309" s="775">
        <v>30</v>
      </c>
      <c r="AI309" s="775">
        <v>32</v>
      </c>
      <c r="AJ309" s="773">
        <v>40</v>
      </c>
      <c r="AK309" s="775">
        <v>2</v>
      </c>
      <c r="AL309" s="773">
        <v>40</v>
      </c>
      <c r="AM309" s="773">
        <v>80</v>
      </c>
      <c r="AN309" s="776"/>
      <c r="AO309" s="769">
        <v>1</v>
      </c>
      <c r="AP309" s="769">
        <v>1</v>
      </c>
      <c r="AQ309" s="773" t="s">
        <v>61</v>
      </c>
      <c r="AR309" s="773" t="s">
        <v>61</v>
      </c>
      <c r="AS309" s="773" t="s">
        <v>61</v>
      </c>
      <c r="AT30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09" s="779">
        <f>WWWW[[#This Row],[%Equitable and continuous access to sufficient quantity of safe drinking water]]*WWWW[[#This Row],[Total PoP ]]</f>
        <v>217</v>
      </c>
      <c r="AV30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09" s="779">
        <f>WWWW[[#This Row],[% Access to unimproved water points]]*WWWW[[#This Row],[Total PoP ]]</f>
        <v>0</v>
      </c>
      <c r="AX30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0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217</v>
      </c>
      <c r="AZ309" s="779">
        <f>WWWW[[#This Row],[HRP1]]/250</f>
        <v>0.86799999999999999</v>
      </c>
      <c r="BA309" s="780">
        <f>1-WWWW[[#This Row],[% Equitable and continuous access to sufficient quantity of domestic water]]</f>
        <v>0</v>
      </c>
      <c r="BB309" s="779">
        <f>WWWW[[#This Row],[%equitable and continuous access to sufficient quantity of safe drinking and domestic water''s GAP]]*WWWW[[#This Row],[Total PoP ]]</f>
        <v>0</v>
      </c>
      <c r="BC309" s="781">
        <f>IF(WWWW[[#This Row],[Total required water points]]-WWWW[[#This Row],['#Water points coverage]]&lt;0,0,WWWW[[#This Row],[Total required water points]]-WWWW[[#This Row],['#Water points coverage]])</f>
        <v>0.13200000000000001</v>
      </c>
      <c r="BD309" s="781">
        <f>ROUND(IF(WWWW[[#This Row],[Total PoP ]]&lt;250,1,WWWW[[#This Row],[Total PoP ]]/250),0)</f>
        <v>1</v>
      </c>
      <c r="BE30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09" s="779">
        <f>WWWW[[#This Row],[% people access to functioning Latrine]]*WWWW[[#This Row],[Total PoP ]]</f>
        <v>217</v>
      </c>
      <c r="BG309" s="781">
        <f>WWWW[[#This Row],['#_of_Functioning_latrines_in_school]]*50</f>
        <v>100</v>
      </c>
      <c r="BH309" s="781">
        <f>ROUND((WWWW[[#This Row],[Total PoP ]]/6),0)</f>
        <v>36</v>
      </c>
      <c r="BI309" s="781">
        <f>IF(WWWW[[#This Row],[Total required Latrines]]-(WWWW[[#This Row],['#_of_sanitary_fly-proof_HH_latrines]])&lt;0,0,WWWW[[#This Row],[Total required Latrines]]-(WWWW[[#This Row],['#_of_sanitary_fly-proof_HH_latrines]]))</f>
        <v>0</v>
      </c>
      <c r="BJ309" s="778">
        <f>1-WWWW[[#This Row],[% people access to functioning Latrine]]</f>
        <v>0</v>
      </c>
      <c r="BK30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217</v>
      </c>
      <c r="BL309" s="772">
        <f>IF(WWWW[[#This Row],['#_of_functional_handwashing_facilities_at_HH_level]]*6&gt;WWWW[[#This Row],[Total PoP ]],WWWW[[#This Row],[Total PoP ]],WWWW[[#This Row],['#_of_functional_handwashing_facilities_at_HH_level]]*6)</f>
        <v>217</v>
      </c>
      <c r="BM309" s="781">
        <f>IF(WWWW[[#This Row],['# people reached by regular dedicated hygiene promotion]]&gt;WWWW[[#This Row],['# People received regular supply of hygiene items]],WWWW[[#This Row],['# people reached by regular dedicated hygiene promotion]],WWWW[[#This Row],['# People received regular supply of hygiene items]])</f>
        <v>217</v>
      </c>
      <c r="BN309" s="780">
        <f>IF(WWWW[[#This Row],[HRP3]]/WWWW[[#This Row],[Total PoP ]]&gt;100%,100%,WWWW[[#This Row],[HRP3]]/WWWW[[#This Row],[Total PoP ]])</f>
        <v>1</v>
      </c>
      <c r="BO309" s="778">
        <f>1-WWWW[[#This Row],[Hygiene Coverage%]]</f>
        <v>0</v>
      </c>
      <c r="BP309" s="777">
        <f>WWWW[[#This Row],['# people reached by regular dedicated hygiene promotion]]/WWWW[[#This Row],[Total PoP ]]</f>
        <v>1</v>
      </c>
      <c r="BQ30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217</v>
      </c>
      <c r="BR309" s="770">
        <f>WWWW[[#This Row],['#_of_affected_women_and_girls_receiving_a_sufficient_quantity_of_sanitary_pads]]</f>
        <v>80</v>
      </c>
      <c r="BS309" s="773">
        <f>IF(WWWW[[#This Row],['# People with access to soap]]&gt;WWWW[[#This Row],['# People with access to Sanity Pads]],WWWW[[#This Row],['# People with access to soap]],WWWW[[#This Row],['# People with access to Sanity Pads]])</f>
        <v>217</v>
      </c>
      <c r="BT309" s="772" t="str">
        <f>IF(OR(WWWW[[#This Row],['#of students in school]]="",WWWW[[#This Row],['#of students in school]]=0),"No","Yes")</f>
        <v>Yes</v>
      </c>
      <c r="BU309" s="782" t="str">
        <f>VLOOKUP(WWWW[[#This Row],[Village  Name]],SiteDB6[[Site Name]:[Location Type 1]],9,FALSE)</f>
        <v>Village</v>
      </c>
      <c r="BV309" s="782" t="str">
        <f>VLOOKUP(WWWW[[#This Row],[Village  Name]],SiteDB6[[Site Name]:[Type of Accommodation]],10,FALSE)</f>
        <v>Relocated</v>
      </c>
      <c r="BW309" s="782" t="str">
        <f>VLOOKUP(WWWW[[#This Row],[Village  Name]],SiteDB6[[Site Name]:[Ethnic or GCA/NGCA]],11,FALSE)</f>
        <v>Rakhine</v>
      </c>
      <c r="BX309" s="782">
        <f>VLOOKUP(WWWW[[#This Row],[Village  Name]],SiteDB6[[Site Name]:[Lat]],12,FALSE)</f>
        <v>20.041981</v>
      </c>
      <c r="BY309" s="782">
        <f>VLOOKUP(WWWW[[#This Row],[Village  Name]],SiteDB6[[Site Name]:[Long]],13,FALSE)</f>
        <v>93.373951000000005</v>
      </c>
      <c r="BZ309" s="782" t="str">
        <f>VLOOKUP(WWWW[[#This Row],[Village  Name]],SiteDB6[[Site Name]:[Pcode]],3,FALSE)</f>
        <v>MMR012CMP013</v>
      </c>
      <c r="CA309" s="782" t="str">
        <f t="shared" si="19"/>
        <v>Covered</v>
      </c>
      <c r="CB309" s="783"/>
    </row>
    <row r="310" spans="1:80">
      <c r="A310" s="774" t="s">
        <v>3199</v>
      </c>
      <c r="B310" s="727" t="s">
        <v>2283</v>
      </c>
      <c r="C310" s="728" t="s">
        <v>2283</v>
      </c>
      <c r="D310" s="728" t="s">
        <v>39</v>
      </c>
      <c r="E310" s="728" t="s">
        <v>2648</v>
      </c>
      <c r="F310" s="728" t="s">
        <v>295</v>
      </c>
      <c r="G310" s="644" t="str">
        <f>VLOOKUP(WWWW[[#This Row],[Village  Name]],SiteDB6[[Site Name]:[Location Type]],8,FALSE)</f>
        <v>Village</v>
      </c>
      <c r="H310" s="728" t="s">
        <v>418</v>
      </c>
      <c r="I310" s="775">
        <v>249</v>
      </c>
      <c r="J310" s="775">
        <v>1362</v>
      </c>
      <c r="K310" s="784">
        <v>43009</v>
      </c>
      <c r="L310" s="785">
        <v>44104</v>
      </c>
      <c r="M310" s="775"/>
      <c r="N310" s="775">
        <v>0</v>
      </c>
      <c r="O310" s="773"/>
      <c r="P310" s="775"/>
      <c r="Q310" s="775"/>
      <c r="R310" s="775"/>
      <c r="S310" s="775"/>
      <c r="T310" s="775"/>
      <c r="U310" s="776"/>
      <c r="V310" s="775"/>
      <c r="W310" s="773" t="s">
        <v>130</v>
      </c>
      <c r="X310" s="775"/>
      <c r="Y310" s="775"/>
      <c r="Z310" s="775"/>
      <c r="AA310" s="775"/>
      <c r="AB310" s="775"/>
      <c r="AC310" s="776"/>
      <c r="AD310" s="775"/>
      <c r="AE310" s="775"/>
      <c r="AF310" s="775"/>
      <c r="AG310" s="775"/>
      <c r="AH310" s="775"/>
      <c r="AI310" s="775"/>
      <c r="AJ310" s="773"/>
      <c r="AK310" s="775"/>
      <c r="AL310" s="773"/>
      <c r="AM310" s="773"/>
      <c r="AN310" s="776"/>
      <c r="AO310" s="769"/>
      <c r="AP310" s="769"/>
      <c r="AQ310" s="773"/>
      <c r="AR310" s="773"/>
      <c r="AS310" s="773"/>
      <c r="AT31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10" s="779">
        <f>WWWW[[#This Row],[%Equitable and continuous access to sufficient quantity of safe drinking water]]*WWWW[[#This Row],[Total PoP ]]</f>
        <v>0</v>
      </c>
      <c r="AV31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0" s="779">
        <f>WWWW[[#This Row],[% Access to unimproved water points]]*WWWW[[#This Row],[Total PoP ]]</f>
        <v>0</v>
      </c>
      <c r="AX31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1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10" s="779">
        <f>WWWW[[#This Row],[HRP1]]/250</f>
        <v>0</v>
      </c>
      <c r="BA310" s="780">
        <f>1-WWWW[[#This Row],[% Equitable and continuous access to sufficient quantity of domestic water]]</f>
        <v>1</v>
      </c>
      <c r="BB310" s="779">
        <f>WWWW[[#This Row],[%equitable and continuous access to sufficient quantity of safe drinking and domestic water''s GAP]]*WWWW[[#This Row],[Total PoP ]]</f>
        <v>1362</v>
      </c>
      <c r="BC310" s="781">
        <f>IF(WWWW[[#This Row],[Total required water points]]-WWWW[[#This Row],['#Water points coverage]]&lt;0,0,WWWW[[#This Row],[Total required water points]]-WWWW[[#This Row],['#Water points coverage]])</f>
        <v>5</v>
      </c>
      <c r="BD310" s="781">
        <f>ROUND(IF(WWWW[[#This Row],[Total PoP ]]&lt;250,1,WWWW[[#This Row],[Total PoP ]]/250),0)</f>
        <v>5</v>
      </c>
      <c r="BE31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10" s="779">
        <f>WWWW[[#This Row],[% people access to functioning Latrine]]*WWWW[[#This Row],[Total PoP ]]</f>
        <v>0</v>
      </c>
      <c r="BG310" s="781">
        <f>WWWW[[#This Row],['#_of_Functioning_latrines_in_school]]*50</f>
        <v>0</v>
      </c>
      <c r="BH310" s="781">
        <f>ROUND((WWWW[[#This Row],[Total PoP ]]/6),0)</f>
        <v>227</v>
      </c>
      <c r="BI310" s="781">
        <f>IF(WWWW[[#This Row],[Total required Latrines]]-(WWWW[[#This Row],['#_of_sanitary_fly-proof_HH_latrines]])&lt;0,0,WWWW[[#This Row],[Total required Latrines]]-(WWWW[[#This Row],['#_of_sanitary_fly-proof_HH_latrines]]))</f>
        <v>227</v>
      </c>
      <c r="BJ310" s="778">
        <f>1-WWWW[[#This Row],[% people access to functioning Latrine]]</f>
        <v>1</v>
      </c>
      <c r="BK31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10" s="772">
        <f>IF(WWWW[[#This Row],['#_of_functional_handwashing_facilities_at_HH_level]]*6&gt;WWWW[[#This Row],[Total PoP ]],WWWW[[#This Row],[Total PoP ]],WWWW[[#This Row],['#_of_functional_handwashing_facilities_at_HH_level]]*6)</f>
        <v>0</v>
      </c>
      <c r="BM310" s="781">
        <f>IF(WWWW[[#This Row],['# people reached by regular dedicated hygiene promotion]]&gt;WWWW[[#This Row],['# People received regular supply of hygiene items]],WWWW[[#This Row],['# people reached by regular dedicated hygiene promotion]],WWWW[[#This Row],['# People received regular supply of hygiene items]])</f>
        <v>0</v>
      </c>
      <c r="BN310" s="780">
        <f>IF(WWWW[[#This Row],[HRP3]]/WWWW[[#This Row],[Total PoP ]]&gt;100%,100%,WWWW[[#This Row],[HRP3]]/WWWW[[#This Row],[Total PoP ]])</f>
        <v>0</v>
      </c>
      <c r="BO310" s="778">
        <f>1-WWWW[[#This Row],[Hygiene Coverage%]]</f>
        <v>1</v>
      </c>
      <c r="BP310" s="777">
        <f>WWWW[[#This Row],['# people reached by regular dedicated hygiene promotion]]/WWWW[[#This Row],[Total PoP ]]</f>
        <v>0</v>
      </c>
      <c r="BQ31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10" s="770">
        <f>WWWW[[#This Row],['#_of_affected_women_and_girls_receiving_a_sufficient_quantity_of_sanitary_pads]]</f>
        <v>0</v>
      </c>
      <c r="BS310" s="773">
        <f>IF(WWWW[[#This Row],['# People with access to soap]]&gt;WWWW[[#This Row],['# People with access to Sanity Pads]],WWWW[[#This Row],['# People with access to soap]],WWWW[[#This Row],['# People with access to Sanity Pads]])</f>
        <v>0</v>
      </c>
      <c r="BT310" s="772" t="str">
        <f>IF(OR(WWWW[[#This Row],['#of students in school]]="",WWWW[[#This Row],['#of students in school]]=0),"No","Yes")</f>
        <v>No</v>
      </c>
      <c r="BU310" s="782" t="str">
        <f>VLOOKUP(WWWW[[#This Row],[Village  Name]],SiteDB6[[Site Name]:[Location Type 1]],9,FALSE)</f>
        <v>Village</v>
      </c>
      <c r="BV310" s="782" t="str">
        <f>VLOOKUP(WWWW[[#This Row],[Village  Name]],SiteDB6[[Site Name]:[Type of Accommodation]],10,FALSE)</f>
        <v>Relocated</v>
      </c>
      <c r="BW310" s="782" t="str">
        <f>VLOOKUP(WWWW[[#This Row],[Village  Name]],SiteDB6[[Site Name]:[Ethnic or GCA/NGCA]],11,FALSE)</f>
        <v>Rakhine</v>
      </c>
      <c r="BX310" s="782">
        <f>VLOOKUP(WWWW[[#This Row],[Village  Name]],SiteDB6[[Site Name]:[Lat]],12,FALSE)</f>
        <v>20.151471999999998</v>
      </c>
      <c r="BY310" s="782">
        <f>VLOOKUP(WWWW[[#This Row],[Village  Name]],SiteDB6[[Site Name]:[Long]],13,FALSE)</f>
        <v>92.887277999999995</v>
      </c>
      <c r="BZ310" s="782" t="str">
        <f>VLOOKUP(WWWW[[#This Row],[Village  Name]],SiteDB6[[Site Name]:[Pcode]],3,FALSE)</f>
        <v>MMR012CMP111</v>
      </c>
      <c r="CA310" s="782" t="str">
        <f t="shared" si="19"/>
        <v>Covered</v>
      </c>
      <c r="CB310" s="783"/>
    </row>
    <row r="311" spans="1:80">
      <c r="A311" s="774" t="s">
        <v>3199</v>
      </c>
      <c r="B311" s="727" t="s">
        <v>2282</v>
      </c>
      <c r="C311" s="728" t="s">
        <v>2282</v>
      </c>
      <c r="D311" s="728" t="s">
        <v>39</v>
      </c>
      <c r="E311" s="728" t="s">
        <v>2648</v>
      </c>
      <c r="F311" s="728" t="s">
        <v>295</v>
      </c>
      <c r="G311" s="644" t="str">
        <f>VLOOKUP(WWWW[[#This Row],[Village  Name]],SiteDB6[[Site Name]:[Location Type]],8,FALSE)</f>
        <v>Village</v>
      </c>
      <c r="H311" s="728" t="s">
        <v>419</v>
      </c>
      <c r="I311" s="775">
        <v>420</v>
      </c>
      <c r="J311" s="775">
        <v>2179</v>
      </c>
      <c r="K311" s="784">
        <v>43009</v>
      </c>
      <c r="L311" s="785">
        <v>44104</v>
      </c>
      <c r="M311" s="775"/>
      <c r="N311" s="775">
        <v>0</v>
      </c>
      <c r="O311" s="773"/>
      <c r="P311" s="775"/>
      <c r="Q311" s="775"/>
      <c r="R311" s="775"/>
      <c r="S311" s="775"/>
      <c r="T311" s="775"/>
      <c r="U311" s="776"/>
      <c r="V311" s="775"/>
      <c r="W311" s="773" t="s">
        <v>130</v>
      </c>
      <c r="X311" s="775"/>
      <c r="Y311" s="775"/>
      <c r="Z311" s="775"/>
      <c r="AA311" s="775"/>
      <c r="AB311" s="775"/>
      <c r="AC311" s="776"/>
      <c r="AD311" s="775">
        <v>72</v>
      </c>
      <c r="AE311" s="775">
        <v>60</v>
      </c>
      <c r="AF311" s="775"/>
      <c r="AG311" s="775"/>
      <c r="AH311" s="775"/>
      <c r="AI311" s="775"/>
      <c r="AJ311" s="773"/>
      <c r="AK311" s="775"/>
      <c r="AL311" s="773"/>
      <c r="AM311" s="773"/>
      <c r="AN311" s="776"/>
      <c r="AO311" s="769"/>
      <c r="AP311" s="769"/>
      <c r="AQ311" s="773"/>
      <c r="AR311" s="773"/>
      <c r="AS311" s="773"/>
      <c r="AT31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11" s="779">
        <f>WWWW[[#This Row],[%Equitable and continuous access to sufficient quantity of safe drinking water]]*WWWW[[#This Row],[Total PoP ]]</f>
        <v>0</v>
      </c>
      <c r="AV31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1" s="779">
        <f>WWWW[[#This Row],[% Access to unimproved water points]]*WWWW[[#This Row],[Total PoP ]]</f>
        <v>0</v>
      </c>
      <c r="AX31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1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11" s="779">
        <f>WWWW[[#This Row],[HRP1]]/250</f>
        <v>0</v>
      </c>
      <c r="BA311" s="780">
        <f>1-WWWW[[#This Row],[% Equitable and continuous access to sufficient quantity of domestic water]]</f>
        <v>1</v>
      </c>
      <c r="BB311" s="779">
        <f>WWWW[[#This Row],[%equitable and continuous access to sufficient quantity of safe drinking and domestic water''s GAP]]*WWWW[[#This Row],[Total PoP ]]</f>
        <v>2179</v>
      </c>
      <c r="BC311" s="781">
        <f>IF(WWWW[[#This Row],[Total required water points]]-WWWW[[#This Row],['#Water points coverage]]&lt;0,0,WWWW[[#This Row],[Total required water points]]-WWWW[[#This Row],['#Water points coverage]])</f>
        <v>9</v>
      </c>
      <c r="BD311" s="781">
        <f>ROUND(IF(WWWW[[#This Row],[Total PoP ]]&lt;250,1,WWWW[[#This Row],[Total PoP ]]/250),0)</f>
        <v>9</v>
      </c>
      <c r="BE31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11" s="779">
        <f>WWWW[[#This Row],[% people access to functioning Latrine]]*WWWW[[#This Row],[Total PoP ]]</f>
        <v>0</v>
      </c>
      <c r="BG311" s="781">
        <f>WWWW[[#This Row],['#_of_Functioning_latrines_in_school]]*50</f>
        <v>0</v>
      </c>
      <c r="BH311" s="781">
        <f>ROUND((WWWW[[#This Row],[Total PoP ]]/6),0)</f>
        <v>363</v>
      </c>
      <c r="BI311" s="781">
        <f>IF(WWWW[[#This Row],[Total required Latrines]]-(WWWW[[#This Row],['#_of_sanitary_fly-proof_HH_latrines]])&lt;0,0,WWWW[[#This Row],[Total required Latrines]]-(WWWW[[#This Row],['#_of_sanitary_fly-proof_HH_latrines]]))</f>
        <v>363</v>
      </c>
      <c r="BJ311" s="778">
        <f>1-WWWW[[#This Row],[% people access to functioning Latrine]]</f>
        <v>1</v>
      </c>
      <c r="BK31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132</v>
      </c>
      <c r="BL311" s="772">
        <f>IF(WWWW[[#This Row],['#_of_functional_handwashing_facilities_at_HH_level]]*6&gt;WWWW[[#This Row],[Total PoP ]],WWWW[[#This Row],[Total PoP ]],WWWW[[#This Row],['#_of_functional_handwashing_facilities_at_HH_level]]*6)</f>
        <v>0</v>
      </c>
      <c r="BM311" s="781">
        <f>IF(WWWW[[#This Row],['# people reached by regular dedicated hygiene promotion]]&gt;WWWW[[#This Row],['# People received regular supply of hygiene items]],WWWW[[#This Row],['# people reached by regular dedicated hygiene promotion]],WWWW[[#This Row],['# People received regular supply of hygiene items]])</f>
        <v>132</v>
      </c>
      <c r="BN311" s="780">
        <f>IF(WWWW[[#This Row],[HRP3]]/WWWW[[#This Row],[Total PoP ]]&gt;100%,100%,WWWW[[#This Row],[HRP3]]/WWWW[[#This Row],[Total PoP ]])</f>
        <v>6.0578246902248736E-2</v>
      </c>
      <c r="BO311" s="778">
        <f>1-WWWW[[#This Row],[Hygiene Coverage%]]</f>
        <v>0.93942175309775122</v>
      </c>
      <c r="BP311" s="777">
        <f>WWWW[[#This Row],['# people reached by regular dedicated hygiene promotion]]/WWWW[[#This Row],[Total PoP ]]</f>
        <v>6.0578246902248736E-2</v>
      </c>
      <c r="BQ31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11" s="770">
        <f>WWWW[[#This Row],['#_of_affected_women_and_girls_receiving_a_sufficient_quantity_of_sanitary_pads]]</f>
        <v>0</v>
      </c>
      <c r="BS311" s="773">
        <f>IF(WWWW[[#This Row],['# People with access to soap]]&gt;WWWW[[#This Row],['# People with access to Sanity Pads]],WWWW[[#This Row],['# People with access to soap]],WWWW[[#This Row],['# People with access to Sanity Pads]])</f>
        <v>0</v>
      </c>
      <c r="BT311" s="772" t="str">
        <f>IF(OR(WWWW[[#This Row],['#of students in school]]="",WWWW[[#This Row],['#of students in school]]=0),"No","Yes")</f>
        <v>No</v>
      </c>
      <c r="BU311" s="782" t="str">
        <f>VLOOKUP(WWWW[[#This Row],[Village  Name]],SiteDB6[[Site Name]:[Location Type 1]],9,FALSE)</f>
        <v>Village</v>
      </c>
      <c r="BV311" s="782" t="str">
        <f>VLOOKUP(WWWW[[#This Row],[Village  Name]],SiteDB6[[Site Name]:[Type of Accommodation]],10,FALSE)</f>
        <v>Relocated</v>
      </c>
      <c r="BW311" s="782" t="str">
        <f>VLOOKUP(WWWW[[#This Row],[Village  Name]],SiteDB6[[Site Name]:[Ethnic or GCA/NGCA]],11,FALSE)</f>
        <v>Rakhine</v>
      </c>
      <c r="BX311" s="782">
        <f>VLOOKUP(WWWW[[#This Row],[Village  Name]],SiteDB6[[Site Name]:[Lat]],12,FALSE)</f>
        <v>20.151471999999998</v>
      </c>
      <c r="BY311" s="782">
        <f>VLOOKUP(WWWW[[#This Row],[Village  Name]],SiteDB6[[Site Name]:[Long]],13,FALSE)</f>
        <v>92.887277999999995</v>
      </c>
      <c r="BZ311" s="782" t="str">
        <f>VLOOKUP(WWWW[[#This Row],[Village  Name]],SiteDB6[[Site Name]:[Pcode]],3,FALSE)</f>
        <v>MMR012CMP112</v>
      </c>
      <c r="CA311" s="782" t="str">
        <f t="shared" si="19"/>
        <v>Covered</v>
      </c>
      <c r="CB311" s="783"/>
    </row>
    <row r="312" spans="1:80">
      <c r="A312" s="774" t="s">
        <v>3199</v>
      </c>
      <c r="B312" s="727" t="s">
        <v>2282</v>
      </c>
      <c r="C312" s="728" t="s">
        <v>2282</v>
      </c>
      <c r="D312" s="728" t="s">
        <v>39</v>
      </c>
      <c r="E312" s="728" t="s">
        <v>2648</v>
      </c>
      <c r="F312" s="728" t="s">
        <v>295</v>
      </c>
      <c r="G312" s="644" t="str">
        <f>VLOOKUP(WWWW[[#This Row],[Village  Name]],SiteDB6[[Site Name]:[Location Type]],8,FALSE)</f>
        <v>Village</v>
      </c>
      <c r="H312" s="728" t="s">
        <v>433</v>
      </c>
      <c r="I312" s="775">
        <v>235</v>
      </c>
      <c r="J312" s="775">
        <v>1390</v>
      </c>
      <c r="K312" s="784">
        <v>43009</v>
      </c>
      <c r="L312" s="785">
        <v>44104</v>
      </c>
      <c r="M312" s="775"/>
      <c r="N312" s="775">
        <v>0</v>
      </c>
      <c r="O312" s="773"/>
      <c r="P312" s="775"/>
      <c r="Q312" s="775"/>
      <c r="R312" s="775"/>
      <c r="S312" s="775"/>
      <c r="T312" s="775"/>
      <c r="U312" s="776"/>
      <c r="V312" s="775"/>
      <c r="W312" s="773" t="s">
        <v>130</v>
      </c>
      <c r="X312" s="775"/>
      <c r="Y312" s="775"/>
      <c r="Z312" s="775"/>
      <c r="AA312" s="775"/>
      <c r="AB312" s="775"/>
      <c r="AC312" s="776"/>
      <c r="AD312" s="775">
        <v>149</v>
      </c>
      <c r="AE312" s="775">
        <v>275</v>
      </c>
      <c r="AF312" s="775"/>
      <c r="AG312" s="775"/>
      <c r="AH312" s="775"/>
      <c r="AI312" s="775"/>
      <c r="AJ312" s="773"/>
      <c r="AK312" s="775"/>
      <c r="AL312" s="773"/>
      <c r="AM312" s="773"/>
      <c r="AN312" s="776"/>
      <c r="AO312" s="769"/>
      <c r="AP312" s="769"/>
      <c r="AQ312" s="773"/>
      <c r="AR312" s="773"/>
      <c r="AS312" s="773"/>
      <c r="AT31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12" s="779">
        <f>WWWW[[#This Row],[%Equitable and continuous access to sufficient quantity of safe drinking water]]*WWWW[[#This Row],[Total PoP ]]</f>
        <v>0</v>
      </c>
      <c r="AV31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2" s="779">
        <f>WWWW[[#This Row],[% Access to unimproved water points]]*WWWW[[#This Row],[Total PoP ]]</f>
        <v>0</v>
      </c>
      <c r="AX31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1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12" s="779">
        <f>WWWW[[#This Row],[HRP1]]/250</f>
        <v>0</v>
      </c>
      <c r="BA312" s="780">
        <f>1-WWWW[[#This Row],[% Equitable and continuous access to sufficient quantity of domestic water]]</f>
        <v>1</v>
      </c>
      <c r="BB312" s="779">
        <f>WWWW[[#This Row],[%equitable and continuous access to sufficient quantity of safe drinking and domestic water''s GAP]]*WWWW[[#This Row],[Total PoP ]]</f>
        <v>1390</v>
      </c>
      <c r="BC312" s="781">
        <f>IF(WWWW[[#This Row],[Total required water points]]-WWWW[[#This Row],['#Water points coverage]]&lt;0,0,WWWW[[#This Row],[Total required water points]]-WWWW[[#This Row],['#Water points coverage]])</f>
        <v>6</v>
      </c>
      <c r="BD312" s="781">
        <f>ROUND(IF(WWWW[[#This Row],[Total PoP ]]&lt;250,1,WWWW[[#This Row],[Total PoP ]]/250),0)</f>
        <v>6</v>
      </c>
      <c r="BE31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12" s="779">
        <f>WWWW[[#This Row],[% people access to functioning Latrine]]*WWWW[[#This Row],[Total PoP ]]</f>
        <v>0</v>
      </c>
      <c r="BG312" s="781">
        <f>WWWW[[#This Row],['#_of_Functioning_latrines_in_school]]*50</f>
        <v>0</v>
      </c>
      <c r="BH312" s="781">
        <f>ROUND((WWWW[[#This Row],[Total PoP ]]/6),0)</f>
        <v>232</v>
      </c>
      <c r="BI312" s="781">
        <f>IF(WWWW[[#This Row],[Total required Latrines]]-(WWWW[[#This Row],['#_of_sanitary_fly-proof_HH_latrines]])&lt;0,0,WWWW[[#This Row],[Total required Latrines]]-(WWWW[[#This Row],['#_of_sanitary_fly-proof_HH_latrines]]))</f>
        <v>232</v>
      </c>
      <c r="BJ312" s="778">
        <f>1-WWWW[[#This Row],[% people access to functioning Latrine]]</f>
        <v>1</v>
      </c>
      <c r="BK31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424</v>
      </c>
      <c r="BL312" s="772">
        <f>IF(WWWW[[#This Row],['#_of_functional_handwashing_facilities_at_HH_level]]*6&gt;WWWW[[#This Row],[Total PoP ]],WWWW[[#This Row],[Total PoP ]],WWWW[[#This Row],['#_of_functional_handwashing_facilities_at_HH_level]]*6)</f>
        <v>0</v>
      </c>
      <c r="BM312" s="781">
        <f>IF(WWWW[[#This Row],['# people reached by regular dedicated hygiene promotion]]&gt;WWWW[[#This Row],['# People received regular supply of hygiene items]],WWWW[[#This Row],['# people reached by regular dedicated hygiene promotion]],WWWW[[#This Row],['# People received regular supply of hygiene items]])</f>
        <v>424</v>
      </c>
      <c r="BN312" s="780">
        <f>IF(WWWW[[#This Row],[HRP3]]/WWWW[[#This Row],[Total PoP ]]&gt;100%,100%,WWWW[[#This Row],[HRP3]]/WWWW[[#This Row],[Total PoP ]])</f>
        <v>0.30503597122302156</v>
      </c>
      <c r="BO312" s="778">
        <f>1-WWWW[[#This Row],[Hygiene Coverage%]]</f>
        <v>0.69496402877697849</v>
      </c>
      <c r="BP312" s="777">
        <f>WWWW[[#This Row],['# people reached by regular dedicated hygiene promotion]]/WWWW[[#This Row],[Total PoP ]]</f>
        <v>0.30503597122302156</v>
      </c>
      <c r="BQ31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12" s="770">
        <f>WWWW[[#This Row],['#_of_affected_women_and_girls_receiving_a_sufficient_quantity_of_sanitary_pads]]</f>
        <v>0</v>
      </c>
      <c r="BS312" s="773">
        <f>IF(WWWW[[#This Row],['# People with access to soap]]&gt;WWWW[[#This Row],['# People with access to Sanity Pads]],WWWW[[#This Row],['# People with access to soap]],WWWW[[#This Row],['# People with access to Sanity Pads]])</f>
        <v>0</v>
      </c>
      <c r="BT312" s="772" t="str">
        <f>IF(OR(WWWW[[#This Row],['#of students in school]]="",WWWW[[#This Row],['#of students in school]]=0),"No","Yes")</f>
        <v>No</v>
      </c>
      <c r="BU312" s="782" t="str">
        <f>VLOOKUP(WWWW[[#This Row],[Village  Name]],SiteDB6[[Site Name]:[Location Type 1]],9,FALSE)</f>
        <v>Village</v>
      </c>
      <c r="BV312" s="782" t="str">
        <f>VLOOKUP(WWWW[[#This Row],[Village  Name]],SiteDB6[[Site Name]:[Type of Accommodation]],10,FALSE)</f>
        <v>Village</v>
      </c>
      <c r="BW312" s="782" t="str">
        <f>VLOOKUP(WWWW[[#This Row],[Village  Name]],SiteDB6[[Site Name]:[Ethnic or GCA/NGCA]],11,FALSE)</f>
        <v>Muslim</v>
      </c>
      <c r="BX312" s="782">
        <f>VLOOKUP(WWWW[[#This Row],[Village  Name]],SiteDB6[[Site Name]:[Lat]],12,FALSE)</f>
        <v>20.19171906</v>
      </c>
      <c r="BY312" s="782">
        <f>VLOOKUP(WWWW[[#This Row],[Village  Name]],SiteDB6[[Site Name]:[Long]],13,FALSE)</f>
        <v>92.808166499999999</v>
      </c>
      <c r="BZ312" s="782">
        <f>VLOOKUP(WWWW[[#This Row],[Village  Name]],SiteDB6[[Site Name]:[Pcode]],3,FALSE)</f>
        <v>196155</v>
      </c>
      <c r="CA312" s="782" t="str">
        <f t="shared" si="19"/>
        <v>Covered</v>
      </c>
      <c r="CB312" s="783"/>
    </row>
    <row r="313" spans="1:80">
      <c r="A313" s="774" t="s">
        <v>3199</v>
      </c>
      <c r="B313" s="727" t="s">
        <v>2282</v>
      </c>
      <c r="C313" s="728" t="s">
        <v>2282</v>
      </c>
      <c r="D313" s="728" t="s">
        <v>39</v>
      </c>
      <c r="E313" s="728" t="s">
        <v>2648</v>
      </c>
      <c r="F313" s="728" t="s">
        <v>295</v>
      </c>
      <c r="G313" s="644" t="str">
        <f>VLOOKUP(WWWW[[#This Row],[Village  Name]],SiteDB6[[Site Name]:[Location Type]],8,FALSE)</f>
        <v>Village</v>
      </c>
      <c r="H313" s="728" t="s">
        <v>416</v>
      </c>
      <c r="I313" s="775">
        <v>72</v>
      </c>
      <c r="J313" s="775">
        <v>442</v>
      </c>
      <c r="K313" s="784">
        <v>43009</v>
      </c>
      <c r="L313" s="785">
        <v>44104</v>
      </c>
      <c r="M313" s="775"/>
      <c r="N313" s="775">
        <v>0</v>
      </c>
      <c r="O313" s="773"/>
      <c r="P313" s="775"/>
      <c r="Q313" s="775"/>
      <c r="R313" s="775"/>
      <c r="S313" s="775"/>
      <c r="T313" s="775"/>
      <c r="U313" s="776"/>
      <c r="V313" s="775"/>
      <c r="W313" s="773" t="s">
        <v>130</v>
      </c>
      <c r="X313" s="775"/>
      <c r="Y313" s="775"/>
      <c r="Z313" s="775"/>
      <c r="AA313" s="775"/>
      <c r="AB313" s="775"/>
      <c r="AC313" s="776"/>
      <c r="AD313" s="775">
        <v>99</v>
      </c>
      <c r="AE313" s="775">
        <v>210</v>
      </c>
      <c r="AF313" s="775"/>
      <c r="AG313" s="775"/>
      <c r="AH313" s="775"/>
      <c r="AI313" s="775"/>
      <c r="AJ313" s="773"/>
      <c r="AK313" s="775"/>
      <c r="AL313" s="773"/>
      <c r="AM313" s="773"/>
      <c r="AN313" s="776"/>
      <c r="AO313" s="769"/>
      <c r="AP313" s="769"/>
      <c r="AQ313" s="773"/>
      <c r="AR313" s="773"/>
      <c r="AS313" s="773"/>
      <c r="AT31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13" s="779">
        <f>WWWW[[#This Row],[%Equitable and continuous access to sufficient quantity of safe drinking water]]*WWWW[[#This Row],[Total PoP ]]</f>
        <v>0</v>
      </c>
      <c r="AV31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3" s="779">
        <f>WWWW[[#This Row],[% Access to unimproved water points]]*WWWW[[#This Row],[Total PoP ]]</f>
        <v>0</v>
      </c>
      <c r="AX31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1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13" s="779">
        <f>WWWW[[#This Row],[HRP1]]/250</f>
        <v>0</v>
      </c>
      <c r="BA313" s="780">
        <f>1-WWWW[[#This Row],[% Equitable and continuous access to sufficient quantity of domestic water]]</f>
        <v>1</v>
      </c>
      <c r="BB313" s="779">
        <f>WWWW[[#This Row],[%equitable and continuous access to sufficient quantity of safe drinking and domestic water''s GAP]]*WWWW[[#This Row],[Total PoP ]]</f>
        <v>442</v>
      </c>
      <c r="BC313" s="781">
        <f>IF(WWWW[[#This Row],[Total required water points]]-WWWW[[#This Row],['#Water points coverage]]&lt;0,0,WWWW[[#This Row],[Total required water points]]-WWWW[[#This Row],['#Water points coverage]])</f>
        <v>2</v>
      </c>
      <c r="BD313" s="781">
        <f>ROUND(IF(WWWW[[#This Row],[Total PoP ]]&lt;250,1,WWWW[[#This Row],[Total PoP ]]/250),0)</f>
        <v>2</v>
      </c>
      <c r="BE31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13" s="779">
        <f>WWWW[[#This Row],[% people access to functioning Latrine]]*WWWW[[#This Row],[Total PoP ]]</f>
        <v>0</v>
      </c>
      <c r="BG313" s="781">
        <f>WWWW[[#This Row],['#_of_Functioning_latrines_in_school]]*50</f>
        <v>0</v>
      </c>
      <c r="BH313" s="781">
        <f>ROUND((WWWW[[#This Row],[Total PoP ]]/6),0)</f>
        <v>74</v>
      </c>
      <c r="BI313" s="781">
        <f>IF(WWWW[[#This Row],[Total required Latrines]]-(WWWW[[#This Row],['#_of_sanitary_fly-proof_HH_latrines]])&lt;0,0,WWWW[[#This Row],[Total required Latrines]]-(WWWW[[#This Row],['#_of_sanitary_fly-proof_HH_latrines]]))</f>
        <v>74</v>
      </c>
      <c r="BJ313" s="778">
        <f>1-WWWW[[#This Row],[% people access to functioning Latrine]]</f>
        <v>1</v>
      </c>
      <c r="BK31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309</v>
      </c>
      <c r="BL313" s="772">
        <f>IF(WWWW[[#This Row],['#_of_functional_handwashing_facilities_at_HH_level]]*6&gt;WWWW[[#This Row],[Total PoP ]],WWWW[[#This Row],[Total PoP ]],WWWW[[#This Row],['#_of_functional_handwashing_facilities_at_HH_level]]*6)</f>
        <v>0</v>
      </c>
      <c r="BM313" s="781">
        <f>IF(WWWW[[#This Row],['# people reached by regular dedicated hygiene promotion]]&gt;WWWW[[#This Row],['# People received regular supply of hygiene items]],WWWW[[#This Row],['# people reached by regular dedicated hygiene promotion]],WWWW[[#This Row],['# People received regular supply of hygiene items]])</f>
        <v>309</v>
      </c>
      <c r="BN313" s="780">
        <f>IF(WWWW[[#This Row],[HRP3]]/WWWW[[#This Row],[Total PoP ]]&gt;100%,100%,WWWW[[#This Row],[HRP3]]/WWWW[[#This Row],[Total PoP ]])</f>
        <v>0.69909502262443435</v>
      </c>
      <c r="BO313" s="778">
        <f>1-WWWW[[#This Row],[Hygiene Coverage%]]</f>
        <v>0.30090497737556565</v>
      </c>
      <c r="BP313" s="777">
        <f>WWWW[[#This Row],['# people reached by regular dedicated hygiene promotion]]/WWWW[[#This Row],[Total PoP ]]</f>
        <v>0.69909502262443435</v>
      </c>
      <c r="BQ31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13" s="770">
        <f>WWWW[[#This Row],['#_of_affected_women_and_girls_receiving_a_sufficient_quantity_of_sanitary_pads]]</f>
        <v>0</v>
      </c>
      <c r="BS313" s="773">
        <f>IF(WWWW[[#This Row],['# People with access to soap]]&gt;WWWW[[#This Row],['# People with access to Sanity Pads]],WWWW[[#This Row],['# People with access to soap]],WWWW[[#This Row],['# People with access to Sanity Pads]])</f>
        <v>0</v>
      </c>
      <c r="BT313" s="772" t="str">
        <f>IF(OR(WWWW[[#This Row],['#of students in school]]="",WWWW[[#This Row],['#of students in school]]=0),"No","Yes")</f>
        <v>No</v>
      </c>
      <c r="BU313" s="782" t="str">
        <f>VLOOKUP(WWWW[[#This Row],[Village  Name]],SiteDB6[[Site Name]:[Location Type 1]],9,FALSE)</f>
        <v>Village</v>
      </c>
      <c r="BV313" s="782" t="str">
        <f>VLOOKUP(WWWW[[#This Row],[Village  Name]],SiteDB6[[Site Name]:[Type of Accommodation]],10,FALSE)</f>
        <v>Relocated</v>
      </c>
      <c r="BW313" s="782" t="str">
        <f>VLOOKUP(WWWW[[#This Row],[Village  Name]],SiteDB6[[Site Name]:[Ethnic or GCA/NGCA]],11,FALSE)</f>
        <v>Maramargyi</v>
      </c>
      <c r="BX313" s="782">
        <f>VLOOKUP(WWWW[[#This Row],[Village  Name]],SiteDB6[[Site Name]:[Lat]],12,FALSE)</f>
        <v>20.148584</v>
      </c>
      <c r="BY313" s="782">
        <f>VLOOKUP(WWWW[[#This Row],[Village  Name]],SiteDB6[[Site Name]:[Long]],13,FALSE)</f>
        <v>92.880319999999998</v>
      </c>
      <c r="BZ313" s="782" t="str">
        <f>VLOOKUP(WWWW[[#This Row],[Village  Name]],SiteDB6[[Site Name]:[Pcode]],3,FALSE)</f>
        <v>MMR012CMP056</v>
      </c>
      <c r="CA313" s="782" t="str">
        <f t="shared" si="19"/>
        <v>Covered</v>
      </c>
      <c r="CB313" s="783"/>
    </row>
    <row r="314" spans="1:80">
      <c r="A314" s="774" t="s">
        <v>3199</v>
      </c>
      <c r="B314" s="727" t="s">
        <v>2282</v>
      </c>
      <c r="C314" s="728" t="s">
        <v>2282</v>
      </c>
      <c r="D314" s="728" t="s">
        <v>39</v>
      </c>
      <c r="E314" s="728" t="s">
        <v>2648</v>
      </c>
      <c r="F314" s="728" t="s">
        <v>295</v>
      </c>
      <c r="G314" s="644" t="str">
        <f>VLOOKUP(WWWW[[#This Row],[Village  Name]],SiteDB6[[Site Name]:[Location Type]],8,FALSE)</f>
        <v>Village</v>
      </c>
      <c r="H314" s="728" t="s">
        <v>1898</v>
      </c>
      <c r="I314" s="775">
        <v>151</v>
      </c>
      <c r="J314" s="775">
        <v>625</v>
      </c>
      <c r="K314" s="784">
        <v>43009</v>
      </c>
      <c r="L314" s="785">
        <v>44104</v>
      </c>
      <c r="M314" s="775"/>
      <c r="N314" s="775">
        <v>0</v>
      </c>
      <c r="O314" s="773"/>
      <c r="P314" s="775"/>
      <c r="Q314" s="775"/>
      <c r="R314" s="775"/>
      <c r="S314" s="775"/>
      <c r="T314" s="775"/>
      <c r="U314" s="776"/>
      <c r="V314" s="775"/>
      <c r="W314" s="773" t="s">
        <v>130</v>
      </c>
      <c r="X314" s="775"/>
      <c r="Y314" s="775"/>
      <c r="Z314" s="775"/>
      <c r="AA314" s="775"/>
      <c r="AB314" s="775"/>
      <c r="AC314" s="776"/>
      <c r="AD314" s="775">
        <v>155</v>
      </c>
      <c r="AE314" s="775">
        <v>277</v>
      </c>
      <c r="AF314" s="775">
        <v>15</v>
      </c>
      <c r="AG314" s="775">
        <v>57</v>
      </c>
      <c r="AH314" s="775"/>
      <c r="AI314" s="775"/>
      <c r="AJ314" s="773"/>
      <c r="AK314" s="775"/>
      <c r="AL314" s="773"/>
      <c r="AM314" s="773"/>
      <c r="AN314" s="776"/>
      <c r="AO314" s="769"/>
      <c r="AP314" s="769"/>
      <c r="AQ314" s="773"/>
      <c r="AR314" s="773"/>
      <c r="AS314" s="773"/>
      <c r="AT31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14" s="779">
        <f>WWWW[[#This Row],[%Equitable and continuous access to sufficient quantity of safe drinking water]]*WWWW[[#This Row],[Total PoP ]]</f>
        <v>0</v>
      </c>
      <c r="AV31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4" s="779">
        <f>WWWW[[#This Row],[% Access to unimproved water points]]*WWWW[[#This Row],[Total PoP ]]</f>
        <v>0</v>
      </c>
      <c r="AX31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1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14" s="779">
        <f>WWWW[[#This Row],[HRP1]]/250</f>
        <v>0</v>
      </c>
      <c r="BA314" s="780">
        <f>1-WWWW[[#This Row],[% Equitable and continuous access to sufficient quantity of domestic water]]</f>
        <v>1</v>
      </c>
      <c r="BB314" s="779">
        <f>WWWW[[#This Row],[%equitable and continuous access to sufficient quantity of safe drinking and domestic water''s GAP]]*WWWW[[#This Row],[Total PoP ]]</f>
        <v>625</v>
      </c>
      <c r="BC314" s="781">
        <f>IF(WWWW[[#This Row],[Total required water points]]-WWWW[[#This Row],['#Water points coverage]]&lt;0,0,WWWW[[#This Row],[Total required water points]]-WWWW[[#This Row],['#Water points coverage]])</f>
        <v>3</v>
      </c>
      <c r="BD314" s="781">
        <f>ROUND(IF(WWWW[[#This Row],[Total PoP ]]&lt;250,1,WWWW[[#This Row],[Total PoP ]]/250),0)</f>
        <v>3</v>
      </c>
      <c r="BE31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14" s="779">
        <f>WWWW[[#This Row],[% people access to functioning Latrine]]*WWWW[[#This Row],[Total PoP ]]</f>
        <v>0</v>
      </c>
      <c r="BG314" s="781">
        <f>WWWW[[#This Row],['#_of_Functioning_latrines_in_school]]*50</f>
        <v>0</v>
      </c>
      <c r="BH314" s="781">
        <f>ROUND((WWWW[[#This Row],[Total PoP ]]/6),0)</f>
        <v>104</v>
      </c>
      <c r="BI314" s="781">
        <f>IF(WWWW[[#This Row],[Total required Latrines]]-(WWWW[[#This Row],['#_of_sanitary_fly-proof_HH_latrines]])&lt;0,0,WWWW[[#This Row],[Total required Latrines]]-(WWWW[[#This Row],['#_of_sanitary_fly-proof_HH_latrines]]))</f>
        <v>104</v>
      </c>
      <c r="BJ314" s="778">
        <f>1-WWWW[[#This Row],[% people access to functioning Latrine]]</f>
        <v>1</v>
      </c>
      <c r="BK31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504</v>
      </c>
      <c r="BL314" s="772">
        <f>IF(WWWW[[#This Row],['#_of_functional_handwashing_facilities_at_HH_level]]*6&gt;WWWW[[#This Row],[Total PoP ]],WWWW[[#This Row],[Total PoP ]],WWWW[[#This Row],['#_of_functional_handwashing_facilities_at_HH_level]]*6)</f>
        <v>0</v>
      </c>
      <c r="BM314" s="781">
        <f>IF(WWWW[[#This Row],['# people reached by regular dedicated hygiene promotion]]&gt;WWWW[[#This Row],['# People received regular supply of hygiene items]],WWWW[[#This Row],['# people reached by regular dedicated hygiene promotion]],WWWW[[#This Row],['# People received regular supply of hygiene items]])</f>
        <v>504</v>
      </c>
      <c r="BN314" s="780">
        <f>IF(WWWW[[#This Row],[HRP3]]/WWWW[[#This Row],[Total PoP ]]&gt;100%,100%,WWWW[[#This Row],[HRP3]]/WWWW[[#This Row],[Total PoP ]])</f>
        <v>0.80640000000000001</v>
      </c>
      <c r="BO314" s="778">
        <f>1-WWWW[[#This Row],[Hygiene Coverage%]]</f>
        <v>0.19359999999999999</v>
      </c>
      <c r="BP314" s="777">
        <f>WWWW[[#This Row],['# people reached by regular dedicated hygiene promotion]]/WWWW[[#This Row],[Total PoP ]]</f>
        <v>0.80640000000000001</v>
      </c>
      <c r="BQ31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14" s="770">
        <f>WWWW[[#This Row],['#_of_affected_women_and_girls_receiving_a_sufficient_quantity_of_sanitary_pads]]</f>
        <v>0</v>
      </c>
      <c r="BS314" s="773">
        <f>IF(WWWW[[#This Row],['# People with access to soap]]&gt;WWWW[[#This Row],['# People with access to Sanity Pads]],WWWW[[#This Row],['# People with access to soap]],WWWW[[#This Row],['# People with access to Sanity Pads]])</f>
        <v>0</v>
      </c>
      <c r="BT314" s="772" t="str">
        <f>IF(OR(WWWW[[#This Row],['#of students in school]]="",WWWW[[#This Row],['#of students in school]]=0),"No","Yes")</f>
        <v>No</v>
      </c>
      <c r="BU314" s="782" t="str">
        <f>VLOOKUP(WWWW[[#This Row],[Village  Name]],SiteDB6[[Site Name]:[Location Type 1]],9,FALSE)</f>
        <v>Village</v>
      </c>
      <c r="BV314" s="782" t="str">
        <f>VLOOKUP(WWWW[[#This Row],[Village  Name]],SiteDB6[[Site Name]:[Type of Accommodation]],10,FALSE)</f>
        <v>Relocated</v>
      </c>
      <c r="BW314" s="782" t="str">
        <f>VLOOKUP(WWWW[[#This Row],[Village  Name]],SiteDB6[[Site Name]:[Ethnic or GCA/NGCA]],11,FALSE)</f>
        <v>Rakhine</v>
      </c>
      <c r="BX314" s="782">
        <f>VLOOKUP(WWWW[[#This Row],[Village  Name]],SiteDB6[[Site Name]:[Lat]],12,FALSE)</f>
        <v>20.155805999999998</v>
      </c>
      <c r="BY314" s="782">
        <f>VLOOKUP(WWWW[[#This Row],[Village  Name]],SiteDB6[[Site Name]:[Long]],13,FALSE)</f>
        <v>92.879138999999995</v>
      </c>
      <c r="BZ314" s="782" t="str">
        <f>VLOOKUP(WWWW[[#This Row],[Village  Name]],SiteDB6[[Site Name]:[Pcode]],3,FALSE)</f>
        <v>MMR012CMP093</v>
      </c>
      <c r="CA314" s="782" t="str">
        <f t="shared" si="19"/>
        <v>Covered</v>
      </c>
      <c r="CB314" s="783"/>
    </row>
    <row r="315" spans="1:80">
      <c r="A315" s="774" t="s">
        <v>3199</v>
      </c>
      <c r="B315" s="727" t="s">
        <v>2283</v>
      </c>
      <c r="C315" s="728" t="s">
        <v>2283</v>
      </c>
      <c r="D315" s="728" t="s">
        <v>39</v>
      </c>
      <c r="E315" s="728" t="s">
        <v>2648</v>
      </c>
      <c r="F315" s="728" t="s">
        <v>295</v>
      </c>
      <c r="G315" s="644" t="str">
        <f>VLOOKUP(WWWW[[#This Row],[Village  Name]],SiteDB6[[Site Name]:[Location Type]],8,FALSE)</f>
        <v>Village</v>
      </c>
      <c r="H315" s="728" t="s">
        <v>689</v>
      </c>
      <c r="I315" s="775">
        <v>173</v>
      </c>
      <c r="J315" s="775">
        <v>749</v>
      </c>
      <c r="K315" s="784">
        <v>43009</v>
      </c>
      <c r="L315" s="785">
        <v>44104</v>
      </c>
      <c r="M315" s="775"/>
      <c r="N315" s="775">
        <v>0</v>
      </c>
      <c r="O315" s="773"/>
      <c r="P315" s="775">
        <v>9</v>
      </c>
      <c r="Q315" s="775"/>
      <c r="R315" s="775"/>
      <c r="S315" s="775"/>
      <c r="T315" s="775"/>
      <c r="U315" s="776"/>
      <c r="V315" s="775">
        <v>28</v>
      </c>
      <c r="W315" s="773" t="s">
        <v>130</v>
      </c>
      <c r="X315" s="775"/>
      <c r="Y315" s="775"/>
      <c r="Z315" s="775"/>
      <c r="AA315" s="775"/>
      <c r="AB315" s="775"/>
      <c r="AC315" s="776"/>
      <c r="AD315" s="775">
        <v>0</v>
      </c>
      <c r="AE315" s="775">
        <v>10</v>
      </c>
      <c r="AF315" s="775"/>
      <c r="AG315" s="775"/>
      <c r="AH315" s="775"/>
      <c r="AI315" s="775"/>
      <c r="AJ315" s="773"/>
      <c r="AK315" s="775"/>
      <c r="AL315" s="773"/>
      <c r="AM315" s="773"/>
      <c r="AN315" s="776"/>
      <c r="AO315" s="769"/>
      <c r="AP315" s="769"/>
      <c r="AQ315" s="773"/>
      <c r="AR315" s="773"/>
      <c r="AS315" s="773"/>
      <c r="AT31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15" s="779">
        <f>WWWW[[#This Row],[%Equitable and continuous access to sufficient quantity of safe drinking water]]*WWWW[[#This Row],[Total PoP ]]</f>
        <v>749</v>
      </c>
      <c r="AV31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5" s="779">
        <f>WWWW[[#This Row],[% Access to unimproved water points]]*WWWW[[#This Row],[Total PoP ]]</f>
        <v>0</v>
      </c>
      <c r="AX31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1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749</v>
      </c>
      <c r="AZ315" s="779">
        <f>WWWW[[#This Row],[HRP1]]/250</f>
        <v>2.996</v>
      </c>
      <c r="BA315" s="780">
        <f>1-WWWW[[#This Row],[% Equitable and continuous access to sufficient quantity of domestic water]]</f>
        <v>0</v>
      </c>
      <c r="BB315" s="779">
        <f>WWWW[[#This Row],[%equitable and continuous access to sufficient quantity of safe drinking and domestic water''s GAP]]*WWWW[[#This Row],[Total PoP ]]</f>
        <v>0</v>
      </c>
      <c r="BC315" s="781">
        <f>IF(WWWW[[#This Row],[Total required water points]]-WWWW[[#This Row],['#Water points coverage]]&lt;0,0,WWWW[[#This Row],[Total required water points]]-WWWW[[#This Row],['#Water points coverage]])</f>
        <v>4.0000000000000036E-3</v>
      </c>
      <c r="BD315" s="781">
        <f>ROUND(IF(WWWW[[#This Row],[Total PoP ]]&lt;250,1,WWWW[[#This Row],[Total PoP ]]/250),0)</f>
        <v>3</v>
      </c>
      <c r="BE31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0.22429906542056074</v>
      </c>
      <c r="BF315" s="779">
        <f>WWWW[[#This Row],[% people access to functioning Latrine]]*WWWW[[#This Row],[Total PoP ]]</f>
        <v>168</v>
      </c>
      <c r="BG315" s="781">
        <f>WWWW[[#This Row],['#_of_Functioning_latrines_in_school]]*50</f>
        <v>0</v>
      </c>
      <c r="BH315" s="781">
        <f>ROUND((WWWW[[#This Row],[Total PoP ]]/6),0)</f>
        <v>125</v>
      </c>
      <c r="BI315" s="781">
        <f>IF(WWWW[[#This Row],[Total required Latrines]]-(WWWW[[#This Row],['#_of_sanitary_fly-proof_HH_latrines]])&lt;0,0,WWWW[[#This Row],[Total required Latrines]]-(WWWW[[#This Row],['#_of_sanitary_fly-proof_HH_latrines]]))</f>
        <v>97</v>
      </c>
      <c r="BJ315" s="778">
        <f>1-WWWW[[#This Row],[% people access to functioning Latrine]]</f>
        <v>0.77570093457943923</v>
      </c>
      <c r="BK31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10</v>
      </c>
      <c r="BL315" s="772">
        <f>IF(WWWW[[#This Row],['#_of_functional_handwashing_facilities_at_HH_level]]*6&gt;WWWW[[#This Row],[Total PoP ]],WWWW[[#This Row],[Total PoP ]],WWWW[[#This Row],['#_of_functional_handwashing_facilities_at_HH_level]]*6)</f>
        <v>0</v>
      </c>
      <c r="BM315" s="781">
        <f>IF(WWWW[[#This Row],['# people reached by regular dedicated hygiene promotion]]&gt;WWWW[[#This Row],['# People received regular supply of hygiene items]],WWWW[[#This Row],['# people reached by regular dedicated hygiene promotion]],WWWW[[#This Row],['# People received regular supply of hygiene items]])</f>
        <v>10</v>
      </c>
      <c r="BN315" s="780">
        <f>IF(WWWW[[#This Row],[HRP3]]/WWWW[[#This Row],[Total PoP ]]&gt;100%,100%,WWWW[[#This Row],[HRP3]]/WWWW[[#This Row],[Total PoP ]])</f>
        <v>1.335113484646195E-2</v>
      </c>
      <c r="BO315" s="778">
        <f>1-WWWW[[#This Row],[Hygiene Coverage%]]</f>
        <v>0.986648865153538</v>
      </c>
      <c r="BP315" s="777">
        <f>WWWW[[#This Row],['# people reached by regular dedicated hygiene promotion]]/WWWW[[#This Row],[Total PoP ]]</f>
        <v>1.335113484646195E-2</v>
      </c>
      <c r="BQ31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15" s="770">
        <f>WWWW[[#This Row],['#_of_affected_women_and_girls_receiving_a_sufficient_quantity_of_sanitary_pads]]</f>
        <v>0</v>
      </c>
      <c r="BS315" s="773">
        <f>IF(WWWW[[#This Row],['# People with access to soap]]&gt;WWWW[[#This Row],['# People with access to Sanity Pads]],WWWW[[#This Row],['# People with access to soap]],WWWW[[#This Row],['# People with access to Sanity Pads]])</f>
        <v>0</v>
      </c>
      <c r="BT315" s="772" t="str">
        <f>IF(OR(WWWW[[#This Row],['#of students in school]]="",WWWW[[#This Row],['#of students in school]]=0),"No","Yes")</f>
        <v>No</v>
      </c>
      <c r="BU315" s="782" t="str">
        <f>VLOOKUP(WWWW[[#This Row],[Village  Name]],SiteDB6[[Site Name]:[Location Type 1]],9,FALSE)</f>
        <v>Village</v>
      </c>
      <c r="BV315" s="782" t="str">
        <f>VLOOKUP(WWWW[[#This Row],[Village  Name]],SiteDB6[[Site Name]:[Type of Accommodation]],10,FALSE)</f>
        <v>Village</v>
      </c>
      <c r="BW315" s="782" t="str">
        <f>VLOOKUP(WWWW[[#This Row],[Village  Name]],SiteDB6[[Site Name]:[Ethnic or GCA/NGCA]],11,FALSE)</f>
        <v>Rakhine</v>
      </c>
      <c r="BX315" s="782">
        <f>VLOOKUP(WWWW[[#This Row],[Village  Name]],SiteDB6[[Site Name]:[Lat]],12,FALSE)</f>
        <v>20.16259956</v>
      </c>
      <c r="BY315" s="782">
        <f>VLOOKUP(WWWW[[#This Row],[Village  Name]],SiteDB6[[Site Name]:[Long]],13,FALSE)</f>
        <v>92.834457400000005</v>
      </c>
      <c r="BZ315" s="782">
        <f>VLOOKUP(WWWW[[#This Row],[Village  Name]],SiteDB6[[Site Name]:[Pcode]],3,FALSE)</f>
        <v>196210</v>
      </c>
      <c r="CA315" s="782" t="str">
        <f t="shared" si="19"/>
        <v>Covered</v>
      </c>
      <c r="CB315" s="783"/>
    </row>
    <row r="316" spans="1:80">
      <c r="A316" s="774" t="s">
        <v>3199</v>
      </c>
      <c r="B316" s="727" t="s">
        <v>2283</v>
      </c>
      <c r="C316" s="728" t="s">
        <v>2283</v>
      </c>
      <c r="D316" s="728" t="s">
        <v>39</v>
      </c>
      <c r="E316" s="728" t="s">
        <v>2648</v>
      </c>
      <c r="F316" s="728" t="s">
        <v>295</v>
      </c>
      <c r="G316" s="644" t="str">
        <f>VLOOKUP(WWWW[[#This Row],[Village  Name]],SiteDB6[[Site Name]:[Location Type]],8,FALSE)</f>
        <v>Village</v>
      </c>
      <c r="H316" s="728" t="s">
        <v>421</v>
      </c>
      <c r="I316" s="775">
        <v>763</v>
      </c>
      <c r="J316" s="775">
        <v>3797</v>
      </c>
      <c r="K316" s="784">
        <v>43009</v>
      </c>
      <c r="L316" s="785">
        <v>44104</v>
      </c>
      <c r="M316" s="775"/>
      <c r="N316" s="775">
        <v>0</v>
      </c>
      <c r="O316" s="773"/>
      <c r="P316" s="775">
        <v>15</v>
      </c>
      <c r="Q316" s="775"/>
      <c r="R316" s="775"/>
      <c r="S316" s="775"/>
      <c r="T316" s="775"/>
      <c r="U316" s="776"/>
      <c r="V316" s="775">
        <v>158</v>
      </c>
      <c r="W316" s="773" t="s">
        <v>130</v>
      </c>
      <c r="X316" s="775"/>
      <c r="Y316" s="775"/>
      <c r="Z316" s="775"/>
      <c r="AA316" s="775"/>
      <c r="AB316" s="775"/>
      <c r="AC316" s="776"/>
      <c r="AD316" s="775">
        <v>28</v>
      </c>
      <c r="AE316" s="775">
        <v>158</v>
      </c>
      <c r="AF316" s="775"/>
      <c r="AG316" s="775"/>
      <c r="AH316" s="775"/>
      <c r="AI316" s="775"/>
      <c r="AJ316" s="773"/>
      <c r="AK316" s="775"/>
      <c r="AL316" s="773">
        <v>758</v>
      </c>
      <c r="AM316" s="773"/>
      <c r="AN316" s="776"/>
      <c r="AO316" s="769">
        <v>1</v>
      </c>
      <c r="AP316" s="769"/>
      <c r="AQ316" s="773"/>
      <c r="AR316" s="773"/>
      <c r="AS316" s="773"/>
      <c r="AT31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16" s="779">
        <f>WWWW[[#This Row],[%Equitable and continuous access to sufficient quantity of safe drinking water]]*WWWW[[#This Row],[Total PoP ]]</f>
        <v>3797</v>
      </c>
      <c r="AV31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6" s="779">
        <f>WWWW[[#This Row],[% Access to unimproved water points]]*WWWW[[#This Row],[Total PoP ]]</f>
        <v>0</v>
      </c>
      <c r="AX31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1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3797</v>
      </c>
      <c r="AZ316" s="779">
        <f>WWWW[[#This Row],[HRP1]]/250</f>
        <v>15.188000000000001</v>
      </c>
      <c r="BA316" s="780">
        <f>1-WWWW[[#This Row],[% Equitable and continuous access to sufficient quantity of domestic water]]</f>
        <v>0</v>
      </c>
      <c r="BB316" s="779">
        <f>WWWW[[#This Row],[%equitable and continuous access to sufficient quantity of safe drinking and domestic water''s GAP]]*WWWW[[#This Row],[Total PoP ]]</f>
        <v>0</v>
      </c>
      <c r="BC316" s="781">
        <f>IF(WWWW[[#This Row],[Total required water points]]-WWWW[[#This Row],['#Water points coverage]]&lt;0,0,WWWW[[#This Row],[Total required water points]]-WWWW[[#This Row],['#Water points coverage]])</f>
        <v>0</v>
      </c>
      <c r="BD316" s="781">
        <f>ROUND(IF(WWWW[[#This Row],[Total PoP ]]&lt;250,1,WWWW[[#This Row],[Total PoP ]]/250),0)</f>
        <v>15</v>
      </c>
      <c r="BE31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0.24967079273110351</v>
      </c>
      <c r="BF316" s="779">
        <f>WWWW[[#This Row],[% people access to functioning Latrine]]*WWWW[[#This Row],[Total PoP ]]</f>
        <v>948</v>
      </c>
      <c r="BG316" s="781">
        <f>WWWW[[#This Row],['#_of_Functioning_latrines_in_school]]*50</f>
        <v>0</v>
      </c>
      <c r="BH316" s="781">
        <f>ROUND((WWWW[[#This Row],[Total PoP ]]/6),0)</f>
        <v>633</v>
      </c>
      <c r="BI316" s="781">
        <f>IF(WWWW[[#This Row],[Total required Latrines]]-(WWWW[[#This Row],['#_of_sanitary_fly-proof_HH_latrines]])&lt;0,0,WWWW[[#This Row],[Total required Latrines]]-(WWWW[[#This Row],['#_of_sanitary_fly-proof_HH_latrines]]))</f>
        <v>475</v>
      </c>
      <c r="BJ316" s="778">
        <f>1-WWWW[[#This Row],[% people access to functioning Latrine]]</f>
        <v>0.75032920726889651</v>
      </c>
      <c r="BK31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186</v>
      </c>
      <c r="BL316" s="772">
        <f>IF(WWWW[[#This Row],['#_of_functional_handwashing_facilities_at_HH_level]]*6&gt;WWWW[[#This Row],[Total PoP ]],WWWW[[#This Row],[Total PoP ]],WWWW[[#This Row],['#_of_functional_handwashing_facilities_at_HH_level]]*6)</f>
        <v>0</v>
      </c>
      <c r="BM316" s="781">
        <f>IF(WWWW[[#This Row],['# people reached by regular dedicated hygiene promotion]]&gt;WWWW[[#This Row],['# People received regular supply of hygiene items]],WWWW[[#This Row],['# people reached by regular dedicated hygiene promotion]],WWWW[[#This Row],['# People received regular supply of hygiene items]])</f>
        <v>3797</v>
      </c>
      <c r="BN316" s="780">
        <f>IF(WWWW[[#This Row],[HRP3]]/WWWW[[#This Row],[Total PoP ]]&gt;100%,100%,WWWW[[#This Row],[HRP3]]/WWWW[[#This Row],[Total PoP ]])</f>
        <v>1</v>
      </c>
      <c r="BO316" s="778">
        <f>1-WWWW[[#This Row],[Hygiene Coverage%]]</f>
        <v>0</v>
      </c>
      <c r="BP316" s="777">
        <f>WWWW[[#This Row],['# people reached by regular dedicated hygiene promotion]]/WWWW[[#This Row],[Total PoP ]]</f>
        <v>4.8986041611798786E-2</v>
      </c>
      <c r="BQ31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3797</v>
      </c>
      <c r="BR316" s="770">
        <f>WWWW[[#This Row],['#_of_affected_women_and_girls_receiving_a_sufficient_quantity_of_sanitary_pads]]</f>
        <v>0</v>
      </c>
      <c r="BS316" s="773">
        <f>IF(WWWW[[#This Row],['# People with access to soap]]&gt;WWWW[[#This Row],['# People with access to Sanity Pads]],WWWW[[#This Row],['# People with access to soap]],WWWW[[#This Row],['# People with access to Sanity Pads]])</f>
        <v>3797</v>
      </c>
      <c r="BT316" s="772" t="str">
        <f>IF(OR(WWWW[[#This Row],['#of students in school]]="",WWWW[[#This Row],['#of students in school]]=0),"No","Yes")</f>
        <v>No</v>
      </c>
      <c r="BU316" s="782" t="str">
        <f>VLOOKUP(WWWW[[#This Row],[Village  Name]],SiteDB6[[Site Name]:[Location Type 1]],9,FALSE)</f>
        <v>Village</v>
      </c>
      <c r="BV316" s="782" t="str">
        <f>VLOOKUP(WWWW[[#This Row],[Village  Name]],SiteDB6[[Site Name]:[Type of Accommodation]],10,FALSE)</f>
        <v>Village</v>
      </c>
      <c r="BW316" s="782" t="str">
        <f>VLOOKUP(WWWW[[#This Row],[Village  Name]],SiteDB6[[Site Name]:[Ethnic or GCA/NGCA]],11,FALSE)</f>
        <v>Muslim</v>
      </c>
      <c r="BX316" s="782">
        <f>VLOOKUP(WWWW[[#This Row],[Village  Name]],SiteDB6[[Site Name]:[Lat]],12,FALSE)</f>
        <v>20.15736008</v>
      </c>
      <c r="BY316" s="782">
        <f>VLOOKUP(WWWW[[#This Row],[Village  Name]],SiteDB6[[Site Name]:[Long]],13,FALSE)</f>
        <v>92.838653559999997</v>
      </c>
      <c r="BZ316" s="782">
        <f>VLOOKUP(WWWW[[#This Row],[Village  Name]],SiteDB6[[Site Name]:[Pcode]],3,FALSE)</f>
        <v>196211</v>
      </c>
      <c r="CA316" s="782" t="str">
        <f t="shared" si="19"/>
        <v>Covered</v>
      </c>
      <c r="CB316" s="783"/>
    </row>
    <row r="317" spans="1:80">
      <c r="A317" s="774" t="s">
        <v>3199</v>
      </c>
      <c r="B317" s="727" t="s">
        <v>2283</v>
      </c>
      <c r="C317" s="728" t="s">
        <v>2283</v>
      </c>
      <c r="D317" s="728" t="s">
        <v>39</v>
      </c>
      <c r="E317" s="728" t="s">
        <v>2648</v>
      </c>
      <c r="F317" s="728" t="s">
        <v>295</v>
      </c>
      <c r="G317" s="644" t="str">
        <f>VLOOKUP(WWWW[[#This Row],[Village  Name]],SiteDB6[[Site Name]:[Location Type]],8,FALSE)</f>
        <v>Village</v>
      </c>
      <c r="H317" s="728" t="s">
        <v>417</v>
      </c>
      <c r="I317" s="775">
        <v>427</v>
      </c>
      <c r="J317" s="775">
        <v>2455</v>
      </c>
      <c r="K317" s="784">
        <v>43009</v>
      </c>
      <c r="L317" s="785">
        <v>44104</v>
      </c>
      <c r="M317" s="775"/>
      <c r="N317" s="775">
        <v>0</v>
      </c>
      <c r="O317" s="773"/>
      <c r="P317" s="775">
        <v>18</v>
      </c>
      <c r="Q317" s="775"/>
      <c r="R317" s="775"/>
      <c r="S317" s="775"/>
      <c r="T317" s="775"/>
      <c r="U317" s="776"/>
      <c r="V317" s="775">
        <v>35</v>
      </c>
      <c r="W317" s="773" t="s">
        <v>130</v>
      </c>
      <c r="X317" s="775"/>
      <c r="Y317" s="775"/>
      <c r="Z317" s="775"/>
      <c r="AA317" s="775"/>
      <c r="AB317" s="775"/>
      <c r="AC317" s="776"/>
      <c r="AD317" s="775">
        <v>18</v>
      </c>
      <c r="AE317" s="775">
        <v>102</v>
      </c>
      <c r="AF317" s="775"/>
      <c r="AG317" s="775"/>
      <c r="AH317" s="775"/>
      <c r="AI317" s="775"/>
      <c r="AJ317" s="773"/>
      <c r="AK317" s="775"/>
      <c r="AL317" s="773">
        <v>426</v>
      </c>
      <c r="AM317" s="773"/>
      <c r="AN317" s="776"/>
      <c r="AO317" s="769">
        <v>0.96</v>
      </c>
      <c r="AP317" s="769"/>
      <c r="AQ317" s="773"/>
      <c r="AR317" s="773"/>
      <c r="AS317" s="773"/>
      <c r="AT31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17" s="779">
        <f>WWWW[[#This Row],[%Equitable and continuous access to sufficient quantity of safe drinking water]]*WWWW[[#This Row],[Total PoP ]]</f>
        <v>2455</v>
      </c>
      <c r="AV31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7" s="779">
        <f>WWWW[[#This Row],[% Access to unimproved water points]]*WWWW[[#This Row],[Total PoP ]]</f>
        <v>0</v>
      </c>
      <c r="AX31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1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2455</v>
      </c>
      <c r="AZ317" s="779">
        <f>WWWW[[#This Row],[HRP1]]/250</f>
        <v>9.82</v>
      </c>
      <c r="BA317" s="780">
        <f>1-WWWW[[#This Row],[% Equitable and continuous access to sufficient quantity of domestic water]]</f>
        <v>0</v>
      </c>
      <c r="BB317" s="779">
        <f>WWWW[[#This Row],[%equitable and continuous access to sufficient quantity of safe drinking and domestic water''s GAP]]*WWWW[[#This Row],[Total PoP ]]</f>
        <v>0</v>
      </c>
      <c r="BC317" s="781">
        <f>IF(WWWW[[#This Row],[Total required water points]]-WWWW[[#This Row],['#Water points coverage]]&lt;0,0,WWWW[[#This Row],[Total required water points]]-WWWW[[#This Row],['#Water points coverage]])</f>
        <v>0.17999999999999972</v>
      </c>
      <c r="BD317" s="781">
        <f>ROUND(IF(WWWW[[#This Row],[Total PoP ]]&lt;250,1,WWWW[[#This Row],[Total PoP ]]/250),0)</f>
        <v>10</v>
      </c>
      <c r="BE31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8.5539714867617106E-2</v>
      </c>
      <c r="BF317" s="779">
        <f>WWWW[[#This Row],[% people access to functioning Latrine]]*WWWW[[#This Row],[Total PoP ]]</f>
        <v>210</v>
      </c>
      <c r="BG317" s="781">
        <f>WWWW[[#This Row],['#_of_Functioning_latrines_in_school]]*50</f>
        <v>0</v>
      </c>
      <c r="BH317" s="781">
        <f>ROUND((WWWW[[#This Row],[Total PoP ]]/6),0)</f>
        <v>409</v>
      </c>
      <c r="BI317" s="781">
        <f>IF(WWWW[[#This Row],[Total required Latrines]]-(WWWW[[#This Row],['#_of_sanitary_fly-proof_HH_latrines]])&lt;0,0,WWWW[[#This Row],[Total required Latrines]]-(WWWW[[#This Row],['#_of_sanitary_fly-proof_HH_latrines]]))</f>
        <v>374</v>
      </c>
      <c r="BJ317" s="778">
        <f>1-WWWW[[#This Row],[% people access to functioning Latrine]]</f>
        <v>0.91446028513238287</v>
      </c>
      <c r="BK31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120</v>
      </c>
      <c r="BL317" s="772">
        <f>IF(WWWW[[#This Row],['#_of_functional_handwashing_facilities_at_HH_level]]*6&gt;WWWW[[#This Row],[Total PoP ]],WWWW[[#This Row],[Total PoP ]],WWWW[[#This Row],['#_of_functional_handwashing_facilities_at_HH_level]]*6)</f>
        <v>0</v>
      </c>
      <c r="BM317" s="781">
        <f>IF(WWWW[[#This Row],['# people reached by regular dedicated hygiene promotion]]&gt;WWWW[[#This Row],['# People received regular supply of hygiene items]],WWWW[[#This Row],['# people reached by regular dedicated hygiene promotion]],WWWW[[#This Row],['# People received regular supply of hygiene items]])</f>
        <v>2455</v>
      </c>
      <c r="BN317" s="780">
        <f>IF(WWWW[[#This Row],[HRP3]]/WWWW[[#This Row],[Total PoP ]]&gt;100%,100%,WWWW[[#This Row],[HRP3]]/WWWW[[#This Row],[Total PoP ]])</f>
        <v>1</v>
      </c>
      <c r="BO317" s="778">
        <f>1-WWWW[[#This Row],[Hygiene Coverage%]]</f>
        <v>0</v>
      </c>
      <c r="BP317" s="777">
        <f>WWWW[[#This Row],['# people reached by regular dedicated hygiene promotion]]/WWWW[[#This Row],[Total PoP ]]</f>
        <v>4.8879837067209775E-2</v>
      </c>
      <c r="BQ31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2455</v>
      </c>
      <c r="BR317" s="770">
        <f>WWWW[[#This Row],['#_of_affected_women_and_girls_receiving_a_sufficient_quantity_of_sanitary_pads]]</f>
        <v>0</v>
      </c>
      <c r="BS317" s="773">
        <f>IF(WWWW[[#This Row],['# People with access to soap]]&gt;WWWW[[#This Row],['# People with access to Sanity Pads]],WWWW[[#This Row],['# People with access to soap]],WWWW[[#This Row],['# People with access to Sanity Pads]])</f>
        <v>2455</v>
      </c>
      <c r="BT317" s="772" t="str">
        <f>IF(OR(WWWW[[#This Row],['#of students in school]]="",WWWW[[#This Row],['#of students in school]]=0),"No","Yes")</f>
        <v>No</v>
      </c>
      <c r="BU317" s="782" t="str">
        <f>VLOOKUP(WWWW[[#This Row],[Village  Name]],SiteDB6[[Site Name]:[Location Type 1]],9,FALSE)</f>
        <v>Village</v>
      </c>
      <c r="BV317" s="782" t="str">
        <f>VLOOKUP(WWWW[[#This Row],[Village  Name]],SiteDB6[[Site Name]:[Type of Accommodation]],10,FALSE)</f>
        <v>Village</v>
      </c>
      <c r="BW317" s="782" t="str">
        <f>VLOOKUP(WWWW[[#This Row],[Village  Name]],SiteDB6[[Site Name]:[Ethnic or GCA/NGCA]],11,FALSE)</f>
        <v>Muslim</v>
      </c>
      <c r="BX317" s="782">
        <f>VLOOKUP(WWWW[[#This Row],[Village  Name]],SiteDB6[[Site Name]:[Lat]],12,FALSE)</f>
        <v>20.147863431600001</v>
      </c>
      <c r="BY317" s="782">
        <f>VLOOKUP(WWWW[[#This Row],[Village  Name]],SiteDB6[[Site Name]:[Long]],13,FALSE)</f>
        <v>92.846768572000002</v>
      </c>
      <c r="BZ317" s="782">
        <f>VLOOKUP(WWWW[[#This Row],[Village  Name]],SiteDB6[[Site Name]:[Pcode]],3,FALSE)</f>
        <v>196209</v>
      </c>
      <c r="CA317" s="782" t="str">
        <f t="shared" si="19"/>
        <v>Covered</v>
      </c>
      <c r="CB317" s="783"/>
    </row>
    <row r="318" spans="1:80">
      <c r="A318" s="774" t="s">
        <v>3199</v>
      </c>
      <c r="B318" s="727" t="s">
        <v>314</v>
      </c>
      <c r="C318" s="728" t="s">
        <v>314</v>
      </c>
      <c r="D318" s="728" t="s">
        <v>327</v>
      </c>
      <c r="E318" s="728" t="s">
        <v>2648</v>
      </c>
      <c r="F318" s="728" t="s">
        <v>295</v>
      </c>
      <c r="G318" s="644" t="str">
        <f>VLOOKUP(WWWW[[#This Row],[Village  Name]],SiteDB6[[Site Name]:[Location Type]],8,FALSE)</f>
        <v>Village</v>
      </c>
      <c r="H318" s="728" t="s">
        <v>2226</v>
      </c>
      <c r="I318" s="775">
        <v>452</v>
      </c>
      <c r="J318" s="775">
        <v>1901</v>
      </c>
      <c r="K318" s="784">
        <v>42736</v>
      </c>
      <c r="L318" s="785">
        <v>44551</v>
      </c>
      <c r="M318" s="775"/>
      <c r="N318" s="775"/>
      <c r="O318" s="773"/>
      <c r="P318" s="775"/>
      <c r="Q318" s="775"/>
      <c r="R318" s="775"/>
      <c r="S318" s="775"/>
      <c r="T318" s="775"/>
      <c r="U318" s="776"/>
      <c r="V318" s="775"/>
      <c r="W318" s="775" t="s">
        <v>130</v>
      </c>
      <c r="X318" s="775"/>
      <c r="Y318" s="775"/>
      <c r="Z318" s="775"/>
      <c r="AA318" s="775"/>
      <c r="AB318" s="775"/>
      <c r="AC318" s="776"/>
      <c r="AD318" s="775"/>
      <c r="AE318" s="775"/>
      <c r="AF318" s="775"/>
      <c r="AG318" s="775"/>
      <c r="AH318" s="775"/>
      <c r="AI318" s="775"/>
      <c r="AJ318" s="773"/>
      <c r="AK318" s="775"/>
      <c r="AL318" s="773"/>
      <c r="AM318" s="773"/>
      <c r="AN318" s="776"/>
      <c r="AO318" s="769"/>
      <c r="AP318" s="769"/>
      <c r="AQ318" s="773"/>
      <c r="AR318" s="773"/>
      <c r="AS318" s="773"/>
      <c r="AT31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18" s="779">
        <f>WWWW[[#This Row],[%Equitable and continuous access to sufficient quantity of safe drinking water]]*WWWW[[#This Row],[Total PoP ]]</f>
        <v>0</v>
      </c>
      <c r="AV31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8" s="779">
        <f>WWWW[[#This Row],[% Access to unimproved water points]]*WWWW[[#This Row],[Total PoP ]]</f>
        <v>0</v>
      </c>
      <c r="AX31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1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18" s="779">
        <f>WWWW[[#This Row],[HRP1]]/250</f>
        <v>0</v>
      </c>
      <c r="BA318" s="780">
        <f>1-WWWW[[#This Row],[% Equitable and continuous access to sufficient quantity of domestic water]]</f>
        <v>1</v>
      </c>
      <c r="BB318" s="779">
        <f>WWWW[[#This Row],[%equitable and continuous access to sufficient quantity of safe drinking and domestic water''s GAP]]*WWWW[[#This Row],[Total PoP ]]</f>
        <v>1901</v>
      </c>
      <c r="BC318" s="781">
        <f>IF(WWWW[[#This Row],[Total required water points]]-WWWW[[#This Row],['#Water points coverage]]&lt;0,0,WWWW[[#This Row],[Total required water points]]-WWWW[[#This Row],['#Water points coverage]])</f>
        <v>8</v>
      </c>
      <c r="BD318" s="781">
        <f>ROUND(IF(WWWW[[#This Row],[Total PoP ]]&lt;250,1,WWWW[[#This Row],[Total PoP ]]/250),0)</f>
        <v>8</v>
      </c>
      <c r="BE31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18" s="779">
        <f>WWWW[[#This Row],[% people access to functioning Latrine]]*WWWW[[#This Row],[Total PoP ]]</f>
        <v>0</v>
      </c>
      <c r="BG318" s="781">
        <f>WWWW[[#This Row],['#_of_Functioning_latrines_in_school]]*50</f>
        <v>0</v>
      </c>
      <c r="BH318" s="781">
        <f>ROUND((WWWW[[#This Row],[Total PoP ]]/6),0)</f>
        <v>317</v>
      </c>
      <c r="BI318" s="781">
        <f>IF(WWWW[[#This Row],[Total required Latrines]]-(WWWW[[#This Row],['#_of_sanitary_fly-proof_HH_latrines]])&lt;0,0,WWWW[[#This Row],[Total required Latrines]]-(WWWW[[#This Row],['#_of_sanitary_fly-proof_HH_latrines]]))</f>
        <v>317</v>
      </c>
      <c r="BJ318" s="778">
        <f>1-WWWW[[#This Row],[% people access to functioning Latrine]]</f>
        <v>1</v>
      </c>
      <c r="BK31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18" s="772">
        <f>IF(WWWW[[#This Row],['#_of_functional_handwashing_facilities_at_HH_level]]*6&gt;WWWW[[#This Row],[Total PoP ]],WWWW[[#This Row],[Total PoP ]],WWWW[[#This Row],['#_of_functional_handwashing_facilities_at_HH_level]]*6)</f>
        <v>0</v>
      </c>
      <c r="BM318" s="781">
        <f>IF(WWWW[[#This Row],['# people reached by regular dedicated hygiene promotion]]&gt;WWWW[[#This Row],['# People received regular supply of hygiene items]],WWWW[[#This Row],['# people reached by regular dedicated hygiene promotion]],WWWW[[#This Row],['# People received regular supply of hygiene items]])</f>
        <v>0</v>
      </c>
      <c r="BN318" s="780">
        <f>IF(WWWW[[#This Row],[HRP3]]/WWWW[[#This Row],[Total PoP ]]&gt;100%,100%,WWWW[[#This Row],[HRP3]]/WWWW[[#This Row],[Total PoP ]])</f>
        <v>0</v>
      </c>
      <c r="BO318" s="778">
        <f>1-WWWW[[#This Row],[Hygiene Coverage%]]</f>
        <v>1</v>
      </c>
      <c r="BP318" s="777">
        <f>WWWW[[#This Row],['# people reached by regular dedicated hygiene promotion]]/WWWW[[#This Row],[Total PoP ]]</f>
        <v>0</v>
      </c>
      <c r="BQ31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18" s="770">
        <f>WWWW[[#This Row],['#_of_affected_women_and_girls_receiving_a_sufficient_quantity_of_sanitary_pads]]</f>
        <v>0</v>
      </c>
      <c r="BS318" s="773">
        <f>IF(WWWW[[#This Row],['# People with access to soap]]&gt;WWWW[[#This Row],['# People with access to Sanity Pads]],WWWW[[#This Row],['# People with access to soap]],WWWW[[#This Row],['# People with access to Sanity Pads]])</f>
        <v>0</v>
      </c>
      <c r="BT318" s="772" t="str">
        <f>IF(OR(WWWW[[#This Row],['#of students in school]]="",WWWW[[#This Row],['#of students in school]]=0),"No","Yes")</f>
        <v>No</v>
      </c>
      <c r="BU318" s="782" t="str">
        <f>VLOOKUP(WWWW[[#This Row],[Village  Name]],SiteDB6[[Site Name]:[Location Type 1]],9,FALSE)</f>
        <v>Village</v>
      </c>
      <c r="BV318" s="782" t="str">
        <f>VLOOKUP(WWWW[[#This Row],[Village  Name]],SiteDB6[[Site Name]:[Type of Accommodation]],10,FALSE)</f>
        <v>Village</v>
      </c>
      <c r="BW318" s="782">
        <f>VLOOKUP(WWWW[[#This Row],[Village  Name]],SiteDB6[[Site Name]:[Ethnic or GCA/NGCA]],11,FALSE)</f>
        <v>0</v>
      </c>
      <c r="BX318" s="782">
        <f>VLOOKUP(WWWW[[#This Row],[Village  Name]],SiteDB6[[Site Name]:[Lat]],12,FALSE)</f>
        <v>20.760820389999999</v>
      </c>
      <c r="BY318" s="782">
        <f>VLOOKUP(WWWW[[#This Row],[Village  Name]],SiteDB6[[Site Name]:[Long]],13,FALSE)</f>
        <v>92.960083010000005</v>
      </c>
      <c r="BZ318" s="782">
        <f>VLOOKUP(WWWW[[#This Row],[Village  Name]],SiteDB6[[Site Name]:[Pcode]],3,FALSE)</f>
        <v>196893</v>
      </c>
      <c r="CA318" s="782" t="str">
        <f t="shared" si="19"/>
        <v>Covered</v>
      </c>
      <c r="CB318" s="783"/>
    </row>
    <row r="319" spans="1:80">
      <c r="A319" s="774" t="s">
        <v>3199</v>
      </c>
      <c r="B319" s="727" t="s">
        <v>2282</v>
      </c>
      <c r="C319" s="728" t="s">
        <v>2282</v>
      </c>
      <c r="D319" s="728" t="s">
        <v>39</v>
      </c>
      <c r="E319" s="728" t="s">
        <v>2648</v>
      </c>
      <c r="F319" s="728" t="s">
        <v>295</v>
      </c>
      <c r="G319" s="644" t="str">
        <f>VLOOKUP(WWWW[[#This Row],[Village  Name]],SiteDB6[[Site Name]:[Location Type]],8,FALSE)</f>
        <v>Village</v>
      </c>
      <c r="H319" s="728" t="s">
        <v>434</v>
      </c>
      <c r="I319" s="775">
        <v>17</v>
      </c>
      <c r="J319" s="775">
        <v>74</v>
      </c>
      <c r="K319" s="784">
        <v>43009</v>
      </c>
      <c r="L319" s="785">
        <v>44104</v>
      </c>
      <c r="M319" s="775"/>
      <c r="N319" s="775">
        <v>0</v>
      </c>
      <c r="O319" s="773"/>
      <c r="P319" s="775"/>
      <c r="Q319" s="775"/>
      <c r="R319" s="775"/>
      <c r="S319" s="775"/>
      <c r="T319" s="775"/>
      <c r="U319" s="776"/>
      <c r="V319" s="775"/>
      <c r="W319" s="773" t="s">
        <v>130</v>
      </c>
      <c r="X319" s="775"/>
      <c r="Y319" s="775"/>
      <c r="Z319" s="775"/>
      <c r="AA319" s="775"/>
      <c r="AB319" s="775"/>
      <c r="AC319" s="776"/>
      <c r="AD319" s="775"/>
      <c r="AE319" s="775"/>
      <c r="AF319" s="775"/>
      <c r="AG319" s="775"/>
      <c r="AH319" s="775"/>
      <c r="AI319" s="775"/>
      <c r="AJ319" s="773"/>
      <c r="AK319" s="775"/>
      <c r="AL319" s="773"/>
      <c r="AM319" s="773"/>
      <c r="AN319" s="776"/>
      <c r="AO319" s="769"/>
      <c r="AP319" s="769"/>
      <c r="AQ319" s="773"/>
      <c r="AR319" s="773"/>
      <c r="AS319" s="773"/>
      <c r="AT31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19" s="779">
        <f>WWWW[[#This Row],[%Equitable and continuous access to sufficient quantity of safe drinking water]]*WWWW[[#This Row],[Total PoP ]]</f>
        <v>0</v>
      </c>
      <c r="AV31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19" s="779">
        <f>WWWW[[#This Row],[% Access to unimproved water points]]*WWWW[[#This Row],[Total PoP ]]</f>
        <v>0</v>
      </c>
      <c r="AX31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1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19" s="779">
        <f>WWWW[[#This Row],[HRP1]]/250</f>
        <v>0</v>
      </c>
      <c r="BA319" s="780">
        <f>1-WWWW[[#This Row],[% Equitable and continuous access to sufficient quantity of domestic water]]</f>
        <v>1</v>
      </c>
      <c r="BB319" s="779">
        <f>WWWW[[#This Row],[%equitable and continuous access to sufficient quantity of safe drinking and domestic water''s GAP]]*WWWW[[#This Row],[Total PoP ]]</f>
        <v>74</v>
      </c>
      <c r="BC319" s="781">
        <f>IF(WWWW[[#This Row],[Total required water points]]-WWWW[[#This Row],['#Water points coverage]]&lt;0,0,WWWW[[#This Row],[Total required water points]]-WWWW[[#This Row],['#Water points coverage]])</f>
        <v>1</v>
      </c>
      <c r="BD319" s="781">
        <f>ROUND(IF(WWWW[[#This Row],[Total PoP ]]&lt;250,1,WWWW[[#This Row],[Total PoP ]]/250),0)</f>
        <v>1</v>
      </c>
      <c r="BE31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19" s="779">
        <f>WWWW[[#This Row],[% people access to functioning Latrine]]*WWWW[[#This Row],[Total PoP ]]</f>
        <v>0</v>
      </c>
      <c r="BG319" s="781">
        <f>WWWW[[#This Row],['#_of_Functioning_latrines_in_school]]*50</f>
        <v>0</v>
      </c>
      <c r="BH319" s="781">
        <f>ROUND((WWWW[[#This Row],[Total PoP ]]/6),0)</f>
        <v>12</v>
      </c>
      <c r="BI319" s="781">
        <f>IF(WWWW[[#This Row],[Total required Latrines]]-(WWWW[[#This Row],['#_of_sanitary_fly-proof_HH_latrines]])&lt;0,0,WWWW[[#This Row],[Total required Latrines]]-(WWWW[[#This Row],['#_of_sanitary_fly-proof_HH_latrines]]))</f>
        <v>12</v>
      </c>
      <c r="BJ319" s="778">
        <f>1-WWWW[[#This Row],[% people access to functioning Latrine]]</f>
        <v>1</v>
      </c>
      <c r="BK31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19" s="772">
        <f>IF(WWWW[[#This Row],['#_of_functional_handwashing_facilities_at_HH_level]]*6&gt;WWWW[[#This Row],[Total PoP ]],WWWW[[#This Row],[Total PoP ]],WWWW[[#This Row],['#_of_functional_handwashing_facilities_at_HH_level]]*6)</f>
        <v>0</v>
      </c>
      <c r="BM319" s="781">
        <f>IF(WWWW[[#This Row],['# people reached by regular dedicated hygiene promotion]]&gt;WWWW[[#This Row],['# People received regular supply of hygiene items]],WWWW[[#This Row],['# people reached by regular dedicated hygiene promotion]],WWWW[[#This Row],['# People received regular supply of hygiene items]])</f>
        <v>0</v>
      </c>
      <c r="BN319" s="780">
        <f>IF(WWWW[[#This Row],[HRP3]]/WWWW[[#This Row],[Total PoP ]]&gt;100%,100%,WWWW[[#This Row],[HRP3]]/WWWW[[#This Row],[Total PoP ]])</f>
        <v>0</v>
      </c>
      <c r="BO319" s="778">
        <f>1-WWWW[[#This Row],[Hygiene Coverage%]]</f>
        <v>1</v>
      </c>
      <c r="BP319" s="777">
        <f>WWWW[[#This Row],['# people reached by regular dedicated hygiene promotion]]/WWWW[[#This Row],[Total PoP ]]</f>
        <v>0</v>
      </c>
      <c r="BQ31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19" s="770">
        <f>WWWW[[#This Row],['#_of_affected_women_and_girls_receiving_a_sufficient_quantity_of_sanitary_pads]]</f>
        <v>0</v>
      </c>
      <c r="BS319" s="773">
        <f>IF(WWWW[[#This Row],['# People with access to soap]]&gt;WWWW[[#This Row],['# People with access to Sanity Pads]],WWWW[[#This Row],['# People with access to soap]],WWWW[[#This Row],['# People with access to Sanity Pads]])</f>
        <v>0</v>
      </c>
      <c r="BT319" s="772" t="str">
        <f>IF(OR(WWWW[[#This Row],['#of students in school]]="",WWWW[[#This Row],['#of students in school]]=0),"No","Yes")</f>
        <v>No</v>
      </c>
      <c r="BU319" s="782" t="str">
        <f>VLOOKUP(WWWW[[#This Row],[Village  Name]],SiteDB6[[Site Name]:[Location Type 1]],9,FALSE)</f>
        <v>Village</v>
      </c>
      <c r="BV319" s="782" t="str">
        <f>VLOOKUP(WWWW[[#This Row],[Village  Name]],SiteDB6[[Site Name]:[Type of Accommodation]],10,FALSE)</f>
        <v>Village</v>
      </c>
      <c r="BW319" s="782" t="str">
        <f>VLOOKUP(WWWW[[#This Row],[Village  Name]],SiteDB6[[Site Name]:[Ethnic or GCA/NGCA]],11,FALSE)</f>
        <v>Muslim</v>
      </c>
      <c r="BX319" s="782">
        <f>VLOOKUP(WWWW[[#This Row],[Village  Name]],SiteDB6[[Site Name]:[Lat]],12,FALSE)</f>
        <v>20.193460460000001</v>
      </c>
      <c r="BY319" s="782">
        <f>VLOOKUP(WWWW[[#This Row],[Village  Name]],SiteDB6[[Site Name]:[Long]],13,FALSE)</f>
        <v>92.867782590000004</v>
      </c>
      <c r="BZ319" s="782">
        <f>VLOOKUP(WWWW[[#This Row],[Village  Name]],SiteDB6[[Site Name]:[Pcode]],3,FALSE)</f>
        <v>196147</v>
      </c>
      <c r="CA319" s="782" t="str">
        <f t="shared" si="19"/>
        <v>Covered</v>
      </c>
      <c r="CB319" s="783"/>
    </row>
    <row r="320" spans="1:80">
      <c r="A320" s="774" t="s">
        <v>3199</v>
      </c>
      <c r="B320" s="727" t="s">
        <v>266</v>
      </c>
      <c r="C320" s="728" t="s">
        <v>266</v>
      </c>
      <c r="D320" s="728" t="s">
        <v>3151</v>
      </c>
      <c r="E320" s="728" t="s">
        <v>2648</v>
      </c>
      <c r="F320" s="728" t="s">
        <v>402</v>
      </c>
      <c r="G320" s="644" t="str">
        <f>VLOOKUP(WWWW[[#This Row],[Village  Name]],SiteDB6[[Site Name]:[Location Type]],8,FALSE)</f>
        <v>Village</v>
      </c>
      <c r="H320" s="728" t="s">
        <v>411</v>
      </c>
      <c r="I320" s="775">
        <v>483</v>
      </c>
      <c r="J320" s="775">
        <v>2228</v>
      </c>
      <c r="K320" s="784">
        <v>43525</v>
      </c>
      <c r="L320" s="785">
        <v>44255</v>
      </c>
      <c r="M320" s="775"/>
      <c r="N320" s="775">
        <v>454</v>
      </c>
      <c r="O320" s="773">
        <v>0</v>
      </c>
      <c r="P320" s="775">
        <v>0</v>
      </c>
      <c r="Q320" s="775">
        <v>1</v>
      </c>
      <c r="R320" s="775"/>
      <c r="S320" s="775"/>
      <c r="T320" s="775"/>
      <c r="U320" s="776"/>
      <c r="V320" s="775"/>
      <c r="W320" s="775" t="s">
        <v>130</v>
      </c>
      <c r="X320" s="775"/>
      <c r="Y320" s="775"/>
      <c r="Z320" s="775"/>
      <c r="AA320" s="775"/>
      <c r="AB320" s="775"/>
      <c r="AC320" s="776"/>
      <c r="AD320" s="775">
        <v>417</v>
      </c>
      <c r="AE320" s="775">
        <v>463</v>
      </c>
      <c r="AF320" s="775">
        <v>614</v>
      </c>
      <c r="AG320" s="775">
        <v>556</v>
      </c>
      <c r="AH320" s="775"/>
      <c r="AI320" s="775"/>
      <c r="AJ320" s="773">
        <v>0</v>
      </c>
      <c r="AK320" s="775">
        <v>0</v>
      </c>
      <c r="AL320" s="773">
        <v>483</v>
      </c>
      <c r="AM320" s="773">
        <v>1019</v>
      </c>
      <c r="AN320" s="776" t="s">
        <v>3296</v>
      </c>
      <c r="AO320" s="769"/>
      <c r="AP320" s="769"/>
      <c r="AQ320" s="773">
        <v>0</v>
      </c>
      <c r="AR320" s="773"/>
      <c r="AS320" s="773">
        <v>0</v>
      </c>
      <c r="AT32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20" s="779">
        <f>WWWW[[#This Row],[%Equitable and continuous access to sufficient quantity of safe drinking water]]*WWWW[[#This Row],[Total PoP ]]</f>
        <v>0</v>
      </c>
      <c r="AV32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20" s="779">
        <f>WWWW[[#This Row],[% Access to unimproved water points]]*WWWW[[#This Row],[Total PoP ]]</f>
        <v>2228</v>
      </c>
      <c r="AX32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2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2228</v>
      </c>
      <c r="AZ320" s="779">
        <f>WWWW[[#This Row],[HRP1]]/250</f>
        <v>8.9120000000000008</v>
      </c>
      <c r="BA320" s="780">
        <f>1-WWWW[[#This Row],[% Equitable and continuous access to sufficient quantity of domestic water]]</f>
        <v>0</v>
      </c>
      <c r="BB320" s="779">
        <f>WWWW[[#This Row],[%equitable and continuous access to sufficient quantity of safe drinking and domestic water''s GAP]]*WWWW[[#This Row],[Total PoP ]]</f>
        <v>0</v>
      </c>
      <c r="BC320" s="781">
        <f>IF(WWWW[[#This Row],[Total required water points]]-WWWW[[#This Row],['#Water points coverage]]&lt;0,0,WWWW[[#This Row],[Total required water points]]-WWWW[[#This Row],['#Water points coverage]])</f>
        <v>8.799999999999919E-2</v>
      </c>
      <c r="BD320" s="781">
        <f>ROUND(IF(WWWW[[#This Row],[Total PoP ]]&lt;250,1,WWWW[[#This Row],[Total PoP ]]/250),0)</f>
        <v>9</v>
      </c>
      <c r="BE32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20" s="779">
        <f>WWWW[[#This Row],[% people access to functioning Latrine]]*WWWW[[#This Row],[Total PoP ]]</f>
        <v>0</v>
      </c>
      <c r="BG320" s="781">
        <f>WWWW[[#This Row],['#_of_Functioning_latrines_in_school]]*50</f>
        <v>0</v>
      </c>
      <c r="BH320" s="781">
        <f>ROUND((WWWW[[#This Row],[Total PoP ]]/6),0)</f>
        <v>371</v>
      </c>
      <c r="BI320" s="781">
        <f>IF(WWWW[[#This Row],[Total required Latrines]]-(WWWW[[#This Row],['#_of_sanitary_fly-proof_HH_latrines]])&lt;0,0,WWWW[[#This Row],[Total required Latrines]]-(WWWW[[#This Row],['#_of_sanitary_fly-proof_HH_latrines]]))</f>
        <v>371</v>
      </c>
      <c r="BJ320" s="778">
        <f>1-WWWW[[#This Row],[% people access to functioning Latrine]]</f>
        <v>1</v>
      </c>
      <c r="BK32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2050</v>
      </c>
      <c r="BL320" s="772">
        <f>IF(WWWW[[#This Row],['#_of_functional_handwashing_facilities_at_HH_level]]*6&gt;WWWW[[#This Row],[Total PoP ]],WWWW[[#This Row],[Total PoP ]],WWWW[[#This Row],['#_of_functional_handwashing_facilities_at_HH_level]]*6)</f>
        <v>0</v>
      </c>
      <c r="BM320" s="781">
        <f>IF(WWWW[[#This Row],['# people reached by regular dedicated hygiene promotion]]&gt;WWWW[[#This Row],['# People received regular supply of hygiene items]],WWWW[[#This Row],['# people reached by regular dedicated hygiene promotion]],WWWW[[#This Row],['# People received regular supply of hygiene items]])</f>
        <v>2228</v>
      </c>
      <c r="BN320" s="780">
        <f>IF(WWWW[[#This Row],[HRP3]]/WWWW[[#This Row],[Total PoP ]]&gt;100%,100%,WWWW[[#This Row],[HRP3]]/WWWW[[#This Row],[Total PoP ]])</f>
        <v>1</v>
      </c>
      <c r="BO320" s="778">
        <f>1-WWWW[[#This Row],[Hygiene Coverage%]]</f>
        <v>0</v>
      </c>
      <c r="BP320" s="777">
        <f>WWWW[[#This Row],['# people reached by regular dedicated hygiene promotion]]/WWWW[[#This Row],[Total PoP ]]</f>
        <v>0.92010771992818674</v>
      </c>
      <c r="BQ32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2228</v>
      </c>
      <c r="BR320" s="770">
        <f>WWWW[[#This Row],['#_of_affected_women_and_girls_receiving_a_sufficient_quantity_of_sanitary_pads]]</f>
        <v>1019</v>
      </c>
      <c r="BS320" s="773">
        <f>IF(WWWW[[#This Row],['# People with access to soap]]&gt;WWWW[[#This Row],['# People with access to Sanity Pads]],WWWW[[#This Row],['# People with access to soap]],WWWW[[#This Row],['# People with access to Sanity Pads]])</f>
        <v>2228</v>
      </c>
      <c r="BT320" s="772" t="str">
        <f>IF(OR(WWWW[[#This Row],['#of students in school]]="",WWWW[[#This Row],['#of students in school]]=0),"No","Yes")</f>
        <v>No</v>
      </c>
      <c r="BU320" s="782" t="str">
        <f>VLOOKUP(WWWW[[#This Row],[Village  Name]],SiteDB6[[Site Name]:[Location Type 1]],9,FALSE)</f>
        <v>Village</v>
      </c>
      <c r="BV320" s="782" t="str">
        <f>VLOOKUP(WWWW[[#This Row],[Village  Name]],SiteDB6[[Site Name]:[Type of Accommodation]],10,FALSE)</f>
        <v>Village</v>
      </c>
      <c r="BW320" s="782" t="str">
        <f>VLOOKUP(WWWW[[#This Row],[Village  Name]],SiteDB6[[Site Name]:[Ethnic or GCA/NGCA]],11,FALSE)</f>
        <v>Muslim</v>
      </c>
      <c r="BX320" s="782">
        <f>VLOOKUP(WWWW[[#This Row],[Village  Name]],SiteDB6[[Site Name]:[Lat]],12,FALSE)</f>
        <v>20.099340439999999</v>
      </c>
      <c r="BY320" s="782">
        <f>VLOOKUP(WWWW[[#This Row],[Village  Name]],SiteDB6[[Site Name]:[Long]],13,FALSE)</f>
        <v>92.989143369999994</v>
      </c>
      <c r="BZ320" s="782">
        <f>VLOOKUP(WWWW[[#This Row],[Village  Name]],SiteDB6[[Site Name]:[Pcode]],3,FALSE)</f>
        <v>197558</v>
      </c>
      <c r="CA320" s="782" t="str">
        <f t="shared" si="19"/>
        <v>Covered</v>
      </c>
      <c r="CB320" s="783"/>
    </row>
    <row r="321" spans="1:80">
      <c r="A321" s="774" t="s">
        <v>3199</v>
      </c>
      <c r="B321" s="727" t="s">
        <v>287</v>
      </c>
      <c r="C321" s="728" t="s">
        <v>287</v>
      </c>
      <c r="D321" s="728" t="s">
        <v>327</v>
      </c>
      <c r="E321" s="728" t="s">
        <v>2648</v>
      </c>
      <c r="F321" s="728" t="s">
        <v>402</v>
      </c>
      <c r="G321" s="644" t="str">
        <f>VLOOKUP(WWWW[[#This Row],[Village  Name]],SiteDB6[[Site Name]:[Location Type]],8,FALSE)</f>
        <v>Village</v>
      </c>
      <c r="H321" s="728" t="s">
        <v>2536</v>
      </c>
      <c r="I321" s="775">
        <v>36</v>
      </c>
      <c r="J321" s="775">
        <v>172</v>
      </c>
      <c r="K321" s="784">
        <v>43359</v>
      </c>
      <c r="L321" s="785">
        <v>44196</v>
      </c>
      <c r="M321" s="775">
        <v>52</v>
      </c>
      <c r="N321" s="775"/>
      <c r="O321" s="773"/>
      <c r="P321" s="775"/>
      <c r="Q321" s="775">
        <v>0</v>
      </c>
      <c r="R321" s="775"/>
      <c r="S321" s="775">
        <v>172</v>
      </c>
      <c r="T321" s="775">
        <v>0</v>
      </c>
      <c r="U321" s="776"/>
      <c r="V321" s="775">
        <v>0</v>
      </c>
      <c r="W321" s="775" t="s">
        <v>126</v>
      </c>
      <c r="X321" s="775">
        <v>0</v>
      </c>
      <c r="Y321" s="775">
        <v>2</v>
      </c>
      <c r="Z321" s="775"/>
      <c r="AA321" s="775"/>
      <c r="AB321" s="775"/>
      <c r="AC321" s="776"/>
      <c r="AD321" s="775"/>
      <c r="AE321" s="775"/>
      <c r="AF321" s="775"/>
      <c r="AG321" s="775"/>
      <c r="AH321" s="775"/>
      <c r="AI321" s="775"/>
      <c r="AJ321" s="773"/>
      <c r="AK321" s="775"/>
      <c r="AL321" s="773"/>
      <c r="AM321" s="773"/>
      <c r="AN321" s="776"/>
      <c r="AO321" s="769"/>
      <c r="AP321" s="769"/>
      <c r="AQ321" s="773"/>
      <c r="AR321" s="773"/>
      <c r="AS321" s="773"/>
      <c r="AT32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21" s="779">
        <f>WWWW[[#This Row],[%Equitable and continuous access to sufficient quantity of safe drinking water]]*WWWW[[#This Row],[Total PoP ]]</f>
        <v>0</v>
      </c>
      <c r="AV32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21" s="779">
        <f>WWWW[[#This Row],[% Access to unimproved water points]]*WWWW[[#This Row],[Total PoP ]]</f>
        <v>172</v>
      </c>
      <c r="AX32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2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172</v>
      </c>
      <c r="AZ321" s="779">
        <f>WWWW[[#This Row],[HRP1]]/250</f>
        <v>0.68799999999999994</v>
      </c>
      <c r="BA321" s="780">
        <f>1-WWWW[[#This Row],[% Equitable and continuous access to sufficient quantity of domestic water]]</f>
        <v>0</v>
      </c>
      <c r="BB321" s="779">
        <f>WWWW[[#This Row],[%equitable and continuous access to sufficient quantity of safe drinking and domestic water''s GAP]]*WWWW[[#This Row],[Total PoP ]]</f>
        <v>0</v>
      </c>
      <c r="BC321" s="781">
        <f>IF(WWWW[[#This Row],[Total required water points]]-WWWW[[#This Row],['#Water points coverage]]&lt;0,0,WWWW[[#This Row],[Total required water points]]-WWWW[[#This Row],['#Water points coverage]])</f>
        <v>0.31200000000000006</v>
      </c>
      <c r="BD321" s="781">
        <f>ROUND(IF(WWWW[[#This Row],[Total PoP ]]&lt;250,1,WWWW[[#This Row],[Total PoP ]]/250),0)</f>
        <v>1</v>
      </c>
      <c r="BE32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21" s="779">
        <f>WWWW[[#This Row],[% people access to functioning Latrine]]*WWWW[[#This Row],[Total PoP ]]</f>
        <v>0</v>
      </c>
      <c r="BG321" s="781">
        <f>WWWW[[#This Row],['#_of_Functioning_latrines_in_school]]*50</f>
        <v>0</v>
      </c>
      <c r="BH321" s="781">
        <f>ROUND((WWWW[[#This Row],[Total PoP ]]/6),0)</f>
        <v>29</v>
      </c>
      <c r="BI321" s="781">
        <f>IF(WWWW[[#This Row],[Total required Latrines]]-(WWWW[[#This Row],['#_of_sanitary_fly-proof_HH_latrines]])&lt;0,0,WWWW[[#This Row],[Total required Latrines]]-(WWWW[[#This Row],['#_of_sanitary_fly-proof_HH_latrines]]))</f>
        <v>29</v>
      </c>
      <c r="BJ321" s="778">
        <f>1-WWWW[[#This Row],[% people access to functioning Latrine]]</f>
        <v>1</v>
      </c>
      <c r="BK32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21" s="772">
        <f>IF(WWWW[[#This Row],['#_of_functional_handwashing_facilities_at_HH_level]]*6&gt;WWWW[[#This Row],[Total PoP ]],WWWW[[#This Row],[Total PoP ]],WWWW[[#This Row],['#_of_functional_handwashing_facilities_at_HH_level]]*6)</f>
        <v>0</v>
      </c>
      <c r="BM321" s="781">
        <f>IF(WWWW[[#This Row],['# people reached by regular dedicated hygiene promotion]]&gt;WWWW[[#This Row],['# People received regular supply of hygiene items]],WWWW[[#This Row],['# people reached by regular dedicated hygiene promotion]],WWWW[[#This Row],['# People received regular supply of hygiene items]])</f>
        <v>0</v>
      </c>
      <c r="BN321" s="780">
        <f>IF(WWWW[[#This Row],[HRP3]]/WWWW[[#This Row],[Total PoP ]]&gt;100%,100%,WWWW[[#This Row],[HRP3]]/WWWW[[#This Row],[Total PoP ]])</f>
        <v>0</v>
      </c>
      <c r="BO321" s="778">
        <f>1-WWWW[[#This Row],[Hygiene Coverage%]]</f>
        <v>1</v>
      </c>
      <c r="BP321" s="777">
        <f>WWWW[[#This Row],['# people reached by regular dedicated hygiene promotion]]/WWWW[[#This Row],[Total PoP ]]</f>
        <v>0</v>
      </c>
      <c r="BQ32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21" s="770">
        <f>WWWW[[#This Row],['#_of_affected_women_and_girls_receiving_a_sufficient_quantity_of_sanitary_pads]]</f>
        <v>0</v>
      </c>
      <c r="BS321" s="773">
        <f>IF(WWWW[[#This Row],['# People with access to soap]]&gt;WWWW[[#This Row],['# People with access to Sanity Pads]],WWWW[[#This Row],['# People with access to soap]],WWWW[[#This Row],['# People with access to Sanity Pads]])</f>
        <v>0</v>
      </c>
      <c r="BT321" s="772" t="str">
        <f>IF(OR(WWWW[[#This Row],['#of students in school]]="",WWWW[[#This Row],['#of students in school]]=0),"No","Yes")</f>
        <v>Yes</v>
      </c>
      <c r="BU321" s="782" t="str">
        <f>VLOOKUP(WWWW[[#This Row],[Village  Name]],SiteDB6[[Site Name]:[Location Type 1]],9,FALSE)</f>
        <v>Village</v>
      </c>
      <c r="BV321" s="782" t="str">
        <f>VLOOKUP(WWWW[[#This Row],[Village  Name]],SiteDB6[[Site Name]:[Type of Accommodation]],10,FALSE)</f>
        <v>Village</v>
      </c>
      <c r="BW321" s="782">
        <f>VLOOKUP(WWWW[[#This Row],[Village  Name]],SiteDB6[[Site Name]:[Ethnic or GCA/NGCA]],11,FALSE)</f>
        <v>0</v>
      </c>
      <c r="BX321" s="782">
        <f>VLOOKUP(WWWW[[#This Row],[Village  Name]],SiteDB6[[Site Name]:[Lat]],12,FALSE)</f>
        <v>20.005199432373001</v>
      </c>
      <c r="BY321" s="782">
        <f>VLOOKUP(WWWW[[#This Row],[Village  Name]],SiteDB6[[Site Name]:[Long]],13,FALSE)</f>
        <v>92.948463439941406</v>
      </c>
      <c r="BZ321" s="782">
        <f>VLOOKUP(WWWW[[#This Row],[Village  Name]],SiteDB6[[Site Name]:[Pcode]],3,FALSE)</f>
        <v>197565</v>
      </c>
      <c r="CA321" s="782" t="str">
        <f t="shared" si="19"/>
        <v>Covered</v>
      </c>
      <c r="CB321" s="783"/>
    </row>
    <row r="322" spans="1:80">
      <c r="A322" s="774" t="s">
        <v>3199</v>
      </c>
      <c r="B322" s="727" t="s">
        <v>318</v>
      </c>
      <c r="C322" s="728" t="s">
        <v>318</v>
      </c>
      <c r="D322" s="728" t="s">
        <v>334</v>
      </c>
      <c r="E322" s="728" t="s">
        <v>2648</v>
      </c>
      <c r="F322" s="728" t="s">
        <v>302</v>
      </c>
      <c r="G322" s="644" t="str">
        <f>VLOOKUP(WWWW[[#This Row],[Village  Name]],SiteDB6[[Site Name]:[Location Type]],8,FALSE)</f>
        <v>Village</v>
      </c>
      <c r="H322" s="728" t="s">
        <v>2276</v>
      </c>
      <c r="I322" s="775">
        <v>128</v>
      </c>
      <c r="J322" s="775">
        <v>583</v>
      </c>
      <c r="K322" s="784">
        <v>43647</v>
      </c>
      <c r="L322" s="785">
        <v>44043</v>
      </c>
      <c r="M322" s="775">
        <v>90</v>
      </c>
      <c r="N322" s="775"/>
      <c r="O322" s="773"/>
      <c r="P322" s="775"/>
      <c r="Q322" s="775">
        <v>4</v>
      </c>
      <c r="R322" s="775"/>
      <c r="S322" s="775"/>
      <c r="T322" s="775"/>
      <c r="U322" s="776"/>
      <c r="V322" s="775">
        <v>6</v>
      </c>
      <c r="W322" s="775" t="s">
        <v>130</v>
      </c>
      <c r="X322" s="775">
        <v>3</v>
      </c>
      <c r="Y322" s="775">
        <v>3</v>
      </c>
      <c r="Z322" s="775"/>
      <c r="AA322" s="775"/>
      <c r="AB322" s="775"/>
      <c r="AC322" s="776"/>
      <c r="AD322" s="775"/>
      <c r="AE322" s="775"/>
      <c r="AF322" s="775"/>
      <c r="AG322" s="775"/>
      <c r="AH322" s="775"/>
      <c r="AI322" s="775"/>
      <c r="AJ322" s="773">
        <v>11</v>
      </c>
      <c r="AK322" s="775"/>
      <c r="AL322" s="773"/>
      <c r="AM322" s="773"/>
      <c r="AN322" s="776"/>
      <c r="AO322" s="769"/>
      <c r="AP322" s="769"/>
      <c r="AQ322" s="773"/>
      <c r="AR322" s="773"/>
      <c r="AS322" s="773"/>
      <c r="AT32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22" s="779">
        <f>WWWW[[#This Row],[%Equitable and continuous access to sufficient quantity of safe drinking water]]*WWWW[[#This Row],[Total PoP ]]</f>
        <v>0</v>
      </c>
      <c r="AV32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22" s="779">
        <f>WWWW[[#This Row],[% Access to unimproved water points]]*WWWW[[#This Row],[Total PoP ]]</f>
        <v>583</v>
      </c>
      <c r="AX32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2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583</v>
      </c>
      <c r="AZ322" s="779">
        <f>WWWW[[#This Row],[HRP1]]/250</f>
        <v>2.3319999999999999</v>
      </c>
      <c r="BA322" s="780">
        <f>1-WWWW[[#This Row],[% Equitable and continuous access to sufficient quantity of domestic water]]</f>
        <v>0</v>
      </c>
      <c r="BB322" s="779">
        <f>WWWW[[#This Row],[%equitable and continuous access to sufficient quantity of safe drinking and domestic water''s GAP]]*WWWW[[#This Row],[Total PoP ]]</f>
        <v>0</v>
      </c>
      <c r="BC322" s="781">
        <f>IF(WWWW[[#This Row],[Total required water points]]-WWWW[[#This Row],['#Water points coverage]]&lt;0,0,WWWW[[#This Row],[Total required water points]]-WWWW[[#This Row],['#Water points coverage]])</f>
        <v>0</v>
      </c>
      <c r="BD322" s="781">
        <f>ROUND(IF(WWWW[[#This Row],[Total PoP ]]&lt;250,1,WWWW[[#This Row],[Total PoP ]]/250),0)</f>
        <v>2</v>
      </c>
      <c r="BE32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6.1749571183533448E-2</v>
      </c>
      <c r="BF322" s="779">
        <f>WWWW[[#This Row],[% people access to functioning Latrine]]*WWWW[[#This Row],[Total PoP ]]</f>
        <v>36</v>
      </c>
      <c r="BG322" s="781">
        <f>WWWW[[#This Row],['#_of_Functioning_latrines_in_school]]*50</f>
        <v>150</v>
      </c>
      <c r="BH322" s="781">
        <f>ROUND((WWWW[[#This Row],[Total PoP ]]/6),0)</f>
        <v>97</v>
      </c>
      <c r="BI322" s="781">
        <f>IF(WWWW[[#This Row],[Total required Latrines]]-(WWWW[[#This Row],['#_of_sanitary_fly-proof_HH_latrines]])&lt;0,0,WWWW[[#This Row],[Total required Latrines]]-(WWWW[[#This Row],['#_of_sanitary_fly-proof_HH_latrines]]))</f>
        <v>91</v>
      </c>
      <c r="BJ322" s="778">
        <f>1-WWWW[[#This Row],[% people access to functioning Latrine]]</f>
        <v>0.93825042881646659</v>
      </c>
      <c r="BK32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22" s="772">
        <f>IF(WWWW[[#This Row],['#_of_functional_handwashing_facilities_at_HH_level]]*6&gt;WWWW[[#This Row],[Total PoP ]],WWWW[[#This Row],[Total PoP ]],WWWW[[#This Row],['#_of_functional_handwashing_facilities_at_HH_level]]*6)</f>
        <v>66</v>
      </c>
      <c r="BM322" s="781">
        <f>IF(WWWW[[#This Row],['# people reached by regular dedicated hygiene promotion]]&gt;WWWW[[#This Row],['# People received regular supply of hygiene items]],WWWW[[#This Row],['# people reached by regular dedicated hygiene promotion]],WWWW[[#This Row],['# People received regular supply of hygiene items]])</f>
        <v>0</v>
      </c>
      <c r="BN322" s="780">
        <f>IF(WWWW[[#This Row],[HRP3]]/WWWW[[#This Row],[Total PoP ]]&gt;100%,100%,WWWW[[#This Row],[HRP3]]/WWWW[[#This Row],[Total PoP ]])</f>
        <v>0</v>
      </c>
      <c r="BO322" s="778">
        <f>1-WWWW[[#This Row],[Hygiene Coverage%]]</f>
        <v>1</v>
      </c>
      <c r="BP322" s="777">
        <f>WWWW[[#This Row],['# people reached by regular dedicated hygiene promotion]]/WWWW[[#This Row],[Total PoP ]]</f>
        <v>0</v>
      </c>
      <c r="BQ32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22" s="770">
        <f>WWWW[[#This Row],['#_of_affected_women_and_girls_receiving_a_sufficient_quantity_of_sanitary_pads]]</f>
        <v>0</v>
      </c>
      <c r="BS322" s="773">
        <f>IF(WWWW[[#This Row],['# People with access to soap]]&gt;WWWW[[#This Row],['# People with access to Sanity Pads]],WWWW[[#This Row],['# People with access to soap]],WWWW[[#This Row],['# People with access to Sanity Pads]])</f>
        <v>0</v>
      </c>
      <c r="BT322" s="772" t="str">
        <f>IF(OR(WWWW[[#This Row],['#of students in school]]="",WWWW[[#This Row],['#of students in school]]=0),"No","Yes")</f>
        <v>Yes</v>
      </c>
      <c r="BU322" s="782" t="str">
        <f>VLOOKUP(WWWW[[#This Row],[Village  Name]],SiteDB6[[Site Name]:[Location Type 1]],9,FALSE)</f>
        <v>Village</v>
      </c>
      <c r="BV322" s="782" t="str">
        <f>VLOOKUP(WWWW[[#This Row],[Village  Name]],SiteDB6[[Site Name]:[Type of Accommodation]],10,FALSE)</f>
        <v>Village</v>
      </c>
      <c r="BW322" s="782" t="str">
        <f>VLOOKUP(WWWW[[#This Row],[Village  Name]],SiteDB6[[Site Name]:[Ethnic or GCA/NGCA]],11,FALSE)</f>
        <v>Rakhine</v>
      </c>
      <c r="BX322" s="782">
        <f>VLOOKUP(WWWW[[#This Row],[Village  Name]],SiteDB6[[Site Name]:[Lat]],12,FALSE)</f>
        <v>20.646560668945298</v>
      </c>
      <c r="BY322" s="782">
        <f>VLOOKUP(WWWW[[#This Row],[Village  Name]],SiteDB6[[Site Name]:[Long]],13,FALSE)</f>
        <v>92.976043701171903</v>
      </c>
      <c r="BZ322" s="782">
        <f>VLOOKUP(WWWW[[#This Row],[Village  Name]],SiteDB6[[Site Name]:[Pcode]],3,FALSE)</f>
        <v>196937</v>
      </c>
      <c r="CA322" s="782" t="str">
        <f t="shared" ref="CA322:CA337" si="20">IF(C322="none","Notcovered","Covered")</f>
        <v>Covered</v>
      </c>
      <c r="CB322" s="783"/>
    </row>
    <row r="323" spans="1:80">
      <c r="A323" s="774" t="s">
        <v>3199</v>
      </c>
      <c r="B323" s="727" t="s">
        <v>318</v>
      </c>
      <c r="C323" s="728" t="s">
        <v>318</v>
      </c>
      <c r="D323" s="728" t="s">
        <v>334</v>
      </c>
      <c r="E323" s="728" t="s">
        <v>2648</v>
      </c>
      <c r="F323" s="728" t="s">
        <v>302</v>
      </c>
      <c r="G323" s="644" t="str">
        <f>VLOOKUP(WWWW[[#This Row],[Village  Name]],SiteDB6[[Site Name]:[Location Type]],8,FALSE)</f>
        <v>Village</v>
      </c>
      <c r="H323" s="728" t="s">
        <v>3166</v>
      </c>
      <c r="I323" s="775">
        <v>178</v>
      </c>
      <c r="J323" s="775">
        <v>849</v>
      </c>
      <c r="K323" s="784">
        <v>43647</v>
      </c>
      <c r="L323" s="785">
        <v>44043</v>
      </c>
      <c r="M323" s="775">
        <v>154</v>
      </c>
      <c r="N323" s="775"/>
      <c r="O323" s="773"/>
      <c r="P323" s="775"/>
      <c r="Q323" s="775"/>
      <c r="R323" s="775"/>
      <c r="S323" s="775">
        <v>3</v>
      </c>
      <c r="T323" s="775"/>
      <c r="U323" s="776"/>
      <c r="V323" s="775">
        <v>35</v>
      </c>
      <c r="W323" s="775" t="s">
        <v>130</v>
      </c>
      <c r="X323" s="775">
        <v>1</v>
      </c>
      <c r="Y323" s="775">
        <v>2</v>
      </c>
      <c r="Z323" s="775"/>
      <c r="AA323" s="775"/>
      <c r="AB323" s="775"/>
      <c r="AC323" s="776"/>
      <c r="AD323" s="775"/>
      <c r="AE323" s="775"/>
      <c r="AF323" s="775"/>
      <c r="AG323" s="775"/>
      <c r="AH323" s="775"/>
      <c r="AI323" s="775"/>
      <c r="AJ323" s="773">
        <v>12</v>
      </c>
      <c r="AK323" s="775"/>
      <c r="AL323" s="773"/>
      <c r="AM323" s="773"/>
      <c r="AN323" s="776"/>
      <c r="AO323" s="769"/>
      <c r="AP323" s="769"/>
      <c r="AQ323" s="773"/>
      <c r="AR323" s="773"/>
      <c r="AS323" s="773"/>
      <c r="AT32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23" s="779">
        <f>WWWW[[#This Row],[%Equitable and continuous access to sufficient quantity of safe drinking water]]*WWWW[[#This Row],[Total PoP ]]</f>
        <v>0</v>
      </c>
      <c r="AV32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3.5335689045936395E-3</v>
      </c>
      <c r="AW323" s="779">
        <f>WWWW[[#This Row],[% Access to unimproved water points]]*WWWW[[#This Row],[Total PoP ]]</f>
        <v>3</v>
      </c>
      <c r="AX32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3.5335689045936395E-3</v>
      </c>
      <c r="AY32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v>
      </c>
      <c r="AZ323" s="779">
        <f>WWWW[[#This Row],[HRP1]]/250</f>
        <v>1.2E-2</v>
      </c>
      <c r="BA323" s="780">
        <f>1-WWWW[[#This Row],[% Equitable and continuous access to sufficient quantity of domestic water]]</f>
        <v>0.99646643109540634</v>
      </c>
      <c r="BB323" s="779">
        <f>WWWW[[#This Row],[%equitable and continuous access to sufficient quantity of safe drinking and domestic water''s GAP]]*WWWW[[#This Row],[Total PoP ]]</f>
        <v>846</v>
      </c>
      <c r="BC323" s="781">
        <f>IF(WWWW[[#This Row],[Total required water points]]-WWWW[[#This Row],['#Water points coverage]]&lt;0,0,WWWW[[#This Row],[Total required water points]]-WWWW[[#This Row],['#Water points coverage]])</f>
        <v>2.988</v>
      </c>
      <c r="BD323" s="781">
        <f>ROUND(IF(WWWW[[#This Row],[Total PoP ]]&lt;250,1,WWWW[[#This Row],[Total PoP ]]/250),0)</f>
        <v>3</v>
      </c>
      <c r="BE32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0.24734982332155478</v>
      </c>
      <c r="BF323" s="779">
        <f>WWWW[[#This Row],[% people access to functioning Latrine]]*WWWW[[#This Row],[Total PoP ]]</f>
        <v>210</v>
      </c>
      <c r="BG323" s="781">
        <f>WWWW[[#This Row],['#_of_Functioning_latrines_in_school]]*50</f>
        <v>50</v>
      </c>
      <c r="BH323" s="781">
        <f>ROUND((WWWW[[#This Row],[Total PoP ]]/6),0)</f>
        <v>142</v>
      </c>
      <c r="BI323" s="781">
        <f>IF(WWWW[[#This Row],[Total required Latrines]]-(WWWW[[#This Row],['#_of_sanitary_fly-proof_HH_latrines]])&lt;0,0,WWWW[[#This Row],[Total required Latrines]]-(WWWW[[#This Row],['#_of_sanitary_fly-proof_HH_latrines]]))</f>
        <v>107</v>
      </c>
      <c r="BJ323" s="778">
        <f>1-WWWW[[#This Row],[% people access to functioning Latrine]]</f>
        <v>0.75265017667844525</v>
      </c>
      <c r="BK32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23" s="772">
        <f>IF(WWWW[[#This Row],['#_of_functional_handwashing_facilities_at_HH_level]]*6&gt;WWWW[[#This Row],[Total PoP ]],WWWW[[#This Row],[Total PoP ]],WWWW[[#This Row],['#_of_functional_handwashing_facilities_at_HH_level]]*6)</f>
        <v>72</v>
      </c>
      <c r="BM323" s="781">
        <f>IF(WWWW[[#This Row],['# people reached by regular dedicated hygiene promotion]]&gt;WWWW[[#This Row],['# People received regular supply of hygiene items]],WWWW[[#This Row],['# people reached by regular dedicated hygiene promotion]],WWWW[[#This Row],['# People received regular supply of hygiene items]])</f>
        <v>0</v>
      </c>
      <c r="BN323" s="780">
        <f>IF(WWWW[[#This Row],[HRP3]]/WWWW[[#This Row],[Total PoP ]]&gt;100%,100%,WWWW[[#This Row],[HRP3]]/WWWW[[#This Row],[Total PoP ]])</f>
        <v>0</v>
      </c>
      <c r="BO323" s="778">
        <f>1-WWWW[[#This Row],[Hygiene Coverage%]]</f>
        <v>1</v>
      </c>
      <c r="BP323" s="777">
        <f>WWWW[[#This Row],['# people reached by regular dedicated hygiene promotion]]/WWWW[[#This Row],[Total PoP ]]</f>
        <v>0</v>
      </c>
      <c r="BQ32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23" s="770">
        <f>WWWW[[#This Row],['#_of_affected_women_and_girls_receiving_a_sufficient_quantity_of_sanitary_pads]]</f>
        <v>0</v>
      </c>
      <c r="BS323" s="773">
        <f>IF(WWWW[[#This Row],['# People with access to soap]]&gt;WWWW[[#This Row],['# People with access to Sanity Pads]],WWWW[[#This Row],['# People with access to soap]],WWWW[[#This Row],['# People with access to Sanity Pads]])</f>
        <v>0</v>
      </c>
      <c r="BT323" s="772" t="str">
        <f>IF(OR(WWWW[[#This Row],['#of students in school]]="",WWWW[[#This Row],['#of students in school]]=0),"No","Yes")</f>
        <v>Yes</v>
      </c>
      <c r="BU323" s="782" t="str">
        <f>VLOOKUP(WWWW[[#This Row],[Village  Name]],SiteDB6[[Site Name]:[Location Type 1]],9,FALSE)</f>
        <v>Village</v>
      </c>
      <c r="BV323" s="782" t="str">
        <f>VLOOKUP(WWWW[[#This Row],[Village  Name]],SiteDB6[[Site Name]:[Type of Accommodation]],10,FALSE)</f>
        <v>Village</v>
      </c>
      <c r="BW323" s="782">
        <f>VLOOKUP(WWWW[[#This Row],[Village  Name]],SiteDB6[[Site Name]:[Ethnic or GCA/NGCA]],11,FALSE)</f>
        <v>0</v>
      </c>
      <c r="BX323" s="782">
        <f>VLOOKUP(WWWW[[#This Row],[Village  Name]],SiteDB6[[Site Name]:[Lat]],12,FALSE)</f>
        <v>92.998542785644503</v>
      </c>
      <c r="BY323" s="782">
        <f>VLOOKUP(WWWW[[#This Row],[Village  Name]],SiteDB6[[Site Name]:[Long]],13,FALSE)</f>
        <v>20.6563606262207</v>
      </c>
      <c r="BZ323" s="782">
        <f>VLOOKUP(WWWW[[#This Row],[Village  Name]],SiteDB6[[Site Name]:[Pcode]],3,FALSE)</f>
        <v>196940</v>
      </c>
      <c r="CA323" s="782" t="str">
        <f t="shared" si="20"/>
        <v>Covered</v>
      </c>
      <c r="CB323" s="783"/>
    </row>
    <row r="324" spans="1:80">
      <c r="A324" s="774" t="s">
        <v>3199</v>
      </c>
      <c r="B324" s="727" t="s">
        <v>318</v>
      </c>
      <c r="C324" s="728" t="s">
        <v>318</v>
      </c>
      <c r="D324" s="728" t="s">
        <v>334</v>
      </c>
      <c r="E324" s="728" t="s">
        <v>2648</v>
      </c>
      <c r="F324" s="728" t="s">
        <v>302</v>
      </c>
      <c r="G324" s="644" t="str">
        <f>VLOOKUP(WWWW[[#This Row],[Village  Name]],SiteDB6[[Site Name]:[Location Type]],8,FALSE)</f>
        <v>Village</v>
      </c>
      <c r="H324" s="728" t="s">
        <v>3157</v>
      </c>
      <c r="I324" s="775">
        <v>176</v>
      </c>
      <c r="J324" s="775">
        <v>880</v>
      </c>
      <c r="K324" s="784">
        <v>43647</v>
      </c>
      <c r="L324" s="785">
        <v>44043</v>
      </c>
      <c r="M324" s="775">
        <v>105</v>
      </c>
      <c r="N324" s="775"/>
      <c r="O324" s="773"/>
      <c r="P324" s="775"/>
      <c r="Q324" s="775"/>
      <c r="R324" s="775"/>
      <c r="S324" s="775">
        <v>3</v>
      </c>
      <c r="T324" s="775"/>
      <c r="U324" s="776"/>
      <c r="V324" s="775">
        <v>50</v>
      </c>
      <c r="W324" s="775" t="s">
        <v>130</v>
      </c>
      <c r="X324" s="775">
        <v>1</v>
      </c>
      <c r="Y324" s="775">
        <v>2</v>
      </c>
      <c r="Z324" s="775"/>
      <c r="AA324" s="775"/>
      <c r="AB324" s="775"/>
      <c r="AC324" s="776"/>
      <c r="AD324" s="775"/>
      <c r="AE324" s="775"/>
      <c r="AF324" s="775"/>
      <c r="AG324" s="775"/>
      <c r="AH324" s="775"/>
      <c r="AI324" s="775"/>
      <c r="AJ324" s="773">
        <v>12</v>
      </c>
      <c r="AK324" s="775"/>
      <c r="AL324" s="773"/>
      <c r="AM324" s="773"/>
      <c r="AN324" s="776"/>
      <c r="AO324" s="769"/>
      <c r="AP324" s="769"/>
      <c r="AQ324" s="773"/>
      <c r="AR324" s="773"/>
      <c r="AS324" s="773"/>
      <c r="AT32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24" s="779">
        <f>WWWW[[#This Row],[%Equitable and continuous access to sufficient quantity of safe drinking water]]*WWWW[[#This Row],[Total PoP ]]</f>
        <v>0</v>
      </c>
      <c r="AV32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3.4090909090909089E-3</v>
      </c>
      <c r="AW324" s="779">
        <f>WWWW[[#This Row],[% Access to unimproved water points]]*WWWW[[#This Row],[Total PoP ]]</f>
        <v>3</v>
      </c>
      <c r="AX32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3.4090909090909089E-3</v>
      </c>
      <c r="AY32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v>
      </c>
      <c r="AZ324" s="779">
        <f>WWWW[[#This Row],[HRP1]]/250</f>
        <v>1.2E-2</v>
      </c>
      <c r="BA324" s="780">
        <f>1-WWWW[[#This Row],[% Equitable and continuous access to sufficient quantity of domestic water]]</f>
        <v>0.99659090909090908</v>
      </c>
      <c r="BB324" s="779">
        <f>WWWW[[#This Row],[%equitable and continuous access to sufficient quantity of safe drinking and domestic water''s GAP]]*WWWW[[#This Row],[Total PoP ]]</f>
        <v>877</v>
      </c>
      <c r="BC324" s="781">
        <f>IF(WWWW[[#This Row],[Total required water points]]-WWWW[[#This Row],['#Water points coverage]]&lt;0,0,WWWW[[#This Row],[Total required water points]]-WWWW[[#This Row],['#Water points coverage]])</f>
        <v>3.988</v>
      </c>
      <c r="BD324" s="781">
        <f>ROUND(IF(WWWW[[#This Row],[Total PoP ]]&lt;250,1,WWWW[[#This Row],[Total PoP ]]/250),0)</f>
        <v>4</v>
      </c>
      <c r="BE32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0.34090909090909088</v>
      </c>
      <c r="BF324" s="779">
        <f>WWWW[[#This Row],[% people access to functioning Latrine]]*WWWW[[#This Row],[Total PoP ]]</f>
        <v>300</v>
      </c>
      <c r="BG324" s="781">
        <f>WWWW[[#This Row],['#_of_Functioning_latrines_in_school]]*50</f>
        <v>50</v>
      </c>
      <c r="BH324" s="781">
        <f>ROUND((WWWW[[#This Row],[Total PoP ]]/6),0)</f>
        <v>147</v>
      </c>
      <c r="BI324" s="781">
        <f>IF(WWWW[[#This Row],[Total required Latrines]]-(WWWW[[#This Row],['#_of_sanitary_fly-proof_HH_latrines]])&lt;0,0,WWWW[[#This Row],[Total required Latrines]]-(WWWW[[#This Row],['#_of_sanitary_fly-proof_HH_latrines]]))</f>
        <v>97</v>
      </c>
      <c r="BJ324" s="778">
        <f>1-WWWW[[#This Row],[% people access to functioning Latrine]]</f>
        <v>0.65909090909090917</v>
      </c>
      <c r="BK32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24" s="772">
        <f>IF(WWWW[[#This Row],['#_of_functional_handwashing_facilities_at_HH_level]]*6&gt;WWWW[[#This Row],[Total PoP ]],WWWW[[#This Row],[Total PoP ]],WWWW[[#This Row],['#_of_functional_handwashing_facilities_at_HH_level]]*6)</f>
        <v>72</v>
      </c>
      <c r="BM324" s="781">
        <f>IF(WWWW[[#This Row],['# people reached by regular dedicated hygiene promotion]]&gt;WWWW[[#This Row],['# People received regular supply of hygiene items]],WWWW[[#This Row],['# people reached by regular dedicated hygiene promotion]],WWWW[[#This Row],['# People received regular supply of hygiene items]])</f>
        <v>0</v>
      </c>
      <c r="BN324" s="780">
        <f>IF(WWWW[[#This Row],[HRP3]]/WWWW[[#This Row],[Total PoP ]]&gt;100%,100%,WWWW[[#This Row],[HRP3]]/WWWW[[#This Row],[Total PoP ]])</f>
        <v>0</v>
      </c>
      <c r="BO324" s="778">
        <f>1-WWWW[[#This Row],[Hygiene Coverage%]]</f>
        <v>1</v>
      </c>
      <c r="BP324" s="777">
        <f>WWWW[[#This Row],['# people reached by regular dedicated hygiene promotion]]/WWWW[[#This Row],[Total PoP ]]</f>
        <v>0</v>
      </c>
      <c r="BQ32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24" s="770">
        <f>WWWW[[#This Row],['#_of_affected_women_and_girls_receiving_a_sufficient_quantity_of_sanitary_pads]]</f>
        <v>0</v>
      </c>
      <c r="BS324" s="773">
        <f>IF(WWWW[[#This Row],['# People with access to soap]]&gt;WWWW[[#This Row],['# People with access to Sanity Pads]],WWWW[[#This Row],['# People with access to soap]],WWWW[[#This Row],['# People with access to Sanity Pads]])</f>
        <v>0</v>
      </c>
      <c r="BT324" s="772" t="str">
        <f>IF(OR(WWWW[[#This Row],['#of students in school]]="",WWWW[[#This Row],['#of students in school]]=0),"No","Yes")</f>
        <v>Yes</v>
      </c>
      <c r="BU324" s="782" t="str">
        <f>VLOOKUP(WWWW[[#This Row],[Village  Name]],SiteDB6[[Site Name]:[Location Type 1]],9,FALSE)</f>
        <v>Village</v>
      </c>
      <c r="BV324" s="782" t="str">
        <f>VLOOKUP(WWWW[[#This Row],[Village  Name]],SiteDB6[[Site Name]:[Type of Accommodation]],10,FALSE)</f>
        <v>Village</v>
      </c>
      <c r="BW324" s="782">
        <f>VLOOKUP(WWWW[[#This Row],[Village  Name]],SiteDB6[[Site Name]:[Ethnic or GCA/NGCA]],11,FALSE)</f>
        <v>0</v>
      </c>
      <c r="BX324" s="782">
        <f>VLOOKUP(WWWW[[#This Row],[Village  Name]],SiteDB6[[Site Name]:[Lat]],12,FALSE)</f>
        <v>92.983703613281307</v>
      </c>
      <c r="BY324" s="782">
        <f>VLOOKUP(WWWW[[#This Row],[Village  Name]],SiteDB6[[Site Name]:[Long]],13,FALSE)</f>
        <v>20.776130676269499</v>
      </c>
      <c r="BZ324" s="782">
        <f>VLOOKUP(WWWW[[#This Row],[Village  Name]],SiteDB6[[Site Name]:[Pcode]],3,FALSE)</f>
        <v>196962</v>
      </c>
      <c r="CA324" s="782" t="str">
        <f t="shared" si="20"/>
        <v>Covered</v>
      </c>
      <c r="CB324" s="783"/>
    </row>
    <row r="325" spans="1:80">
      <c r="A325" s="774" t="s">
        <v>3199</v>
      </c>
      <c r="B325" s="727" t="s">
        <v>318</v>
      </c>
      <c r="C325" s="728" t="s">
        <v>318</v>
      </c>
      <c r="D325" s="728" t="s">
        <v>334</v>
      </c>
      <c r="E325" s="728" t="s">
        <v>2648</v>
      </c>
      <c r="F325" s="728" t="s">
        <v>302</v>
      </c>
      <c r="G325" s="644" t="str">
        <f>VLOOKUP(WWWW[[#This Row],[Village  Name]],SiteDB6[[Site Name]:[Location Type]],8,FALSE)</f>
        <v>Village</v>
      </c>
      <c r="H325" s="728" t="s">
        <v>3167</v>
      </c>
      <c r="I325" s="775">
        <v>29</v>
      </c>
      <c r="J325" s="775">
        <v>137</v>
      </c>
      <c r="K325" s="784">
        <v>43647</v>
      </c>
      <c r="L325" s="785">
        <v>44043</v>
      </c>
      <c r="M325" s="775">
        <v>30</v>
      </c>
      <c r="N325" s="775"/>
      <c r="O325" s="773"/>
      <c r="P325" s="775"/>
      <c r="Q325" s="775">
        <v>2</v>
      </c>
      <c r="R325" s="775"/>
      <c r="S325" s="775">
        <v>2</v>
      </c>
      <c r="T325" s="775"/>
      <c r="U325" s="776"/>
      <c r="V325" s="775">
        <v>15</v>
      </c>
      <c r="W325" s="775" t="s">
        <v>130</v>
      </c>
      <c r="X325" s="775"/>
      <c r="Y325" s="775"/>
      <c r="Z325" s="775"/>
      <c r="AA325" s="775"/>
      <c r="AB325" s="775"/>
      <c r="AC325" s="776"/>
      <c r="AD325" s="775"/>
      <c r="AE325" s="775"/>
      <c r="AF325" s="775"/>
      <c r="AG325" s="775"/>
      <c r="AH325" s="775"/>
      <c r="AI325" s="775"/>
      <c r="AJ325" s="773">
        <v>12</v>
      </c>
      <c r="AK325" s="775"/>
      <c r="AL325" s="773"/>
      <c r="AM325" s="773"/>
      <c r="AN325" s="776"/>
      <c r="AO325" s="769"/>
      <c r="AP325" s="769"/>
      <c r="AQ325" s="773"/>
      <c r="AR325" s="773"/>
      <c r="AS325" s="773"/>
      <c r="AT32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25" s="779">
        <f>WWWW[[#This Row],[%Equitable and continuous access to sufficient quantity of safe drinking water]]*WWWW[[#This Row],[Total PoP ]]</f>
        <v>0</v>
      </c>
      <c r="AV32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25" s="779">
        <f>WWWW[[#This Row],[% Access to unimproved water points]]*WWWW[[#This Row],[Total PoP ]]</f>
        <v>137</v>
      </c>
      <c r="AX32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2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137</v>
      </c>
      <c r="AZ325" s="779">
        <f>WWWW[[#This Row],[HRP1]]/250</f>
        <v>0.54800000000000004</v>
      </c>
      <c r="BA325" s="780">
        <f>1-WWWW[[#This Row],[% Equitable and continuous access to sufficient quantity of domestic water]]</f>
        <v>0</v>
      </c>
      <c r="BB325" s="779">
        <f>WWWW[[#This Row],[%equitable and continuous access to sufficient quantity of safe drinking and domestic water''s GAP]]*WWWW[[#This Row],[Total PoP ]]</f>
        <v>0</v>
      </c>
      <c r="BC325" s="781">
        <f>IF(WWWW[[#This Row],[Total required water points]]-WWWW[[#This Row],['#Water points coverage]]&lt;0,0,WWWW[[#This Row],[Total required water points]]-WWWW[[#This Row],['#Water points coverage]])</f>
        <v>0.45199999999999996</v>
      </c>
      <c r="BD325" s="781">
        <f>ROUND(IF(WWWW[[#This Row],[Total PoP ]]&lt;250,1,WWWW[[#This Row],[Total PoP ]]/250),0)</f>
        <v>1</v>
      </c>
      <c r="BE32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0.65693430656934304</v>
      </c>
      <c r="BF325" s="779">
        <f>WWWW[[#This Row],[% people access to functioning Latrine]]*WWWW[[#This Row],[Total PoP ]]</f>
        <v>90</v>
      </c>
      <c r="BG325" s="781">
        <f>WWWW[[#This Row],['#_of_Functioning_latrines_in_school]]*50</f>
        <v>0</v>
      </c>
      <c r="BH325" s="781">
        <f>ROUND((WWWW[[#This Row],[Total PoP ]]/6),0)</f>
        <v>23</v>
      </c>
      <c r="BI325" s="781">
        <f>IF(WWWW[[#This Row],[Total required Latrines]]-(WWWW[[#This Row],['#_of_sanitary_fly-proof_HH_latrines]])&lt;0,0,WWWW[[#This Row],[Total required Latrines]]-(WWWW[[#This Row],['#_of_sanitary_fly-proof_HH_latrines]]))</f>
        <v>8</v>
      </c>
      <c r="BJ325" s="778">
        <f>1-WWWW[[#This Row],[% people access to functioning Latrine]]</f>
        <v>0.34306569343065696</v>
      </c>
      <c r="BK32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25" s="772">
        <f>IF(WWWW[[#This Row],['#_of_functional_handwashing_facilities_at_HH_level]]*6&gt;WWWW[[#This Row],[Total PoP ]],WWWW[[#This Row],[Total PoP ]],WWWW[[#This Row],['#_of_functional_handwashing_facilities_at_HH_level]]*6)</f>
        <v>72</v>
      </c>
      <c r="BM325" s="781">
        <f>IF(WWWW[[#This Row],['# people reached by regular dedicated hygiene promotion]]&gt;WWWW[[#This Row],['# People received regular supply of hygiene items]],WWWW[[#This Row],['# people reached by regular dedicated hygiene promotion]],WWWW[[#This Row],['# People received regular supply of hygiene items]])</f>
        <v>0</v>
      </c>
      <c r="BN325" s="780">
        <f>IF(WWWW[[#This Row],[HRP3]]/WWWW[[#This Row],[Total PoP ]]&gt;100%,100%,WWWW[[#This Row],[HRP3]]/WWWW[[#This Row],[Total PoP ]])</f>
        <v>0</v>
      </c>
      <c r="BO325" s="778">
        <f>1-WWWW[[#This Row],[Hygiene Coverage%]]</f>
        <v>1</v>
      </c>
      <c r="BP325" s="777">
        <f>WWWW[[#This Row],['# people reached by regular dedicated hygiene promotion]]/WWWW[[#This Row],[Total PoP ]]</f>
        <v>0</v>
      </c>
      <c r="BQ32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25" s="770">
        <f>WWWW[[#This Row],['#_of_affected_women_and_girls_receiving_a_sufficient_quantity_of_sanitary_pads]]</f>
        <v>0</v>
      </c>
      <c r="BS325" s="773">
        <f>IF(WWWW[[#This Row],['# People with access to soap]]&gt;WWWW[[#This Row],['# People with access to Sanity Pads]],WWWW[[#This Row],['# People with access to soap]],WWWW[[#This Row],['# People with access to Sanity Pads]])</f>
        <v>0</v>
      </c>
      <c r="BT325" s="772" t="str">
        <f>IF(OR(WWWW[[#This Row],['#of students in school]]="",WWWW[[#This Row],['#of students in school]]=0),"No","Yes")</f>
        <v>Yes</v>
      </c>
      <c r="BU325" s="782" t="str">
        <f>VLOOKUP(WWWW[[#This Row],[Village  Name]],SiteDB6[[Site Name]:[Location Type 1]],9,FALSE)</f>
        <v>Village</v>
      </c>
      <c r="BV325" s="782" t="str">
        <f>VLOOKUP(WWWW[[#This Row],[Village  Name]],SiteDB6[[Site Name]:[Type of Accommodation]],10,FALSE)</f>
        <v>Village</v>
      </c>
      <c r="BW325" s="782">
        <f>VLOOKUP(WWWW[[#This Row],[Village  Name]],SiteDB6[[Site Name]:[Ethnic or GCA/NGCA]],11,FALSE)</f>
        <v>0</v>
      </c>
      <c r="BX325" s="782">
        <f>VLOOKUP(WWWW[[#This Row],[Village  Name]],SiteDB6[[Site Name]:[Lat]],12,FALSE)</f>
        <v>92.929412841796903</v>
      </c>
      <c r="BY325" s="782">
        <f>VLOOKUP(WWWW[[#This Row],[Village  Name]],SiteDB6[[Site Name]:[Long]],13,FALSE)</f>
        <v>20.642980575561499</v>
      </c>
      <c r="BZ325" s="782">
        <f>VLOOKUP(WWWW[[#This Row],[Village  Name]],SiteDB6[[Site Name]:[Pcode]],3,FALSE)</f>
        <v>196919</v>
      </c>
      <c r="CA325" s="782" t="str">
        <f t="shared" si="20"/>
        <v>Covered</v>
      </c>
      <c r="CB325" s="783"/>
    </row>
    <row r="326" spans="1:80">
      <c r="A326" s="774" t="s">
        <v>3199</v>
      </c>
      <c r="B326" s="727" t="s">
        <v>318</v>
      </c>
      <c r="C326" s="728" t="s">
        <v>318</v>
      </c>
      <c r="D326" s="728" t="s">
        <v>334</v>
      </c>
      <c r="E326" s="728" t="s">
        <v>2648</v>
      </c>
      <c r="F326" s="728" t="s">
        <v>302</v>
      </c>
      <c r="G326" s="644" t="str">
        <f>VLOOKUP(WWWW[[#This Row],[Village  Name]],SiteDB6[[Site Name]:[Location Type]],8,FALSE)</f>
        <v>Village</v>
      </c>
      <c r="H326" s="728" t="s">
        <v>552</v>
      </c>
      <c r="I326" s="775">
        <v>361</v>
      </c>
      <c r="J326" s="775">
        <v>1669</v>
      </c>
      <c r="K326" s="784">
        <v>43647</v>
      </c>
      <c r="L326" s="785">
        <v>44043</v>
      </c>
      <c r="M326" s="775">
        <v>512</v>
      </c>
      <c r="N326" s="775"/>
      <c r="O326" s="773"/>
      <c r="P326" s="775"/>
      <c r="Q326" s="775">
        <v>4</v>
      </c>
      <c r="R326" s="775"/>
      <c r="S326" s="775">
        <v>5</v>
      </c>
      <c r="T326" s="775">
        <v>1</v>
      </c>
      <c r="U326" s="776"/>
      <c r="V326" s="775">
        <v>210</v>
      </c>
      <c r="W326" s="775" t="s">
        <v>130</v>
      </c>
      <c r="X326" s="775">
        <v>4</v>
      </c>
      <c r="Y326" s="775">
        <v>6</v>
      </c>
      <c r="Z326" s="775"/>
      <c r="AA326" s="775">
        <v>1</v>
      </c>
      <c r="AB326" s="775"/>
      <c r="AC326" s="776"/>
      <c r="AD326" s="775"/>
      <c r="AE326" s="775"/>
      <c r="AF326" s="775"/>
      <c r="AG326" s="775"/>
      <c r="AH326" s="775"/>
      <c r="AI326" s="775"/>
      <c r="AJ326" s="773">
        <v>12</v>
      </c>
      <c r="AK326" s="775"/>
      <c r="AL326" s="773"/>
      <c r="AM326" s="773"/>
      <c r="AN326" s="776"/>
      <c r="AO326" s="769"/>
      <c r="AP326" s="769"/>
      <c r="AQ326" s="773"/>
      <c r="AR326" s="773"/>
      <c r="AS326" s="773"/>
      <c r="AT32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0.14979029358897544</v>
      </c>
      <c r="AU326" s="779">
        <f>WWWW[[#This Row],[%Equitable and continuous access to sufficient quantity of safe drinking water]]*WWWW[[#This Row],[Total PoP ]]</f>
        <v>250</v>
      </c>
      <c r="AV32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26" s="779">
        <f>WWWW[[#This Row],[% Access to unimproved water points]]*WWWW[[#This Row],[Total PoP ]]</f>
        <v>1669</v>
      </c>
      <c r="AX32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2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1669</v>
      </c>
      <c r="AZ326" s="779">
        <f>WWWW[[#This Row],[HRP1]]/250</f>
        <v>6.6760000000000002</v>
      </c>
      <c r="BA326" s="780">
        <f>1-WWWW[[#This Row],[% Equitable and continuous access to sufficient quantity of domestic water]]</f>
        <v>0</v>
      </c>
      <c r="BB326" s="779">
        <f>WWWW[[#This Row],[%equitable and continuous access to sufficient quantity of safe drinking and domestic water''s GAP]]*WWWW[[#This Row],[Total PoP ]]</f>
        <v>0</v>
      </c>
      <c r="BC326" s="781">
        <f>IF(WWWW[[#This Row],[Total required water points]]-WWWW[[#This Row],['#Water points coverage]]&lt;0,0,WWWW[[#This Row],[Total required water points]]-WWWW[[#This Row],['#Water points coverage]])</f>
        <v>0.32399999999999984</v>
      </c>
      <c r="BD326" s="781">
        <f>ROUND(IF(WWWW[[#This Row],[Total PoP ]]&lt;250,1,WWWW[[#This Row],[Total PoP ]]/250),0)</f>
        <v>7</v>
      </c>
      <c r="BE32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0.75494307968843621</v>
      </c>
      <c r="BF326" s="779">
        <f>WWWW[[#This Row],[% people access to functioning Latrine]]*WWWW[[#This Row],[Total PoP ]]</f>
        <v>1260</v>
      </c>
      <c r="BG326" s="781">
        <f>WWWW[[#This Row],['#_of_Functioning_latrines_in_school]]*50</f>
        <v>200</v>
      </c>
      <c r="BH326" s="781">
        <f>ROUND((WWWW[[#This Row],[Total PoP ]]/6),0)</f>
        <v>278</v>
      </c>
      <c r="BI326" s="781">
        <f>IF(WWWW[[#This Row],[Total required Latrines]]-(WWWW[[#This Row],['#_of_sanitary_fly-proof_HH_latrines]])&lt;0,0,WWWW[[#This Row],[Total required Latrines]]-(WWWW[[#This Row],['#_of_sanitary_fly-proof_HH_latrines]]))</f>
        <v>68</v>
      </c>
      <c r="BJ326" s="778">
        <f>1-WWWW[[#This Row],[% people access to functioning Latrine]]</f>
        <v>0.24505692031156379</v>
      </c>
      <c r="BK32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26" s="772">
        <f>IF(WWWW[[#This Row],['#_of_functional_handwashing_facilities_at_HH_level]]*6&gt;WWWW[[#This Row],[Total PoP ]],WWWW[[#This Row],[Total PoP ]],WWWW[[#This Row],['#_of_functional_handwashing_facilities_at_HH_level]]*6)</f>
        <v>72</v>
      </c>
      <c r="BM326" s="781">
        <f>IF(WWWW[[#This Row],['# people reached by regular dedicated hygiene promotion]]&gt;WWWW[[#This Row],['# People received regular supply of hygiene items]],WWWW[[#This Row],['# people reached by regular dedicated hygiene promotion]],WWWW[[#This Row],['# People received regular supply of hygiene items]])</f>
        <v>0</v>
      </c>
      <c r="BN326" s="780">
        <f>IF(WWWW[[#This Row],[HRP3]]/WWWW[[#This Row],[Total PoP ]]&gt;100%,100%,WWWW[[#This Row],[HRP3]]/WWWW[[#This Row],[Total PoP ]])</f>
        <v>0</v>
      </c>
      <c r="BO326" s="778">
        <f>1-WWWW[[#This Row],[Hygiene Coverage%]]</f>
        <v>1</v>
      </c>
      <c r="BP326" s="777">
        <f>WWWW[[#This Row],['# people reached by regular dedicated hygiene promotion]]/WWWW[[#This Row],[Total PoP ]]</f>
        <v>0</v>
      </c>
      <c r="BQ32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26" s="770">
        <f>WWWW[[#This Row],['#_of_affected_women_and_girls_receiving_a_sufficient_quantity_of_sanitary_pads]]</f>
        <v>0</v>
      </c>
      <c r="BS326" s="773">
        <f>IF(WWWW[[#This Row],['# People with access to soap]]&gt;WWWW[[#This Row],['# People with access to Sanity Pads]],WWWW[[#This Row],['# People with access to soap]],WWWW[[#This Row],['# People with access to Sanity Pads]])</f>
        <v>0</v>
      </c>
      <c r="BT326" s="772" t="str">
        <f>IF(OR(WWWW[[#This Row],['#of students in school]]="",WWWW[[#This Row],['#of students in school]]=0),"No","Yes")</f>
        <v>Yes</v>
      </c>
      <c r="BU326" s="782" t="str">
        <f>VLOOKUP(WWWW[[#This Row],[Village  Name]],SiteDB6[[Site Name]:[Location Type 1]],9,FALSE)</f>
        <v>Village</v>
      </c>
      <c r="BV326" s="782" t="str">
        <f>VLOOKUP(WWWW[[#This Row],[Village  Name]],SiteDB6[[Site Name]:[Type of Accommodation]],10,FALSE)</f>
        <v>Village</v>
      </c>
      <c r="BW326" s="782" t="str">
        <f>VLOOKUP(WWWW[[#This Row],[Village  Name]],SiteDB6[[Site Name]:[Ethnic or GCA/NGCA]],11,FALSE)</f>
        <v>Rakhine</v>
      </c>
      <c r="BX326" s="782">
        <f>VLOOKUP(WWWW[[#This Row],[Village  Name]],SiteDB6[[Site Name]:[Lat]],12,FALSE)</f>
        <v>20.705930710000001</v>
      </c>
      <c r="BY326" s="782">
        <f>VLOOKUP(WWWW[[#This Row],[Village  Name]],SiteDB6[[Site Name]:[Long]],13,FALSE)</f>
        <v>93.001953130000004</v>
      </c>
      <c r="BZ326" s="782">
        <f>VLOOKUP(WWWW[[#This Row],[Village  Name]],SiteDB6[[Site Name]:[Pcode]],3,FALSE)</f>
        <v>196943</v>
      </c>
      <c r="CA326" s="782" t="str">
        <f t="shared" si="20"/>
        <v>Covered</v>
      </c>
      <c r="CB326" s="783"/>
    </row>
    <row r="327" spans="1:80">
      <c r="A327" s="774" t="s">
        <v>3199</v>
      </c>
      <c r="B327" s="727" t="s">
        <v>318</v>
      </c>
      <c r="C327" s="728" t="s">
        <v>318</v>
      </c>
      <c r="D327" s="728" t="s">
        <v>334</v>
      </c>
      <c r="E327" s="728" t="s">
        <v>2648</v>
      </c>
      <c r="F327" s="728" t="s">
        <v>302</v>
      </c>
      <c r="G327" s="644" t="str">
        <f>VLOOKUP(WWWW[[#This Row],[Village  Name]],SiteDB6[[Site Name]:[Location Type]],8,FALSE)</f>
        <v>Village</v>
      </c>
      <c r="H327" s="728" t="s">
        <v>2280</v>
      </c>
      <c r="I327" s="775">
        <v>86</v>
      </c>
      <c r="J327" s="775">
        <v>404</v>
      </c>
      <c r="K327" s="784">
        <v>43647</v>
      </c>
      <c r="L327" s="785">
        <v>44043</v>
      </c>
      <c r="M327" s="775">
        <v>55</v>
      </c>
      <c r="N327" s="775"/>
      <c r="O327" s="773"/>
      <c r="P327" s="775"/>
      <c r="Q327" s="775">
        <v>3</v>
      </c>
      <c r="R327" s="775"/>
      <c r="S327" s="775"/>
      <c r="T327" s="775"/>
      <c r="U327" s="776"/>
      <c r="V327" s="775">
        <v>35</v>
      </c>
      <c r="W327" s="775" t="s">
        <v>130</v>
      </c>
      <c r="X327" s="775">
        <v>2</v>
      </c>
      <c r="Y327" s="775">
        <v>4</v>
      </c>
      <c r="Z327" s="775"/>
      <c r="AA327" s="775"/>
      <c r="AB327" s="775"/>
      <c r="AC327" s="776"/>
      <c r="AD327" s="775"/>
      <c r="AE327" s="775"/>
      <c r="AF327" s="775"/>
      <c r="AG327" s="775"/>
      <c r="AH327" s="775"/>
      <c r="AI327" s="775"/>
      <c r="AJ327" s="773">
        <v>9</v>
      </c>
      <c r="AK327" s="775"/>
      <c r="AL327" s="773"/>
      <c r="AM327" s="773"/>
      <c r="AN327" s="776"/>
      <c r="AO327" s="769"/>
      <c r="AP327" s="769"/>
      <c r="AQ327" s="773"/>
      <c r="AR327" s="773"/>
      <c r="AS327" s="773"/>
      <c r="AT32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27" s="779">
        <f>WWWW[[#This Row],[%Equitable and continuous access to sufficient quantity of safe drinking water]]*WWWW[[#This Row],[Total PoP ]]</f>
        <v>0</v>
      </c>
      <c r="AV32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27" s="779">
        <f>WWWW[[#This Row],[% Access to unimproved water points]]*WWWW[[#This Row],[Total PoP ]]</f>
        <v>404</v>
      </c>
      <c r="AX32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2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404</v>
      </c>
      <c r="AZ327" s="779">
        <f>WWWW[[#This Row],[HRP1]]/250</f>
        <v>1.6160000000000001</v>
      </c>
      <c r="BA327" s="780">
        <f>1-WWWW[[#This Row],[% Equitable and continuous access to sufficient quantity of domestic water]]</f>
        <v>0</v>
      </c>
      <c r="BB327" s="779">
        <f>WWWW[[#This Row],[%equitable and continuous access to sufficient quantity of safe drinking and domestic water''s GAP]]*WWWW[[#This Row],[Total PoP ]]</f>
        <v>0</v>
      </c>
      <c r="BC327" s="781">
        <f>IF(WWWW[[#This Row],[Total required water points]]-WWWW[[#This Row],['#Water points coverage]]&lt;0,0,WWWW[[#This Row],[Total required water points]]-WWWW[[#This Row],['#Water points coverage]])</f>
        <v>0.3839999999999999</v>
      </c>
      <c r="BD327" s="781">
        <f>ROUND(IF(WWWW[[#This Row],[Total PoP ]]&lt;250,1,WWWW[[#This Row],[Total PoP ]]/250),0)</f>
        <v>2</v>
      </c>
      <c r="BE32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0.51980198019801982</v>
      </c>
      <c r="BF327" s="779">
        <f>WWWW[[#This Row],[% people access to functioning Latrine]]*WWWW[[#This Row],[Total PoP ]]</f>
        <v>210</v>
      </c>
      <c r="BG327" s="781">
        <f>WWWW[[#This Row],['#_of_Functioning_latrines_in_school]]*50</f>
        <v>100</v>
      </c>
      <c r="BH327" s="781">
        <f>ROUND((WWWW[[#This Row],[Total PoP ]]/6),0)</f>
        <v>67</v>
      </c>
      <c r="BI327" s="781">
        <f>IF(WWWW[[#This Row],[Total required Latrines]]-(WWWW[[#This Row],['#_of_sanitary_fly-proof_HH_latrines]])&lt;0,0,WWWW[[#This Row],[Total required Latrines]]-(WWWW[[#This Row],['#_of_sanitary_fly-proof_HH_latrines]]))</f>
        <v>32</v>
      </c>
      <c r="BJ327" s="778">
        <f>1-WWWW[[#This Row],[% people access to functioning Latrine]]</f>
        <v>0.48019801980198018</v>
      </c>
      <c r="BK32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27" s="772">
        <f>IF(WWWW[[#This Row],['#_of_functional_handwashing_facilities_at_HH_level]]*6&gt;WWWW[[#This Row],[Total PoP ]],WWWW[[#This Row],[Total PoP ]],WWWW[[#This Row],['#_of_functional_handwashing_facilities_at_HH_level]]*6)</f>
        <v>54</v>
      </c>
      <c r="BM327" s="781">
        <f>IF(WWWW[[#This Row],['# people reached by regular dedicated hygiene promotion]]&gt;WWWW[[#This Row],['# People received regular supply of hygiene items]],WWWW[[#This Row],['# people reached by regular dedicated hygiene promotion]],WWWW[[#This Row],['# People received regular supply of hygiene items]])</f>
        <v>0</v>
      </c>
      <c r="BN327" s="780">
        <f>IF(WWWW[[#This Row],[HRP3]]/WWWW[[#This Row],[Total PoP ]]&gt;100%,100%,WWWW[[#This Row],[HRP3]]/WWWW[[#This Row],[Total PoP ]])</f>
        <v>0</v>
      </c>
      <c r="BO327" s="778">
        <f>1-WWWW[[#This Row],[Hygiene Coverage%]]</f>
        <v>1</v>
      </c>
      <c r="BP327" s="777">
        <f>WWWW[[#This Row],['# people reached by regular dedicated hygiene promotion]]/WWWW[[#This Row],[Total PoP ]]</f>
        <v>0</v>
      </c>
      <c r="BQ32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27" s="770">
        <f>WWWW[[#This Row],['#_of_affected_women_and_girls_receiving_a_sufficient_quantity_of_sanitary_pads]]</f>
        <v>0</v>
      </c>
      <c r="BS327" s="773">
        <f>IF(WWWW[[#This Row],['# People with access to soap]]&gt;WWWW[[#This Row],['# People with access to Sanity Pads]],WWWW[[#This Row],['# People with access to soap]],WWWW[[#This Row],['# People with access to Sanity Pads]])</f>
        <v>0</v>
      </c>
      <c r="BT327" s="772" t="str">
        <f>IF(OR(WWWW[[#This Row],['#of students in school]]="",WWWW[[#This Row],['#of students in school]]=0),"No","Yes")</f>
        <v>Yes</v>
      </c>
      <c r="BU327" s="782" t="str">
        <f>VLOOKUP(WWWW[[#This Row],[Village  Name]],SiteDB6[[Site Name]:[Location Type 1]],9,FALSE)</f>
        <v>Village</v>
      </c>
      <c r="BV327" s="782" t="str">
        <f>VLOOKUP(WWWW[[#This Row],[Village  Name]],SiteDB6[[Site Name]:[Type of Accommodation]],10,FALSE)</f>
        <v>Village</v>
      </c>
      <c r="BW327" s="782">
        <f>VLOOKUP(WWWW[[#This Row],[Village  Name]],SiteDB6[[Site Name]:[Ethnic or GCA/NGCA]],11,FALSE)</f>
        <v>0</v>
      </c>
      <c r="BX327" s="782">
        <f>VLOOKUP(WWWW[[#This Row],[Village  Name]],SiteDB6[[Site Name]:[Lat]],12,FALSE)</f>
        <v>20.640909189999999</v>
      </c>
      <c r="BY327" s="782">
        <f>VLOOKUP(WWWW[[#This Row],[Village  Name]],SiteDB6[[Site Name]:[Long]],13,FALSE)</f>
        <v>92.979751590000006</v>
      </c>
      <c r="BZ327" s="782">
        <f>VLOOKUP(WWWW[[#This Row],[Village  Name]],SiteDB6[[Site Name]:[Pcode]],3,FALSE)</f>
        <v>196938</v>
      </c>
      <c r="CA327" s="782" t="str">
        <f t="shared" si="20"/>
        <v>Covered</v>
      </c>
      <c r="CB327" s="783"/>
    </row>
    <row r="328" spans="1:80">
      <c r="A328" s="774" t="s">
        <v>3199</v>
      </c>
      <c r="B328" s="727" t="s">
        <v>318</v>
      </c>
      <c r="C328" s="728" t="s">
        <v>318</v>
      </c>
      <c r="D328" s="728" t="s">
        <v>334</v>
      </c>
      <c r="E328" s="728" t="s">
        <v>2648</v>
      </c>
      <c r="F328" s="728" t="s">
        <v>302</v>
      </c>
      <c r="G328" s="644" t="str">
        <f>VLOOKUP(WWWW[[#This Row],[Village  Name]],SiteDB6[[Site Name]:[Location Type]],8,FALSE)</f>
        <v>Village</v>
      </c>
      <c r="H328" s="728" t="s">
        <v>3169</v>
      </c>
      <c r="I328" s="775">
        <v>181</v>
      </c>
      <c r="J328" s="775">
        <v>833</v>
      </c>
      <c r="K328" s="784">
        <v>43647</v>
      </c>
      <c r="L328" s="785">
        <v>44043</v>
      </c>
      <c r="M328" s="775">
        <v>195</v>
      </c>
      <c r="N328" s="775"/>
      <c r="O328" s="773"/>
      <c r="P328" s="775"/>
      <c r="Q328" s="775"/>
      <c r="R328" s="775"/>
      <c r="S328" s="775">
        <v>4</v>
      </c>
      <c r="T328" s="775"/>
      <c r="U328" s="776"/>
      <c r="V328" s="775">
        <v>75</v>
      </c>
      <c r="W328" s="775" t="s">
        <v>130</v>
      </c>
      <c r="X328" s="775">
        <v>1</v>
      </c>
      <c r="Y328" s="775">
        <v>4</v>
      </c>
      <c r="Z328" s="775"/>
      <c r="AA328" s="775"/>
      <c r="AB328" s="775"/>
      <c r="AC328" s="776"/>
      <c r="AD328" s="775"/>
      <c r="AE328" s="775"/>
      <c r="AF328" s="775"/>
      <c r="AG328" s="775"/>
      <c r="AH328" s="775"/>
      <c r="AI328" s="775"/>
      <c r="AJ328" s="773">
        <v>11</v>
      </c>
      <c r="AK328" s="775"/>
      <c r="AL328" s="773"/>
      <c r="AM328" s="773"/>
      <c r="AN328" s="776"/>
      <c r="AO328" s="769"/>
      <c r="AP328" s="769"/>
      <c r="AQ328" s="773"/>
      <c r="AR328" s="773"/>
      <c r="AS328" s="773"/>
      <c r="AT32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28" s="779">
        <f>WWWW[[#This Row],[%Equitable and continuous access to sufficient quantity of safe drinking water]]*WWWW[[#This Row],[Total PoP ]]</f>
        <v>0</v>
      </c>
      <c r="AV32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4.8019207683073226E-3</v>
      </c>
      <c r="AW328" s="779">
        <f>WWWW[[#This Row],[% Access to unimproved water points]]*WWWW[[#This Row],[Total PoP ]]</f>
        <v>3.9999999999999996</v>
      </c>
      <c r="AX32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4.8019207683073226E-3</v>
      </c>
      <c r="AY32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3.9999999999999996</v>
      </c>
      <c r="AZ328" s="779">
        <f>WWWW[[#This Row],[HRP1]]/250</f>
        <v>1.5999999999999997E-2</v>
      </c>
      <c r="BA328" s="780">
        <f>1-WWWW[[#This Row],[% Equitable and continuous access to sufficient quantity of domestic water]]</f>
        <v>0.99519807923169268</v>
      </c>
      <c r="BB328" s="779">
        <f>WWWW[[#This Row],[%equitable and continuous access to sufficient quantity of safe drinking and domestic water''s GAP]]*WWWW[[#This Row],[Total PoP ]]</f>
        <v>829</v>
      </c>
      <c r="BC328" s="781">
        <f>IF(WWWW[[#This Row],[Total required water points]]-WWWW[[#This Row],['#Water points coverage]]&lt;0,0,WWWW[[#This Row],[Total required water points]]-WWWW[[#This Row],['#Water points coverage]])</f>
        <v>2.984</v>
      </c>
      <c r="BD328" s="781">
        <f>ROUND(IF(WWWW[[#This Row],[Total PoP ]]&lt;250,1,WWWW[[#This Row],[Total PoP ]]/250),0)</f>
        <v>3</v>
      </c>
      <c r="BE32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0.54021608643457386</v>
      </c>
      <c r="BF328" s="779">
        <f>WWWW[[#This Row],[% people access to functioning Latrine]]*WWWW[[#This Row],[Total PoP ]]</f>
        <v>450</v>
      </c>
      <c r="BG328" s="781">
        <f>WWWW[[#This Row],['#_of_Functioning_latrines_in_school]]*50</f>
        <v>50</v>
      </c>
      <c r="BH328" s="781">
        <f>ROUND((WWWW[[#This Row],[Total PoP ]]/6),0)</f>
        <v>139</v>
      </c>
      <c r="BI328" s="781">
        <f>IF(WWWW[[#This Row],[Total required Latrines]]-(WWWW[[#This Row],['#_of_sanitary_fly-proof_HH_latrines]])&lt;0,0,WWWW[[#This Row],[Total required Latrines]]-(WWWW[[#This Row],['#_of_sanitary_fly-proof_HH_latrines]]))</f>
        <v>64</v>
      </c>
      <c r="BJ328" s="778">
        <f>1-WWWW[[#This Row],[% people access to functioning Latrine]]</f>
        <v>0.45978391356542614</v>
      </c>
      <c r="BK32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28" s="772">
        <f>IF(WWWW[[#This Row],['#_of_functional_handwashing_facilities_at_HH_level]]*6&gt;WWWW[[#This Row],[Total PoP ]],WWWW[[#This Row],[Total PoP ]],WWWW[[#This Row],['#_of_functional_handwashing_facilities_at_HH_level]]*6)</f>
        <v>66</v>
      </c>
      <c r="BM328" s="781">
        <f>IF(WWWW[[#This Row],['# people reached by regular dedicated hygiene promotion]]&gt;WWWW[[#This Row],['# People received regular supply of hygiene items]],WWWW[[#This Row],['# people reached by regular dedicated hygiene promotion]],WWWW[[#This Row],['# People received regular supply of hygiene items]])</f>
        <v>0</v>
      </c>
      <c r="BN328" s="780">
        <f>IF(WWWW[[#This Row],[HRP3]]/WWWW[[#This Row],[Total PoP ]]&gt;100%,100%,WWWW[[#This Row],[HRP3]]/WWWW[[#This Row],[Total PoP ]])</f>
        <v>0</v>
      </c>
      <c r="BO328" s="778">
        <f>1-WWWW[[#This Row],[Hygiene Coverage%]]</f>
        <v>1</v>
      </c>
      <c r="BP328" s="777">
        <f>WWWW[[#This Row],['# people reached by regular dedicated hygiene promotion]]/WWWW[[#This Row],[Total PoP ]]</f>
        <v>0</v>
      </c>
      <c r="BQ32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28" s="770">
        <f>WWWW[[#This Row],['#_of_affected_women_and_girls_receiving_a_sufficient_quantity_of_sanitary_pads]]</f>
        <v>0</v>
      </c>
      <c r="BS328" s="773">
        <f>IF(WWWW[[#This Row],['# People with access to soap]]&gt;WWWW[[#This Row],['# People with access to Sanity Pads]],WWWW[[#This Row],['# People with access to soap]],WWWW[[#This Row],['# People with access to Sanity Pads]])</f>
        <v>0</v>
      </c>
      <c r="BT328" s="772" t="str">
        <f>IF(OR(WWWW[[#This Row],['#of students in school]]="",WWWW[[#This Row],['#of students in school]]=0),"No","Yes")</f>
        <v>Yes</v>
      </c>
      <c r="BU328" s="782" t="str">
        <f>VLOOKUP(WWWW[[#This Row],[Village  Name]],SiteDB6[[Site Name]:[Location Type 1]],9,FALSE)</f>
        <v>Village</v>
      </c>
      <c r="BV328" s="782" t="str">
        <f>VLOOKUP(WWWW[[#This Row],[Village  Name]],SiteDB6[[Site Name]:[Type of Accommodation]],10,FALSE)</f>
        <v>Village</v>
      </c>
      <c r="BW328" s="782">
        <f>VLOOKUP(WWWW[[#This Row],[Village  Name]],SiteDB6[[Site Name]:[Ethnic or GCA/NGCA]],11,FALSE)</f>
        <v>0</v>
      </c>
      <c r="BX328" s="782">
        <f>VLOOKUP(WWWW[[#This Row],[Village  Name]],SiteDB6[[Site Name]:[Lat]],12,FALSE)</f>
        <v>92.934356689453097</v>
      </c>
      <c r="BY328" s="782">
        <f>VLOOKUP(WWWW[[#This Row],[Village  Name]],SiteDB6[[Site Name]:[Long]],13,FALSE)</f>
        <v>20.657760620117202</v>
      </c>
      <c r="BZ328" s="782">
        <f>VLOOKUP(WWWW[[#This Row],[Village  Name]],SiteDB6[[Site Name]:[Pcode]],3,FALSE)</f>
        <v>196925</v>
      </c>
      <c r="CA328" s="782" t="str">
        <f t="shared" si="20"/>
        <v>Covered</v>
      </c>
      <c r="CB328" s="783"/>
    </row>
    <row r="329" spans="1:80">
      <c r="A329" s="774" t="s">
        <v>3199</v>
      </c>
      <c r="B329" s="727" t="s">
        <v>318</v>
      </c>
      <c r="C329" s="728" t="s">
        <v>318</v>
      </c>
      <c r="D329" s="728" t="s">
        <v>334</v>
      </c>
      <c r="E329" s="728" t="s">
        <v>2648</v>
      </c>
      <c r="F329" s="728" t="s">
        <v>302</v>
      </c>
      <c r="G329" s="644" t="str">
        <f>VLOOKUP(WWWW[[#This Row],[Village  Name]],SiteDB6[[Site Name]:[Location Type]],8,FALSE)</f>
        <v>Village</v>
      </c>
      <c r="H329" s="728" t="s">
        <v>2940</v>
      </c>
      <c r="I329" s="775">
        <v>26</v>
      </c>
      <c r="J329" s="775">
        <v>98</v>
      </c>
      <c r="K329" s="784">
        <v>43647</v>
      </c>
      <c r="L329" s="785">
        <v>44043</v>
      </c>
      <c r="M329" s="775">
        <v>30</v>
      </c>
      <c r="N329" s="775"/>
      <c r="O329" s="773"/>
      <c r="P329" s="775"/>
      <c r="Q329" s="775"/>
      <c r="R329" s="775"/>
      <c r="S329" s="775"/>
      <c r="T329" s="775"/>
      <c r="U329" s="776"/>
      <c r="V329" s="775"/>
      <c r="W329" s="773" t="s">
        <v>130</v>
      </c>
      <c r="X329" s="775"/>
      <c r="Y329" s="775"/>
      <c r="Z329" s="775"/>
      <c r="AA329" s="775"/>
      <c r="AB329" s="775"/>
      <c r="AC329" s="776"/>
      <c r="AD329" s="775"/>
      <c r="AE329" s="775"/>
      <c r="AF329" s="775"/>
      <c r="AG329" s="775"/>
      <c r="AH329" s="775"/>
      <c r="AI329" s="775"/>
      <c r="AJ329" s="773"/>
      <c r="AK329" s="775"/>
      <c r="AL329" s="773"/>
      <c r="AM329" s="773"/>
      <c r="AN329" s="776"/>
      <c r="AO329" s="769"/>
      <c r="AP329" s="769"/>
      <c r="AQ329" s="773"/>
      <c r="AR329" s="773"/>
      <c r="AS329" s="773"/>
      <c r="AT32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29" s="779">
        <f>WWWW[[#This Row],[%Equitable and continuous access to sufficient quantity of safe drinking water]]*WWWW[[#This Row],[Total PoP ]]</f>
        <v>0</v>
      </c>
      <c r="AV32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29" s="779">
        <f>WWWW[[#This Row],[% Access to unimproved water points]]*WWWW[[#This Row],[Total PoP ]]</f>
        <v>0</v>
      </c>
      <c r="AX32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2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29" s="779">
        <f>WWWW[[#This Row],[HRP1]]/250</f>
        <v>0</v>
      </c>
      <c r="BA329" s="780">
        <f>1-WWWW[[#This Row],[% Equitable and continuous access to sufficient quantity of domestic water]]</f>
        <v>1</v>
      </c>
      <c r="BB329" s="779">
        <f>WWWW[[#This Row],[%equitable and continuous access to sufficient quantity of safe drinking and domestic water''s GAP]]*WWWW[[#This Row],[Total PoP ]]</f>
        <v>98</v>
      </c>
      <c r="BC329" s="781">
        <f>IF(WWWW[[#This Row],[Total required water points]]-WWWW[[#This Row],['#Water points coverage]]&lt;0,0,WWWW[[#This Row],[Total required water points]]-WWWW[[#This Row],['#Water points coverage]])</f>
        <v>1</v>
      </c>
      <c r="BD329" s="781">
        <f>ROUND(IF(WWWW[[#This Row],[Total PoP ]]&lt;250,1,WWWW[[#This Row],[Total PoP ]]/250),0)</f>
        <v>1</v>
      </c>
      <c r="BE32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29" s="779">
        <f>WWWW[[#This Row],[% people access to functioning Latrine]]*WWWW[[#This Row],[Total PoP ]]</f>
        <v>0</v>
      </c>
      <c r="BG329" s="781">
        <f>WWWW[[#This Row],['#_of_Functioning_latrines_in_school]]*50</f>
        <v>0</v>
      </c>
      <c r="BH329" s="781">
        <f>ROUND((WWWW[[#This Row],[Total PoP ]]/6),0)</f>
        <v>16</v>
      </c>
      <c r="BI329" s="781">
        <f>IF(WWWW[[#This Row],[Total required Latrines]]-(WWWW[[#This Row],['#_of_sanitary_fly-proof_HH_latrines]])&lt;0,0,WWWW[[#This Row],[Total required Latrines]]-(WWWW[[#This Row],['#_of_sanitary_fly-proof_HH_latrines]]))</f>
        <v>16</v>
      </c>
      <c r="BJ329" s="778">
        <f>1-WWWW[[#This Row],[% people access to functioning Latrine]]</f>
        <v>1</v>
      </c>
      <c r="BK32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29" s="772">
        <f>IF(WWWW[[#This Row],['#_of_functional_handwashing_facilities_at_HH_level]]*6&gt;WWWW[[#This Row],[Total PoP ]],WWWW[[#This Row],[Total PoP ]],WWWW[[#This Row],['#_of_functional_handwashing_facilities_at_HH_level]]*6)</f>
        <v>0</v>
      </c>
      <c r="BM329" s="781">
        <f>IF(WWWW[[#This Row],['# people reached by regular dedicated hygiene promotion]]&gt;WWWW[[#This Row],['# People received regular supply of hygiene items]],WWWW[[#This Row],['# people reached by regular dedicated hygiene promotion]],WWWW[[#This Row],['# People received regular supply of hygiene items]])</f>
        <v>0</v>
      </c>
      <c r="BN329" s="780">
        <f>IF(WWWW[[#This Row],[HRP3]]/WWWW[[#This Row],[Total PoP ]]&gt;100%,100%,WWWW[[#This Row],[HRP3]]/WWWW[[#This Row],[Total PoP ]])</f>
        <v>0</v>
      </c>
      <c r="BO329" s="778">
        <f>1-WWWW[[#This Row],[Hygiene Coverage%]]</f>
        <v>1</v>
      </c>
      <c r="BP329" s="777">
        <f>WWWW[[#This Row],['# people reached by regular dedicated hygiene promotion]]/WWWW[[#This Row],[Total PoP ]]</f>
        <v>0</v>
      </c>
      <c r="BQ32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29" s="770">
        <f>WWWW[[#This Row],['#_of_affected_women_and_girls_receiving_a_sufficient_quantity_of_sanitary_pads]]</f>
        <v>0</v>
      </c>
      <c r="BS329" s="773">
        <f>IF(WWWW[[#This Row],['# People with access to soap]]&gt;WWWW[[#This Row],['# People with access to Sanity Pads]],WWWW[[#This Row],['# People with access to soap]],WWWW[[#This Row],['# People with access to Sanity Pads]])</f>
        <v>0</v>
      </c>
      <c r="BT329" s="772" t="str">
        <f>IF(OR(WWWW[[#This Row],['#of students in school]]="",WWWW[[#This Row],['#of students in school]]=0),"No","Yes")</f>
        <v>Yes</v>
      </c>
      <c r="BU329" s="782" t="str">
        <f>VLOOKUP(WWWW[[#This Row],[Village  Name]],SiteDB6[[Site Name]:[Location Type 1]],9,FALSE)</f>
        <v>Village</v>
      </c>
      <c r="BV329" s="782" t="str">
        <f>VLOOKUP(WWWW[[#This Row],[Village  Name]],SiteDB6[[Site Name]:[Type of Accommodation]],10,FALSE)</f>
        <v>Village</v>
      </c>
      <c r="BW329" s="782">
        <f>VLOOKUP(WWWW[[#This Row],[Village  Name]],SiteDB6[[Site Name]:[Ethnic or GCA/NGCA]],11,FALSE)</f>
        <v>0</v>
      </c>
      <c r="BX329" s="782">
        <f>VLOOKUP(WWWW[[#This Row],[Village  Name]],SiteDB6[[Site Name]:[Lat]],12,FALSE)</f>
        <v>0</v>
      </c>
      <c r="BY329" s="782">
        <f>VLOOKUP(WWWW[[#This Row],[Village  Name]],SiteDB6[[Site Name]:[Long]],13,FALSE)</f>
        <v>0</v>
      </c>
      <c r="BZ329" s="782">
        <f>VLOOKUP(WWWW[[#This Row],[Village  Name]],SiteDB6[[Site Name]:[Pcode]],3,FALSE)</f>
        <v>0</v>
      </c>
      <c r="CA329" s="782" t="str">
        <f t="shared" si="20"/>
        <v>Covered</v>
      </c>
      <c r="CB329" s="783"/>
    </row>
    <row r="330" spans="1:80">
      <c r="A330" s="774" t="s">
        <v>3199</v>
      </c>
      <c r="B330" s="727" t="s">
        <v>318</v>
      </c>
      <c r="C330" s="728" t="s">
        <v>318</v>
      </c>
      <c r="D330" s="728" t="s">
        <v>334</v>
      </c>
      <c r="E330" s="728" t="s">
        <v>2648</v>
      </c>
      <c r="F330" s="728" t="s">
        <v>302</v>
      </c>
      <c r="G330" s="644" t="str">
        <f>VLOOKUP(WWWW[[#This Row],[Village  Name]],SiteDB6[[Site Name]:[Location Type]],8,FALSE)</f>
        <v>Village</v>
      </c>
      <c r="H330" s="728" t="s">
        <v>3173</v>
      </c>
      <c r="I330" s="775">
        <v>289</v>
      </c>
      <c r="J330" s="775">
        <v>1331</v>
      </c>
      <c r="K330" s="784">
        <v>43647</v>
      </c>
      <c r="L330" s="785">
        <v>44043</v>
      </c>
      <c r="M330" s="775">
        <v>100</v>
      </c>
      <c r="N330" s="775"/>
      <c r="O330" s="773"/>
      <c r="P330" s="775"/>
      <c r="Q330" s="775">
        <v>1</v>
      </c>
      <c r="R330" s="775"/>
      <c r="S330" s="775">
        <v>4</v>
      </c>
      <c r="T330" s="775"/>
      <c r="U330" s="776"/>
      <c r="V330" s="775">
        <v>51</v>
      </c>
      <c r="W330" s="775" t="s">
        <v>130</v>
      </c>
      <c r="X330" s="775">
        <v>2</v>
      </c>
      <c r="Y330" s="775">
        <v>10</v>
      </c>
      <c r="Z330" s="775"/>
      <c r="AA330" s="775"/>
      <c r="AB330" s="775"/>
      <c r="AC330" s="776"/>
      <c r="AD330" s="775"/>
      <c r="AE330" s="775"/>
      <c r="AF330" s="775"/>
      <c r="AG330" s="775"/>
      <c r="AH330" s="775"/>
      <c r="AI330" s="775"/>
      <c r="AJ330" s="773">
        <v>10</v>
      </c>
      <c r="AK330" s="775"/>
      <c r="AL330" s="773"/>
      <c r="AM330" s="773"/>
      <c r="AN330" s="776"/>
      <c r="AO330" s="769"/>
      <c r="AP330" s="769"/>
      <c r="AQ330" s="773"/>
      <c r="AR330" s="773"/>
      <c r="AS330" s="773"/>
      <c r="AT33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30" s="779">
        <f>WWWW[[#This Row],[%Equitable and continuous access to sufficient quantity of safe drinking water]]*WWWW[[#This Row],[Total PoP ]]</f>
        <v>0</v>
      </c>
      <c r="AV33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30" s="779">
        <f>WWWW[[#This Row],[% Access to unimproved water points]]*WWWW[[#This Row],[Total PoP ]]</f>
        <v>1331</v>
      </c>
      <c r="AX33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3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1331</v>
      </c>
      <c r="AZ330" s="779">
        <f>WWWW[[#This Row],[HRP1]]/250</f>
        <v>5.3239999999999998</v>
      </c>
      <c r="BA330" s="780">
        <f>1-WWWW[[#This Row],[% Equitable and continuous access to sufficient quantity of domestic water]]</f>
        <v>0</v>
      </c>
      <c r="BB330" s="779">
        <f>WWWW[[#This Row],[%equitable and continuous access to sufficient quantity of safe drinking and domestic water''s GAP]]*WWWW[[#This Row],[Total PoP ]]</f>
        <v>0</v>
      </c>
      <c r="BC330" s="781">
        <f>IF(WWWW[[#This Row],[Total required water points]]-WWWW[[#This Row],['#Water points coverage]]&lt;0,0,WWWW[[#This Row],[Total required water points]]-WWWW[[#This Row],['#Water points coverage]])</f>
        <v>0</v>
      </c>
      <c r="BD330" s="781">
        <f>ROUND(IF(WWWW[[#This Row],[Total PoP ]]&lt;250,1,WWWW[[#This Row],[Total PoP ]]/250),0)</f>
        <v>5</v>
      </c>
      <c r="BE33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0.22990232907588279</v>
      </c>
      <c r="BF330" s="779">
        <f>WWWW[[#This Row],[% people access to functioning Latrine]]*WWWW[[#This Row],[Total PoP ]]</f>
        <v>306</v>
      </c>
      <c r="BG330" s="781">
        <f>WWWW[[#This Row],['#_of_Functioning_latrines_in_school]]*50</f>
        <v>100</v>
      </c>
      <c r="BH330" s="781">
        <f>ROUND((WWWW[[#This Row],[Total PoP ]]/6),0)</f>
        <v>222</v>
      </c>
      <c r="BI330" s="781">
        <f>IF(WWWW[[#This Row],[Total required Latrines]]-(WWWW[[#This Row],['#_of_sanitary_fly-proof_HH_latrines]])&lt;0,0,WWWW[[#This Row],[Total required Latrines]]-(WWWW[[#This Row],['#_of_sanitary_fly-proof_HH_latrines]]))</f>
        <v>171</v>
      </c>
      <c r="BJ330" s="778">
        <f>1-WWWW[[#This Row],[% people access to functioning Latrine]]</f>
        <v>0.77009767092411718</v>
      </c>
      <c r="BK33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0" s="772">
        <f>IF(WWWW[[#This Row],['#_of_functional_handwashing_facilities_at_HH_level]]*6&gt;WWWW[[#This Row],[Total PoP ]],WWWW[[#This Row],[Total PoP ]],WWWW[[#This Row],['#_of_functional_handwashing_facilities_at_HH_level]]*6)</f>
        <v>60</v>
      </c>
      <c r="BM330" s="781">
        <f>IF(WWWW[[#This Row],['# people reached by regular dedicated hygiene promotion]]&gt;WWWW[[#This Row],['# People received regular supply of hygiene items]],WWWW[[#This Row],['# people reached by regular dedicated hygiene promotion]],WWWW[[#This Row],['# People received regular supply of hygiene items]])</f>
        <v>0</v>
      </c>
      <c r="BN330" s="780">
        <f>IF(WWWW[[#This Row],[HRP3]]/WWWW[[#This Row],[Total PoP ]]&gt;100%,100%,WWWW[[#This Row],[HRP3]]/WWWW[[#This Row],[Total PoP ]])</f>
        <v>0</v>
      </c>
      <c r="BO330" s="778">
        <f>1-WWWW[[#This Row],[Hygiene Coverage%]]</f>
        <v>1</v>
      </c>
      <c r="BP330" s="777">
        <f>WWWW[[#This Row],['# people reached by regular dedicated hygiene promotion]]/WWWW[[#This Row],[Total PoP ]]</f>
        <v>0</v>
      </c>
      <c r="BQ33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0" s="770">
        <f>WWWW[[#This Row],['#_of_affected_women_and_girls_receiving_a_sufficient_quantity_of_sanitary_pads]]</f>
        <v>0</v>
      </c>
      <c r="BS330" s="773">
        <f>IF(WWWW[[#This Row],['# People with access to soap]]&gt;WWWW[[#This Row],['# People with access to Sanity Pads]],WWWW[[#This Row],['# People with access to soap]],WWWW[[#This Row],['# People with access to Sanity Pads]])</f>
        <v>0</v>
      </c>
      <c r="BT330" s="772" t="str">
        <f>IF(OR(WWWW[[#This Row],['#of students in school]]="",WWWW[[#This Row],['#of students in school]]=0),"No","Yes")</f>
        <v>Yes</v>
      </c>
      <c r="BU330" s="782" t="str">
        <f>VLOOKUP(WWWW[[#This Row],[Village  Name]],SiteDB6[[Site Name]:[Location Type 1]],9,FALSE)</f>
        <v>Village</v>
      </c>
      <c r="BV330" s="782" t="str">
        <f>VLOOKUP(WWWW[[#This Row],[Village  Name]],SiteDB6[[Site Name]:[Type of Accommodation]],10,FALSE)</f>
        <v>Village</v>
      </c>
      <c r="BW330" s="782">
        <f>VLOOKUP(WWWW[[#This Row],[Village  Name]],SiteDB6[[Site Name]:[Ethnic or GCA/NGCA]],11,FALSE)</f>
        <v>0</v>
      </c>
      <c r="BX330" s="782">
        <f>VLOOKUP(WWWW[[#This Row],[Village  Name]],SiteDB6[[Site Name]:[Lat]],12,FALSE)</f>
        <v>92.981712341308594</v>
      </c>
      <c r="BY330" s="782">
        <f>VLOOKUP(WWWW[[#This Row],[Village  Name]],SiteDB6[[Site Name]:[Long]],13,FALSE)</f>
        <v>20.772109985351602</v>
      </c>
      <c r="BZ330" s="782">
        <f>VLOOKUP(WWWW[[#This Row],[Village  Name]],SiteDB6[[Site Name]:[Pcode]],3,FALSE)</f>
        <v>196959</v>
      </c>
      <c r="CA330" s="782" t="str">
        <f t="shared" si="20"/>
        <v>Covered</v>
      </c>
      <c r="CB330" s="783"/>
    </row>
    <row r="331" spans="1:80">
      <c r="A331" s="774" t="s">
        <v>3199</v>
      </c>
      <c r="B331" s="727" t="s">
        <v>318</v>
      </c>
      <c r="C331" s="728" t="s">
        <v>318</v>
      </c>
      <c r="D331" s="728" t="s">
        <v>334</v>
      </c>
      <c r="E331" s="728" t="s">
        <v>2648</v>
      </c>
      <c r="F331" s="728" t="s">
        <v>302</v>
      </c>
      <c r="G331" s="644" t="str">
        <f>VLOOKUP(WWWW[[#This Row],[Village  Name]],SiteDB6[[Site Name]:[Location Type]],8,FALSE)</f>
        <v>Village</v>
      </c>
      <c r="H331" s="728" t="s">
        <v>3172</v>
      </c>
      <c r="I331" s="775">
        <v>76</v>
      </c>
      <c r="J331" s="775">
        <v>365</v>
      </c>
      <c r="K331" s="784">
        <v>43647</v>
      </c>
      <c r="L331" s="785">
        <v>44043</v>
      </c>
      <c r="M331" s="775">
        <v>400</v>
      </c>
      <c r="N331" s="775"/>
      <c r="O331" s="773"/>
      <c r="P331" s="775"/>
      <c r="Q331" s="775">
        <v>1</v>
      </c>
      <c r="R331" s="775"/>
      <c r="S331" s="775"/>
      <c r="T331" s="775"/>
      <c r="U331" s="776"/>
      <c r="V331" s="775">
        <v>4</v>
      </c>
      <c r="W331" s="775" t="s">
        <v>130</v>
      </c>
      <c r="X331" s="775"/>
      <c r="Y331" s="775">
        <v>2</v>
      </c>
      <c r="Z331" s="775"/>
      <c r="AA331" s="775"/>
      <c r="AB331" s="775"/>
      <c r="AC331" s="776"/>
      <c r="AD331" s="775"/>
      <c r="AE331" s="775"/>
      <c r="AF331" s="775"/>
      <c r="AG331" s="775"/>
      <c r="AH331" s="775"/>
      <c r="AI331" s="775"/>
      <c r="AJ331" s="773">
        <v>12</v>
      </c>
      <c r="AK331" s="775"/>
      <c r="AL331" s="773"/>
      <c r="AM331" s="773"/>
      <c r="AN331" s="776"/>
      <c r="AO331" s="769"/>
      <c r="AP331" s="769"/>
      <c r="AQ331" s="773"/>
      <c r="AR331" s="773"/>
      <c r="AS331" s="773"/>
      <c r="AT33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31" s="779">
        <f>WWWW[[#This Row],[%Equitable and continuous access to sufficient quantity of safe drinking water]]*WWWW[[#This Row],[Total PoP ]]</f>
        <v>0</v>
      </c>
      <c r="AV33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31" s="779">
        <f>WWWW[[#This Row],[% Access to unimproved water points]]*WWWW[[#This Row],[Total PoP ]]</f>
        <v>365</v>
      </c>
      <c r="AX33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3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365</v>
      </c>
      <c r="AZ331" s="779">
        <f>WWWW[[#This Row],[HRP1]]/250</f>
        <v>1.46</v>
      </c>
      <c r="BA331" s="780">
        <f>1-WWWW[[#This Row],[% Equitable and continuous access to sufficient quantity of domestic water]]</f>
        <v>0</v>
      </c>
      <c r="BB331" s="779">
        <f>WWWW[[#This Row],[%equitable and continuous access to sufficient quantity of safe drinking and domestic water''s GAP]]*WWWW[[#This Row],[Total PoP ]]</f>
        <v>0</v>
      </c>
      <c r="BC331" s="781">
        <f>IF(WWWW[[#This Row],[Total required water points]]-WWWW[[#This Row],['#Water points coverage]]&lt;0,0,WWWW[[#This Row],[Total required water points]]-WWWW[[#This Row],['#Water points coverage]])</f>
        <v>0</v>
      </c>
      <c r="BD331" s="781">
        <f>ROUND(IF(WWWW[[#This Row],[Total PoP ]]&lt;250,1,WWWW[[#This Row],[Total PoP ]]/250),0)</f>
        <v>1</v>
      </c>
      <c r="BE33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6.575342465753424E-2</v>
      </c>
      <c r="BF331" s="779">
        <f>WWWW[[#This Row],[% people access to functioning Latrine]]*WWWW[[#This Row],[Total PoP ]]</f>
        <v>23.999999999999996</v>
      </c>
      <c r="BG331" s="781">
        <f>WWWW[[#This Row],['#_of_Functioning_latrines_in_school]]*50</f>
        <v>0</v>
      </c>
      <c r="BH331" s="781">
        <f>ROUND((WWWW[[#This Row],[Total PoP ]]/6),0)</f>
        <v>61</v>
      </c>
      <c r="BI331" s="781">
        <f>IF(WWWW[[#This Row],[Total required Latrines]]-(WWWW[[#This Row],['#_of_sanitary_fly-proof_HH_latrines]])&lt;0,0,WWWW[[#This Row],[Total required Latrines]]-(WWWW[[#This Row],['#_of_sanitary_fly-proof_HH_latrines]]))</f>
        <v>57</v>
      </c>
      <c r="BJ331" s="778">
        <f>1-WWWW[[#This Row],[% people access to functioning Latrine]]</f>
        <v>0.9342465753424658</v>
      </c>
      <c r="BK33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1" s="772">
        <f>IF(WWWW[[#This Row],['#_of_functional_handwashing_facilities_at_HH_level]]*6&gt;WWWW[[#This Row],[Total PoP ]],WWWW[[#This Row],[Total PoP ]],WWWW[[#This Row],['#_of_functional_handwashing_facilities_at_HH_level]]*6)</f>
        <v>72</v>
      </c>
      <c r="BM331" s="781">
        <f>IF(WWWW[[#This Row],['# people reached by regular dedicated hygiene promotion]]&gt;WWWW[[#This Row],['# People received regular supply of hygiene items]],WWWW[[#This Row],['# people reached by regular dedicated hygiene promotion]],WWWW[[#This Row],['# People received regular supply of hygiene items]])</f>
        <v>0</v>
      </c>
      <c r="BN331" s="780">
        <f>IF(WWWW[[#This Row],[HRP3]]/WWWW[[#This Row],[Total PoP ]]&gt;100%,100%,WWWW[[#This Row],[HRP3]]/WWWW[[#This Row],[Total PoP ]])</f>
        <v>0</v>
      </c>
      <c r="BO331" s="778">
        <f>1-WWWW[[#This Row],[Hygiene Coverage%]]</f>
        <v>1</v>
      </c>
      <c r="BP331" s="777">
        <f>WWWW[[#This Row],['# people reached by regular dedicated hygiene promotion]]/WWWW[[#This Row],[Total PoP ]]</f>
        <v>0</v>
      </c>
      <c r="BQ33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1" s="770">
        <f>WWWW[[#This Row],['#_of_affected_women_and_girls_receiving_a_sufficient_quantity_of_sanitary_pads]]</f>
        <v>0</v>
      </c>
      <c r="BS331" s="773">
        <f>IF(WWWW[[#This Row],['# People with access to soap]]&gt;WWWW[[#This Row],['# People with access to Sanity Pads]],WWWW[[#This Row],['# People with access to soap]],WWWW[[#This Row],['# People with access to Sanity Pads]])</f>
        <v>0</v>
      </c>
      <c r="BT331" s="772" t="str">
        <f>IF(OR(WWWW[[#This Row],['#of students in school]]="",WWWW[[#This Row],['#of students in school]]=0),"No","Yes")</f>
        <v>Yes</v>
      </c>
      <c r="BU331" s="782" t="str">
        <f>VLOOKUP(WWWW[[#This Row],[Village  Name]],SiteDB6[[Site Name]:[Location Type 1]],9,FALSE)</f>
        <v>Village</v>
      </c>
      <c r="BV331" s="782" t="str">
        <f>VLOOKUP(WWWW[[#This Row],[Village  Name]],SiteDB6[[Site Name]:[Type of Accommodation]],10,FALSE)</f>
        <v>Village</v>
      </c>
      <c r="BW331" s="782">
        <f>VLOOKUP(WWWW[[#This Row],[Village  Name]],SiteDB6[[Site Name]:[Ethnic or GCA/NGCA]],11,FALSE)</f>
        <v>0</v>
      </c>
      <c r="BX331" s="782">
        <f>VLOOKUP(WWWW[[#This Row],[Village  Name]],SiteDB6[[Site Name]:[Lat]],12,FALSE)</f>
        <v>92.978729248046903</v>
      </c>
      <c r="BY331" s="782">
        <f>VLOOKUP(WWWW[[#This Row],[Village  Name]],SiteDB6[[Site Name]:[Long]],13,FALSE)</f>
        <v>20.768480300903299</v>
      </c>
      <c r="BZ331" s="782">
        <f>VLOOKUP(WWWW[[#This Row],[Village  Name]],SiteDB6[[Site Name]:[Pcode]],3,FALSE)</f>
        <v>196960</v>
      </c>
      <c r="CA331" s="782" t="str">
        <f t="shared" si="20"/>
        <v>Covered</v>
      </c>
      <c r="CB331" s="783"/>
    </row>
    <row r="332" spans="1:80">
      <c r="A332" s="774" t="s">
        <v>3199</v>
      </c>
      <c r="B332" s="727" t="s">
        <v>318</v>
      </c>
      <c r="C332" s="728" t="s">
        <v>318</v>
      </c>
      <c r="D332" s="415" t="s">
        <v>3294</v>
      </c>
      <c r="E332" s="728" t="s">
        <v>2648</v>
      </c>
      <c r="F332" s="728" t="s">
        <v>302</v>
      </c>
      <c r="G332" s="644" t="str">
        <f>VLOOKUP(WWWW[[#This Row],[Village  Name]],SiteDB6[[Site Name]:[Location Type]],8,FALSE)</f>
        <v>Village</v>
      </c>
      <c r="H332" s="728" t="s">
        <v>2942</v>
      </c>
      <c r="I332" s="775">
        <v>62</v>
      </c>
      <c r="J332" s="775">
        <v>142</v>
      </c>
      <c r="K332" s="784">
        <v>43647</v>
      </c>
      <c r="L332" s="785">
        <v>44012</v>
      </c>
      <c r="M332" s="775">
        <v>30</v>
      </c>
      <c r="N332" s="775"/>
      <c r="O332" s="773"/>
      <c r="P332" s="775"/>
      <c r="Q332" s="775">
        <v>1</v>
      </c>
      <c r="R332" s="775"/>
      <c r="S332" s="775">
        <v>2</v>
      </c>
      <c r="T332" s="775"/>
      <c r="U332" s="776"/>
      <c r="V332" s="775">
        <v>5</v>
      </c>
      <c r="W332" s="775" t="s">
        <v>130</v>
      </c>
      <c r="X332" s="775">
        <v>2</v>
      </c>
      <c r="Y332" s="775">
        <v>1</v>
      </c>
      <c r="Z332" s="775"/>
      <c r="AA332" s="775"/>
      <c r="AB332" s="775"/>
      <c r="AC332" s="776"/>
      <c r="AD332" s="775"/>
      <c r="AE332" s="775"/>
      <c r="AF332" s="775"/>
      <c r="AG332" s="775"/>
      <c r="AH332" s="775"/>
      <c r="AI332" s="775"/>
      <c r="AJ332" s="773">
        <v>23</v>
      </c>
      <c r="AK332" s="775"/>
      <c r="AL332" s="773"/>
      <c r="AM332" s="773"/>
      <c r="AN332" s="776"/>
      <c r="AO332" s="769"/>
      <c r="AP332" s="769"/>
      <c r="AQ332" s="773"/>
      <c r="AR332" s="773"/>
      <c r="AS332" s="773"/>
      <c r="AT33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32" s="779">
        <f>WWWW[[#This Row],[%Equitable and continuous access to sufficient quantity of safe drinking water]]*WWWW[[#This Row],[Total PoP ]]</f>
        <v>0</v>
      </c>
      <c r="AV33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32" s="779">
        <f>WWWW[[#This Row],[% Access to unimproved water points]]*WWWW[[#This Row],[Total PoP ]]</f>
        <v>142</v>
      </c>
      <c r="AX33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3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142</v>
      </c>
      <c r="AZ332" s="779">
        <f>WWWW[[#This Row],[HRP1]]/250</f>
        <v>0.56799999999999995</v>
      </c>
      <c r="BA332" s="780">
        <f>1-WWWW[[#This Row],[% Equitable and continuous access to sufficient quantity of domestic water]]</f>
        <v>0</v>
      </c>
      <c r="BB332" s="779">
        <f>WWWW[[#This Row],[%equitable and continuous access to sufficient quantity of safe drinking and domestic water''s GAP]]*WWWW[[#This Row],[Total PoP ]]</f>
        <v>0</v>
      </c>
      <c r="BC332" s="781">
        <f>IF(WWWW[[#This Row],[Total required water points]]-WWWW[[#This Row],['#Water points coverage]]&lt;0,0,WWWW[[#This Row],[Total required water points]]-WWWW[[#This Row],['#Water points coverage]])</f>
        <v>0.43200000000000005</v>
      </c>
      <c r="BD332" s="781">
        <f>ROUND(IF(WWWW[[#This Row],[Total PoP ]]&lt;250,1,WWWW[[#This Row],[Total PoP ]]/250),0)</f>
        <v>1</v>
      </c>
      <c r="BE33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0.21126760563380281</v>
      </c>
      <c r="BF332" s="779">
        <f>WWWW[[#This Row],[% people access to functioning Latrine]]*WWWW[[#This Row],[Total PoP ]]</f>
        <v>30</v>
      </c>
      <c r="BG332" s="781">
        <f>WWWW[[#This Row],['#_of_Functioning_latrines_in_school]]*50</f>
        <v>100</v>
      </c>
      <c r="BH332" s="781">
        <f>ROUND((WWWW[[#This Row],[Total PoP ]]/6),0)</f>
        <v>24</v>
      </c>
      <c r="BI332" s="781">
        <f>IF(WWWW[[#This Row],[Total required Latrines]]-(WWWW[[#This Row],['#_of_sanitary_fly-proof_HH_latrines]])&lt;0,0,WWWW[[#This Row],[Total required Latrines]]-(WWWW[[#This Row],['#_of_sanitary_fly-proof_HH_latrines]]))</f>
        <v>19</v>
      </c>
      <c r="BJ332" s="778">
        <f>1-WWWW[[#This Row],[% people access to functioning Latrine]]</f>
        <v>0.78873239436619724</v>
      </c>
      <c r="BK33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2" s="772">
        <f>IF(WWWW[[#This Row],['#_of_functional_handwashing_facilities_at_HH_level]]*6&gt;WWWW[[#This Row],[Total PoP ]],WWWW[[#This Row],[Total PoP ]],WWWW[[#This Row],['#_of_functional_handwashing_facilities_at_HH_level]]*6)</f>
        <v>138</v>
      </c>
      <c r="BM332" s="781">
        <f>IF(WWWW[[#This Row],['# people reached by regular dedicated hygiene promotion]]&gt;WWWW[[#This Row],['# People received regular supply of hygiene items]],WWWW[[#This Row],['# people reached by regular dedicated hygiene promotion]],WWWW[[#This Row],['# People received regular supply of hygiene items]])</f>
        <v>0</v>
      </c>
      <c r="BN332" s="780">
        <f>IF(WWWW[[#This Row],[HRP3]]/WWWW[[#This Row],[Total PoP ]]&gt;100%,100%,WWWW[[#This Row],[HRP3]]/WWWW[[#This Row],[Total PoP ]])</f>
        <v>0</v>
      </c>
      <c r="BO332" s="778">
        <f>1-WWWW[[#This Row],[Hygiene Coverage%]]</f>
        <v>1</v>
      </c>
      <c r="BP332" s="777">
        <f>WWWW[[#This Row],['# people reached by regular dedicated hygiene promotion]]/WWWW[[#This Row],[Total PoP ]]</f>
        <v>0</v>
      </c>
      <c r="BQ33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2" s="770">
        <f>WWWW[[#This Row],['#_of_affected_women_and_girls_receiving_a_sufficient_quantity_of_sanitary_pads]]</f>
        <v>0</v>
      </c>
      <c r="BS332" s="773">
        <f>IF(WWWW[[#This Row],['# People with access to soap]]&gt;WWWW[[#This Row],['# People with access to Sanity Pads]],WWWW[[#This Row],['# People with access to soap]],WWWW[[#This Row],['# People with access to Sanity Pads]])</f>
        <v>0</v>
      </c>
      <c r="BT332" s="772" t="str">
        <f>IF(OR(WWWW[[#This Row],['#of students in school]]="",WWWW[[#This Row],['#of students in school]]=0),"No","Yes")</f>
        <v>Yes</v>
      </c>
      <c r="BU332" s="782" t="str">
        <f>VLOOKUP(WWWW[[#This Row],[Village  Name]],SiteDB6[[Site Name]:[Location Type 1]],9,FALSE)</f>
        <v>Village</v>
      </c>
      <c r="BV332" s="782" t="str">
        <f>VLOOKUP(WWWW[[#This Row],[Village  Name]],SiteDB6[[Site Name]:[Type of Accommodation]],10,FALSE)</f>
        <v>Village</v>
      </c>
      <c r="BW332" s="782">
        <f>VLOOKUP(WWWW[[#This Row],[Village  Name]],SiteDB6[[Site Name]:[Ethnic or GCA/NGCA]],11,FALSE)</f>
        <v>0</v>
      </c>
      <c r="BX332" s="782">
        <f>VLOOKUP(WWWW[[#This Row],[Village  Name]],SiteDB6[[Site Name]:[Lat]],12,FALSE)</f>
        <v>20.7489204406738</v>
      </c>
      <c r="BY332" s="782">
        <f>VLOOKUP(WWWW[[#This Row],[Village  Name]],SiteDB6[[Site Name]:[Long]],13,FALSE)</f>
        <v>92.958816528320298</v>
      </c>
      <c r="BZ332" s="782">
        <f>VLOOKUP(WWWW[[#This Row],[Village  Name]],SiteDB6[[Site Name]:[Pcode]],3,FALSE)</f>
        <v>196894</v>
      </c>
      <c r="CA332" s="782" t="str">
        <f t="shared" si="20"/>
        <v>Covered</v>
      </c>
      <c r="CB332" s="783"/>
    </row>
    <row r="333" spans="1:80">
      <c r="A333" s="774" t="s">
        <v>3199</v>
      </c>
      <c r="B333" s="727" t="s">
        <v>318</v>
      </c>
      <c r="C333" s="728" t="s">
        <v>318</v>
      </c>
      <c r="D333" s="415" t="s">
        <v>3294</v>
      </c>
      <c r="E333" s="728" t="s">
        <v>2648</v>
      </c>
      <c r="F333" s="728" t="s">
        <v>302</v>
      </c>
      <c r="G333" s="644" t="str">
        <f>VLOOKUP(WWWW[[#This Row],[Village  Name]],SiteDB6[[Site Name]:[Location Type]],8,FALSE)</f>
        <v>Village</v>
      </c>
      <c r="H333" s="728" t="s">
        <v>2941</v>
      </c>
      <c r="I333" s="775">
        <v>140</v>
      </c>
      <c r="J333" s="775">
        <v>740</v>
      </c>
      <c r="K333" s="784">
        <v>43647</v>
      </c>
      <c r="L333" s="785">
        <v>44012</v>
      </c>
      <c r="M333" s="775">
        <v>103</v>
      </c>
      <c r="N333" s="775"/>
      <c r="O333" s="773"/>
      <c r="P333" s="775"/>
      <c r="Q333" s="775">
        <v>1</v>
      </c>
      <c r="R333" s="775"/>
      <c r="S333" s="775">
        <v>3</v>
      </c>
      <c r="T333" s="775">
        <v>1</v>
      </c>
      <c r="U333" s="776"/>
      <c r="V333" s="775">
        <v>30</v>
      </c>
      <c r="W333" s="775" t="s">
        <v>130</v>
      </c>
      <c r="X333" s="775">
        <v>4</v>
      </c>
      <c r="Y333" s="775">
        <v>1</v>
      </c>
      <c r="Z333" s="775"/>
      <c r="AA333" s="775"/>
      <c r="AB333" s="775"/>
      <c r="AC333" s="776"/>
      <c r="AD333" s="775"/>
      <c r="AE333" s="775"/>
      <c r="AF333" s="775"/>
      <c r="AG333" s="775"/>
      <c r="AH333" s="775"/>
      <c r="AI333" s="775"/>
      <c r="AJ333" s="773">
        <v>25</v>
      </c>
      <c r="AK333" s="775"/>
      <c r="AL333" s="773"/>
      <c r="AM333" s="773"/>
      <c r="AN333" s="776"/>
      <c r="AO333" s="769"/>
      <c r="AP333" s="769"/>
      <c r="AQ333" s="773"/>
      <c r="AR333" s="773"/>
      <c r="AS333" s="773"/>
      <c r="AT33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0.33783783783783783</v>
      </c>
      <c r="AU333" s="779">
        <f>WWWW[[#This Row],[%Equitable and continuous access to sufficient quantity of safe drinking water]]*WWWW[[#This Row],[Total PoP ]]</f>
        <v>250</v>
      </c>
      <c r="AV33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33" s="779">
        <f>WWWW[[#This Row],[% Access to unimproved water points]]*WWWW[[#This Row],[Total PoP ]]</f>
        <v>740</v>
      </c>
      <c r="AX33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3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740</v>
      </c>
      <c r="AZ333" s="779">
        <f>WWWW[[#This Row],[HRP1]]/250</f>
        <v>2.96</v>
      </c>
      <c r="BA333" s="780">
        <f>1-WWWW[[#This Row],[% Equitable and continuous access to sufficient quantity of domestic water]]</f>
        <v>0</v>
      </c>
      <c r="BB333" s="779">
        <f>WWWW[[#This Row],[%equitable and continuous access to sufficient quantity of safe drinking and domestic water''s GAP]]*WWWW[[#This Row],[Total PoP ]]</f>
        <v>0</v>
      </c>
      <c r="BC333" s="781">
        <f>IF(WWWW[[#This Row],[Total required water points]]-WWWW[[#This Row],['#Water points coverage]]&lt;0,0,WWWW[[#This Row],[Total required water points]]-WWWW[[#This Row],['#Water points coverage]])</f>
        <v>4.0000000000000036E-2</v>
      </c>
      <c r="BD333" s="781">
        <f>ROUND(IF(WWWW[[#This Row],[Total PoP ]]&lt;250,1,WWWW[[#This Row],[Total PoP ]]/250),0)</f>
        <v>3</v>
      </c>
      <c r="BE33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0.24324324324324326</v>
      </c>
      <c r="BF333" s="779">
        <f>WWWW[[#This Row],[% people access to functioning Latrine]]*WWWW[[#This Row],[Total PoP ]]</f>
        <v>180</v>
      </c>
      <c r="BG333" s="781">
        <f>WWWW[[#This Row],['#_of_Functioning_latrines_in_school]]*50</f>
        <v>200</v>
      </c>
      <c r="BH333" s="781">
        <f>ROUND((WWWW[[#This Row],[Total PoP ]]/6),0)</f>
        <v>123</v>
      </c>
      <c r="BI333" s="781">
        <f>IF(WWWW[[#This Row],[Total required Latrines]]-(WWWW[[#This Row],['#_of_sanitary_fly-proof_HH_latrines]])&lt;0,0,WWWW[[#This Row],[Total required Latrines]]-(WWWW[[#This Row],['#_of_sanitary_fly-proof_HH_latrines]]))</f>
        <v>93</v>
      </c>
      <c r="BJ333" s="778">
        <f>1-WWWW[[#This Row],[% people access to functioning Latrine]]</f>
        <v>0.7567567567567568</v>
      </c>
      <c r="BK33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3" s="772">
        <f>IF(WWWW[[#This Row],['#_of_functional_handwashing_facilities_at_HH_level]]*6&gt;WWWW[[#This Row],[Total PoP ]],WWWW[[#This Row],[Total PoP ]],WWWW[[#This Row],['#_of_functional_handwashing_facilities_at_HH_level]]*6)</f>
        <v>150</v>
      </c>
      <c r="BM333" s="781">
        <f>IF(WWWW[[#This Row],['# people reached by regular dedicated hygiene promotion]]&gt;WWWW[[#This Row],['# People received regular supply of hygiene items]],WWWW[[#This Row],['# people reached by regular dedicated hygiene promotion]],WWWW[[#This Row],['# People received regular supply of hygiene items]])</f>
        <v>0</v>
      </c>
      <c r="BN333" s="780">
        <f>IF(WWWW[[#This Row],[HRP3]]/WWWW[[#This Row],[Total PoP ]]&gt;100%,100%,WWWW[[#This Row],[HRP3]]/WWWW[[#This Row],[Total PoP ]])</f>
        <v>0</v>
      </c>
      <c r="BO333" s="778">
        <f>1-WWWW[[#This Row],[Hygiene Coverage%]]</f>
        <v>1</v>
      </c>
      <c r="BP333" s="777">
        <f>WWWW[[#This Row],['# people reached by regular dedicated hygiene promotion]]/WWWW[[#This Row],[Total PoP ]]</f>
        <v>0</v>
      </c>
      <c r="BQ33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3" s="770">
        <f>WWWW[[#This Row],['#_of_affected_women_and_girls_receiving_a_sufficient_quantity_of_sanitary_pads]]</f>
        <v>0</v>
      </c>
      <c r="BS333" s="773">
        <f>IF(WWWW[[#This Row],['# People with access to soap]]&gt;WWWW[[#This Row],['# People with access to Sanity Pads]],WWWW[[#This Row],['# People with access to soap]],WWWW[[#This Row],['# People with access to Sanity Pads]])</f>
        <v>0</v>
      </c>
      <c r="BT333" s="772" t="str">
        <f>IF(OR(WWWW[[#This Row],['#of students in school]]="",WWWW[[#This Row],['#of students in school]]=0),"No","Yes")</f>
        <v>Yes</v>
      </c>
      <c r="BU333" s="782" t="str">
        <f>VLOOKUP(WWWW[[#This Row],[Village  Name]],SiteDB6[[Site Name]:[Location Type 1]],9,FALSE)</f>
        <v>Village</v>
      </c>
      <c r="BV333" s="782" t="str">
        <f>VLOOKUP(WWWW[[#This Row],[Village  Name]],SiteDB6[[Site Name]:[Type of Accommodation]],10,FALSE)</f>
        <v>Village</v>
      </c>
      <c r="BW333" s="782">
        <f>VLOOKUP(WWWW[[#This Row],[Village  Name]],SiteDB6[[Site Name]:[Ethnic or GCA/NGCA]],11,FALSE)</f>
        <v>0</v>
      </c>
      <c r="BX333" s="782">
        <f>VLOOKUP(WWWW[[#This Row],[Village  Name]],SiteDB6[[Site Name]:[Lat]],12,FALSE)</f>
        <v>0</v>
      </c>
      <c r="BY333" s="782">
        <f>VLOOKUP(WWWW[[#This Row],[Village  Name]],SiteDB6[[Site Name]:[Long]],13,FALSE)</f>
        <v>0</v>
      </c>
      <c r="BZ333" s="782">
        <f>VLOOKUP(WWWW[[#This Row],[Village  Name]],SiteDB6[[Site Name]:[Pcode]],3,FALSE)</f>
        <v>0</v>
      </c>
      <c r="CA333" s="782" t="str">
        <f t="shared" si="20"/>
        <v>Covered</v>
      </c>
      <c r="CB333" s="783"/>
    </row>
    <row r="334" spans="1:80">
      <c r="A334" s="774" t="s">
        <v>3199</v>
      </c>
      <c r="B334" s="727" t="s">
        <v>318</v>
      </c>
      <c r="C334" s="728" t="s">
        <v>318</v>
      </c>
      <c r="D334" s="728" t="s">
        <v>334</v>
      </c>
      <c r="E334" s="728" t="s">
        <v>2648</v>
      </c>
      <c r="F334" s="728" t="s">
        <v>302</v>
      </c>
      <c r="G334" s="644" t="str">
        <f>VLOOKUP(WWWW[[#This Row],[Village  Name]],SiteDB6[[Site Name]:[Location Type]],8,FALSE)</f>
        <v>Village</v>
      </c>
      <c r="H334" s="728" t="s">
        <v>3158</v>
      </c>
      <c r="I334" s="775">
        <v>219</v>
      </c>
      <c r="J334" s="775">
        <v>959</v>
      </c>
      <c r="K334" s="784">
        <v>43647</v>
      </c>
      <c r="L334" s="785">
        <v>44043</v>
      </c>
      <c r="M334" s="775">
        <v>158</v>
      </c>
      <c r="N334" s="775"/>
      <c r="O334" s="773"/>
      <c r="P334" s="775"/>
      <c r="Q334" s="775">
        <v>2</v>
      </c>
      <c r="R334" s="775"/>
      <c r="S334" s="775">
        <v>3</v>
      </c>
      <c r="T334" s="775"/>
      <c r="U334" s="776"/>
      <c r="V334" s="775">
        <v>50</v>
      </c>
      <c r="W334" s="775" t="s">
        <v>130</v>
      </c>
      <c r="X334" s="775">
        <v>2</v>
      </c>
      <c r="Y334" s="775">
        <v>1</v>
      </c>
      <c r="Z334" s="775"/>
      <c r="AA334" s="775"/>
      <c r="AB334" s="775"/>
      <c r="AC334" s="776"/>
      <c r="AD334" s="775"/>
      <c r="AE334" s="775"/>
      <c r="AF334" s="775"/>
      <c r="AG334" s="775"/>
      <c r="AH334" s="775"/>
      <c r="AI334" s="775"/>
      <c r="AJ334" s="773">
        <v>12</v>
      </c>
      <c r="AK334" s="775"/>
      <c r="AL334" s="773"/>
      <c r="AM334" s="773"/>
      <c r="AN334" s="776"/>
      <c r="AO334" s="769"/>
      <c r="AP334" s="769"/>
      <c r="AQ334" s="773"/>
      <c r="AR334" s="773"/>
      <c r="AS334" s="773"/>
      <c r="AT33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34" s="779">
        <f>WWWW[[#This Row],[%Equitable and continuous access to sufficient quantity of safe drinking water]]*WWWW[[#This Row],[Total PoP ]]</f>
        <v>0</v>
      </c>
      <c r="AV33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34" s="779">
        <f>WWWW[[#This Row],[% Access to unimproved water points]]*WWWW[[#This Row],[Total PoP ]]</f>
        <v>959</v>
      </c>
      <c r="AX33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3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959</v>
      </c>
      <c r="AZ334" s="779">
        <f>WWWW[[#This Row],[HRP1]]/250</f>
        <v>3.8359999999999999</v>
      </c>
      <c r="BA334" s="780">
        <f>1-WWWW[[#This Row],[% Equitable and continuous access to sufficient quantity of domestic water]]</f>
        <v>0</v>
      </c>
      <c r="BB334" s="779">
        <f>WWWW[[#This Row],[%equitable and continuous access to sufficient quantity of safe drinking and domestic water''s GAP]]*WWWW[[#This Row],[Total PoP ]]</f>
        <v>0</v>
      </c>
      <c r="BC334" s="781">
        <f>IF(WWWW[[#This Row],[Total required water points]]-WWWW[[#This Row],['#Water points coverage]]&lt;0,0,WWWW[[#This Row],[Total required water points]]-WWWW[[#This Row],['#Water points coverage]])</f>
        <v>0.16400000000000015</v>
      </c>
      <c r="BD334" s="781">
        <f>ROUND(IF(WWWW[[#This Row],[Total PoP ]]&lt;250,1,WWWW[[#This Row],[Total PoP ]]/250),0)</f>
        <v>4</v>
      </c>
      <c r="BE33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0.31282586027111575</v>
      </c>
      <c r="BF334" s="779">
        <f>WWWW[[#This Row],[% people access to functioning Latrine]]*WWWW[[#This Row],[Total PoP ]]</f>
        <v>300</v>
      </c>
      <c r="BG334" s="781">
        <f>WWWW[[#This Row],['#_of_Functioning_latrines_in_school]]*50</f>
        <v>100</v>
      </c>
      <c r="BH334" s="781">
        <f>ROUND((WWWW[[#This Row],[Total PoP ]]/6),0)</f>
        <v>160</v>
      </c>
      <c r="BI334" s="781">
        <f>IF(WWWW[[#This Row],[Total required Latrines]]-(WWWW[[#This Row],['#_of_sanitary_fly-proof_HH_latrines]])&lt;0,0,WWWW[[#This Row],[Total required Latrines]]-(WWWW[[#This Row],['#_of_sanitary_fly-proof_HH_latrines]]))</f>
        <v>110</v>
      </c>
      <c r="BJ334" s="778">
        <f>1-WWWW[[#This Row],[% people access to functioning Latrine]]</f>
        <v>0.68717413972888419</v>
      </c>
      <c r="BK33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4" s="772">
        <f>IF(WWWW[[#This Row],['#_of_functional_handwashing_facilities_at_HH_level]]*6&gt;WWWW[[#This Row],[Total PoP ]],WWWW[[#This Row],[Total PoP ]],WWWW[[#This Row],['#_of_functional_handwashing_facilities_at_HH_level]]*6)</f>
        <v>72</v>
      </c>
      <c r="BM334" s="781">
        <f>IF(WWWW[[#This Row],['# people reached by regular dedicated hygiene promotion]]&gt;WWWW[[#This Row],['# People received regular supply of hygiene items]],WWWW[[#This Row],['# people reached by regular dedicated hygiene promotion]],WWWW[[#This Row],['# People received regular supply of hygiene items]])</f>
        <v>0</v>
      </c>
      <c r="BN334" s="780">
        <f>IF(WWWW[[#This Row],[HRP3]]/WWWW[[#This Row],[Total PoP ]]&gt;100%,100%,WWWW[[#This Row],[HRP3]]/WWWW[[#This Row],[Total PoP ]])</f>
        <v>0</v>
      </c>
      <c r="BO334" s="778">
        <f>1-WWWW[[#This Row],[Hygiene Coverage%]]</f>
        <v>1</v>
      </c>
      <c r="BP334" s="777">
        <f>WWWW[[#This Row],['# people reached by regular dedicated hygiene promotion]]/WWWW[[#This Row],[Total PoP ]]</f>
        <v>0</v>
      </c>
      <c r="BQ33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4" s="770">
        <f>WWWW[[#This Row],['#_of_affected_women_and_girls_receiving_a_sufficient_quantity_of_sanitary_pads]]</f>
        <v>0</v>
      </c>
      <c r="BS334" s="773">
        <f>IF(WWWW[[#This Row],['# People with access to soap]]&gt;WWWW[[#This Row],['# People with access to Sanity Pads]],WWWW[[#This Row],['# People with access to soap]],WWWW[[#This Row],['# People with access to Sanity Pads]])</f>
        <v>0</v>
      </c>
      <c r="BT334" s="772" t="str">
        <f>IF(OR(WWWW[[#This Row],['#of students in school]]="",WWWW[[#This Row],['#of students in school]]=0),"No","Yes")</f>
        <v>Yes</v>
      </c>
      <c r="BU334" s="782" t="str">
        <f>VLOOKUP(WWWW[[#This Row],[Village  Name]],SiteDB6[[Site Name]:[Location Type 1]],9,FALSE)</f>
        <v>Village</v>
      </c>
      <c r="BV334" s="782" t="str">
        <f>VLOOKUP(WWWW[[#This Row],[Village  Name]],SiteDB6[[Site Name]:[Type of Accommodation]],10,FALSE)</f>
        <v>Village</v>
      </c>
      <c r="BW334" s="782">
        <f>VLOOKUP(WWWW[[#This Row],[Village  Name]],SiteDB6[[Site Name]:[Ethnic or GCA/NGCA]],11,FALSE)</f>
        <v>0</v>
      </c>
      <c r="BX334" s="782">
        <f>VLOOKUP(WWWW[[#This Row],[Village  Name]],SiteDB6[[Site Name]:[Lat]],12,FALSE)</f>
        <v>92.985267639160199</v>
      </c>
      <c r="BY334" s="782">
        <f>VLOOKUP(WWWW[[#This Row],[Village  Name]],SiteDB6[[Site Name]:[Long]],13,FALSE)</f>
        <v>20.7800903320313</v>
      </c>
      <c r="BZ334" s="782">
        <f>VLOOKUP(WWWW[[#This Row],[Village  Name]],SiteDB6[[Site Name]:[Pcode]],3,FALSE)</f>
        <v>196963</v>
      </c>
      <c r="CA334" s="782" t="str">
        <f t="shared" si="20"/>
        <v>Covered</v>
      </c>
      <c r="CB334" s="783"/>
    </row>
    <row r="335" spans="1:80">
      <c r="A335" s="774" t="s">
        <v>3199</v>
      </c>
      <c r="B335" s="727" t="s">
        <v>318</v>
      </c>
      <c r="C335" s="728" t="s">
        <v>318</v>
      </c>
      <c r="D335" s="415" t="s">
        <v>3294</v>
      </c>
      <c r="E335" s="728" t="s">
        <v>2648</v>
      </c>
      <c r="F335" s="728" t="s">
        <v>302</v>
      </c>
      <c r="G335" s="644" t="str">
        <f>VLOOKUP(WWWW[[#This Row],[Village  Name]],SiteDB6[[Site Name]:[Location Type]],8,FALSE)</f>
        <v>Village</v>
      </c>
      <c r="H335" s="415" t="s">
        <v>928</v>
      </c>
      <c r="I335" s="775">
        <v>103</v>
      </c>
      <c r="J335" s="775">
        <v>449</v>
      </c>
      <c r="K335" s="784">
        <v>43647</v>
      </c>
      <c r="L335" s="785">
        <v>44012</v>
      </c>
      <c r="M335" s="775">
        <v>53</v>
      </c>
      <c r="N335" s="775"/>
      <c r="O335" s="773"/>
      <c r="P335" s="775">
        <v>8</v>
      </c>
      <c r="Q335" s="775">
        <v>1</v>
      </c>
      <c r="R335" s="775"/>
      <c r="S335" s="775">
        <v>4</v>
      </c>
      <c r="T335" s="775"/>
      <c r="U335" s="776"/>
      <c r="V335" s="775">
        <v>96</v>
      </c>
      <c r="W335" s="775" t="s">
        <v>130</v>
      </c>
      <c r="X335" s="775">
        <v>2</v>
      </c>
      <c r="Y335" s="775">
        <v>6</v>
      </c>
      <c r="Z335" s="775"/>
      <c r="AA335" s="775"/>
      <c r="AB335" s="775"/>
      <c r="AC335" s="776"/>
      <c r="AD335" s="775"/>
      <c r="AE335" s="775"/>
      <c r="AF335" s="775"/>
      <c r="AG335" s="775"/>
      <c r="AH335" s="775"/>
      <c r="AI335" s="775"/>
      <c r="AJ335" s="773">
        <v>25</v>
      </c>
      <c r="AK335" s="775"/>
      <c r="AL335" s="773"/>
      <c r="AM335" s="773"/>
      <c r="AN335" s="776"/>
      <c r="AO335" s="769"/>
      <c r="AP335" s="769"/>
      <c r="AQ335" s="773"/>
      <c r="AR335" s="773"/>
      <c r="AS335" s="773"/>
      <c r="AT33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35" s="779">
        <f>WWWW[[#This Row],[%Equitable and continuous access to sufficient quantity of safe drinking water]]*WWWW[[#This Row],[Total PoP ]]</f>
        <v>449</v>
      </c>
      <c r="AV33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35" s="779">
        <f>WWWW[[#This Row],[% Access to unimproved water points]]*WWWW[[#This Row],[Total PoP ]]</f>
        <v>449</v>
      </c>
      <c r="AX33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3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449</v>
      </c>
      <c r="AZ335" s="779">
        <f>WWWW[[#This Row],[HRP1]]/250</f>
        <v>1.796</v>
      </c>
      <c r="BA335" s="780">
        <f>1-WWWW[[#This Row],[% Equitable and continuous access to sufficient quantity of domestic water]]</f>
        <v>0</v>
      </c>
      <c r="BB335" s="779">
        <f>WWWW[[#This Row],[%equitable and continuous access to sufficient quantity of safe drinking and domestic water''s GAP]]*WWWW[[#This Row],[Total PoP ]]</f>
        <v>0</v>
      </c>
      <c r="BC335" s="781">
        <f>IF(WWWW[[#This Row],[Total required water points]]-WWWW[[#This Row],['#Water points coverage]]&lt;0,0,WWWW[[#This Row],[Total required water points]]-WWWW[[#This Row],['#Water points coverage]])</f>
        <v>0.20399999999999996</v>
      </c>
      <c r="BD335" s="781">
        <f>ROUND(IF(WWWW[[#This Row],[Total PoP ]]&lt;250,1,WWWW[[#This Row],[Total PoP ]]/250),0)</f>
        <v>2</v>
      </c>
      <c r="BE33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35" s="779">
        <f>WWWW[[#This Row],[% people access to functioning Latrine]]*WWWW[[#This Row],[Total PoP ]]</f>
        <v>449</v>
      </c>
      <c r="BG335" s="781">
        <f>WWWW[[#This Row],['#_of_Functioning_latrines_in_school]]*50</f>
        <v>100</v>
      </c>
      <c r="BH335" s="781">
        <f>ROUND((WWWW[[#This Row],[Total PoP ]]/6),0)</f>
        <v>75</v>
      </c>
      <c r="BI335" s="781">
        <f>IF(WWWW[[#This Row],[Total required Latrines]]-(WWWW[[#This Row],['#_of_sanitary_fly-proof_HH_latrines]])&lt;0,0,WWWW[[#This Row],[Total required Latrines]]-(WWWW[[#This Row],['#_of_sanitary_fly-proof_HH_latrines]]))</f>
        <v>0</v>
      </c>
      <c r="BJ335" s="778">
        <f>1-WWWW[[#This Row],[% people access to functioning Latrine]]</f>
        <v>0</v>
      </c>
      <c r="BK33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5" s="772">
        <f>IF(WWWW[[#This Row],['#_of_functional_handwashing_facilities_at_HH_level]]*6&gt;WWWW[[#This Row],[Total PoP ]],WWWW[[#This Row],[Total PoP ]],WWWW[[#This Row],['#_of_functional_handwashing_facilities_at_HH_level]]*6)</f>
        <v>150</v>
      </c>
      <c r="BM335" s="781">
        <f>IF(WWWW[[#This Row],['# people reached by regular dedicated hygiene promotion]]&gt;WWWW[[#This Row],['# People received regular supply of hygiene items]],WWWW[[#This Row],['# people reached by regular dedicated hygiene promotion]],WWWW[[#This Row],['# People received regular supply of hygiene items]])</f>
        <v>0</v>
      </c>
      <c r="BN335" s="780">
        <f>IF(WWWW[[#This Row],[HRP3]]/WWWW[[#This Row],[Total PoP ]]&gt;100%,100%,WWWW[[#This Row],[HRP3]]/WWWW[[#This Row],[Total PoP ]])</f>
        <v>0</v>
      </c>
      <c r="BO335" s="778">
        <f>1-WWWW[[#This Row],[Hygiene Coverage%]]</f>
        <v>1</v>
      </c>
      <c r="BP335" s="777">
        <f>WWWW[[#This Row],['# people reached by regular dedicated hygiene promotion]]/WWWW[[#This Row],[Total PoP ]]</f>
        <v>0</v>
      </c>
      <c r="BQ33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5" s="770">
        <f>WWWW[[#This Row],['#_of_affected_women_and_girls_receiving_a_sufficient_quantity_of_sanitary_pads]]</f>
        <v>0</v>
      </c>
      <c r="BS335" s="773">
        <f>IF(WWWW[[#This Row],['# People with access to soap]]&gt;WWWW[[#This Row],['# People with access to Sanity Pads]],WWWW[[#This Row],['# People with access to soap]],WWWW[[#This Row],['# People with access to Sanity Pads]])</f>
        <v>0</v>
      </c>
      <c r="BT335" s="772" t="str">
        <f>IF(OR(WWWW[[#This Row],['#of students in school]]="",WWWW[[#This Row],['#of students in school]]=0),"No","Yes")</f>
        <v>Yes</v>
      </c>
      <c r="BU335" s="782" t="str">
        <f>VLOOKUP(WWWW[[#This Row],[Village  Name]],SiteDB6[[Site Name]:[Location Type 1]],9,FALSE)</f>
        <v>Village</v>
      </c>
      <c r="BV335" s="782" t="str">
        <f>VLOOKUP(WWWW[[#This Row],[Village  Name]],SiteDB6[[Site Name]:[Type of Accommodation]],10,FALSE)</f>
        <v>Village</v>
      </c>
      <c r="BW335" s="782" t="str">
        <f>VLOOKUP(WWWW[[#This Row],[Village  Name]],SiteDB6[[Site Name]:[Ethnic or GCA/NGCA]],11,FALSE)</f>
        <v>Mro</v>
      </c>
      <c r="BX335" s="782">
        <f>VLOOKUP(WWWW[[#This Row],[Village  Name]],SiteDB6[[Site Name]:[Lat]],12,FALSE)</f>
        <v>20.720500950000002</v>
      </c>
      <c r="BY335" s="782">
        <f>VLOOKUP(WWWW[[#This Row],[Village  Name]],SiteDB6[[Site Name]:[Long]],13,FALSE)</f>
        <v>92.937339780000002</v>
      </c>
      <c r="BZ335" s="782">
        <f>VLOOKUP(WWWW[[#This Row],[Village  Name]],SiteDB6[[Site Name]:[Pcode]],3,FALSE)</f>
        <v>196950</v>
      </c>
      <c r="CA335" s="782" t="str">
        <f t="shared" si="20"/>
        <v>Covered</v>
      </c>
      <c r="CB335" s="783"/>
    </row>
    <row r="336" spans="1:80">
      <c r="A336" s="774" t="s">
        <v>3199</v>
      </c>
      <c r="B336" s="727" t="s">
        <v>318</v>
      </c>
      <c r="C336" s="728" t="s">
        <v>318</v>
      </c>
      <c r="D336" s="415" t="s">
        <v>3294</v>
      </c>
      <c r="E336" s="728" t="s">
        <v>2648</v>
      </c>
      <c r="F336" s="728" t="s">
        <v>302</v>
      </c>
      <c r="G336" s="644" t="str">
        <f>VLOOKUP(WWWW[[#This Row],[Village  Name]],SiteDB6[[Site Name]:[Location Type]],8,FALSE)</f>
        <v>Village</v>
      </c>
      <c r="H336" s="728" t="s">
        <v>2960</v>
      </c>
      <c r="I336" s="775">
        <v>158</v>
      </c>
      <c r="J336" s="775">
        <v>456</v>
      </c>
      <c r="K336" s="784">
        <v>43647</v>
      </c>
      <c r="L336" s="785">
        <v>44012</v>
      </c>
      <c r="M336" s="775">
        <v>101</v>
      </c>
      <c r="N336" s="775"/>
      <c r="O336" s="773"/>
      <c r="P336" s="775"/>
      <c r="Q336" s="775">
        <v>3</v>
      </c>
      <c r="R336" s="775"/>
      <c r="S336" s="775">
        <v>1</v>
      </c>
      <c r="T336" s="775">
        <v>1</v>
      </c>
      <c r="U336" s="776"/>
      <c r="V336" s="775">
        <v>250</v>
      </c>
      <c r="W336" s="775" t="s">
        <v>130</v>
      </c>
      <c r="X336" s="775">
        <v>1</v>
      </c>
      <c r="Y336" s="775"/>
      <c r="Z336" s="775"/>
      <c r="AA336" s="775">
        <v>1</v>
      </c>
      <c r="AB336" s="775"/>
      <c r="AC336" s="776"/>
      <c r="AD336" s="775"/>
      <c r="AE336" s="775"/>
      <c r="AF336" s="775"/>
      <c r="AG336" s="775"/>
      <c r="AH336" s="775"/>
      <c r="AI336" s="775"/>
      <c r="AJ336" s="773">
        <v>25</v>
      </c>
      <c r="AK336" s="775"/>
      <c r="AL336" s="773"/>
      <c r="AM336" s="773"/>
      <c r="AN336" s="776"/>
      <c r="AO336" s="769"/>
      <c r="AP336" s="769"/>
      <c r="AQ336" s="773"/>
      <c r="AR336" s="773"/>
      <c r="AS336" s="773"/>
      <c r="AT33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0.54824561403508776</v>
      </c>
      <c r="AU336" s="779">
        <f>WWWW[[#This Row],[%Equitable and continuous access to sufficient quantity of safe drinking water]]*WWWW[[#This Row],[Total PoP ]]</f>
        <v>250.00000000000003</v>
      </c>
      <c r="AV33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36" s="779">
        <f>WWWW[[#This Row],[% Access to unimproved water points]]*WWWW[[#This Row],[Total PoP ]]</f>
        <v>456</v>
      </c>
      <c r="AX33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3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456</v>
      </c>
      <c r="AZ336" s="779">
        <f>WWWW[[#This Row],[HRP1]]/250</f>
        <v>1.8240000000000001</v>
      </c>
      <c r="BA336" s="780">
        <f>1-WWWW[[#This Row],[% Equitable and continuous access to sufficient quantity of domestic water]]</f>
        <v>0</v>
      </c>
      <c r="BB336" s="779">
        <f>WWWW[[#This Row],[%equitable and continuous access to sufficient quantity of safe drinking and domestic water''s GAP]]*WWWW[[#This Row],[Total PoP ]]</f>
        <v>0</v>
      </c>
      <c r="BC336" s="781">
        <f>IF(WWWW[[#This Row],[Total required water points]]-WWWW[[#This Row],['#Water points coverage]]&lt;0,0,WWWW[[#This Row],[Total required water points]]-WWWW[[#This Row],['#Water points coverage]])</f>
        <v>0.17599999999999993</v>
      </c>
      <c r="BD336" s="781">
        <f>ROUND(IF(WWWW[[#This Row],[Total PoP ]]&lt;250,1,WWWW[[#This Row],[Total PoP ]]/250),0)</f>
        <v>2</v>
      </c>
      <c r="BE33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36" s="779">
        <f>WWWW[[#This Row],[% people access to functioning Latrine]]*WWWW[[#This Row],[Total PoP ]]</f>
        <v>456</v>
      </c>
      <c r="BG336" s="781">
        <f>WWWW[[#This Row],['#_of_Functioning_latrines_in_school]]*50</f>
        <v>50</v>
      </c>
      <c r="BH336" s="781">
        <f>ROUND((WWWW[[#This Row],[Total PoP ]]/6),0)</f>
        <v>76</v>
      </c>
      <c r="BI336" s="781">
        <f>IF(WWWW[[#This Row],[Total required Latrines]]-(WWWW[[#This Row],['#_of_sanitary_fly-proof_HH_latrines]])&lt;0,0,WWWW[[#This Row],[Total required Latrines]]-(WWWW[[#This Row],['#_of_sanitary_fly-proof_HH_latrines]]))</f>
        <v>0</v>
      </c>
      <c r="BJ336" s="778">
        <f>1-WWWW[[#This Row],[% people access to functioning Latrine]]</f>
        <v>0</v>
      </c>
      <c r="BK33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6" s="772">
        <f>IF(WWWW[[#This Row],['#_of_functional_handwashing_facilities_at_HH_level]]*6&gt;WWWW[[#This Row],[Total PoP ]],WWWW[[#This Row],[Total PoP ]],WWWW[[#This Row],['#_of_functional_handwashing_facilities_at_HH_level]]*6)</f>
        <v>150</v>
      </c>
      <c r="BM336" s="781">
        <f>IF(WWWW[[#This Row],['# people reached by regular dedicated hygiene promotion]]&gt;WWWW[[#This Row],['# People received regular supply of hygiene items]],WWWW[[#This Row],['# people reached by regular dedicated hygiene promotion]],WWWW[[#This Row],['# People received regular supply of hygiene items]])</f>
        <v>0</v>
      </c>
      <c r="BN336" s="780">
        <f>IF(WWWW[[#This Row],[HRP3]]/WWWW[[#This Row],[Total PoP ]]&gt;100%,100%,WWWW[[#This Row],[HRP3]]/WWWW[[#This Row],[Total PoP ]])</f>
        <v>0</v>
      </c>
      <c r="BO336" s="778">
        <f>1-WWWW[[#This Row],[Hygiene Coverage%]]</f>
        <v>1</v>
      </c>
      <c r="BP336" s="777">
        <f>WWWW[[#This Row],['# people reached by regular dedicated hygiene promotion]]/WWWW[[#This Row],[Total PoP ]]</f>
        <v>0</v>
      </c>
      <c r="BQ33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6" s="770">
        <f>WWWW[[#This Row],['#_of_affected_women_and_girls_receiving_a_sufficient_quantity_of_sanitary_pads]]</f>
        <v>0</v>
      </c>
      <c r="BS336" s="773">
        <f>IF(WWWW[[#This Row],['# People with access to soap]]&gt;WWWW[[#This Row],['# People with access to Sanity Pads]],WWWW[[#This Row],['# People with access to soap]],WWWW[[#This Row],['# People with access to Sanity Pads]])</f>
        <v>0</v>
      </c>
      <c r="BT336" s="772" t="str">
        <f>IF(OR(WWWW[[#This Row],['#of students in school]]="",WWWW[[#This Row],['#of students in school]]=0),"No","Yes")</f>
        <v>Yes</v>
      </c>
      <c r="BU336" s="782" t="str">
        <f>VLOOKUP(WWWW[[#This Row],[Village  Name]],SiteDB6[[Site Name]:[Location Type 1]],9,FALSE)</f>
        <v>Village</v>
      </c>
      <c r="BV336" s="782" t="str">
        <f>VLOOKUP(WWWW[[#This Row],[Village  Name]],SiteDB6[[Site Name]:[Type of Accommodation]],10,FALSE)</f>
        <v>Village</v>
      </c>
      <c r="BW336" s="782">
        <f>VLOOKUP(WWWW[[#This Row],[Village  Name]],SiteDB6[[Site Name]:[Ethnic or GCA/NGCA]],11,FALSE)</f>
        <v>0</v>
      </c>
      <c r="BX336" s="782">
        <f>VLOOKUP(WWWW[[#This Row],[Village  Name]],SiteDB6[[Site Name]:[Lat]],12,FALSE)</f>
        <v>0</v>
      </c>
      <c r="BY336" s="782">
        <f>VLOOKUP(WWWW[[#This Row],[Village  Name]],SiteDB6[[Site Name]:[Long]],13,FALSE)</f>
        <v>0</v>
      </c>
      <c r="BZ336" s="782">
        <f>VLOOKUP(WWWW[[#This Row],[Village  Name]],SiteDB6[[Site Name]:[Pcode]],3,FALSE)</f>
        <v>196948</v>
      </c>
      <c r="CA336" s="782" t="str">
        <f t="shared" si="20"/>
        <v>Covered</v>
      </c>
      <c r="CB336" s="783"/>
    </row>
    <row r="337" spans="1:80">
      <c r="A337" s="774" t="s">
        <v>3199</v>
      </c>
      <c r="B337" s="727" t="s">
        <v>318</v>
      </c>
      <c r="C337" s="728" t="s">
        <v>318</v>
      </c>
      <c r="D337" s="728" t="s">
        <v>334</v>
      </c>
      <c r="E337" s="728" t="s">
        <v>2648</v>
      </c>
      <c r="F337" s="728" t="s">
        <v>302</v>
      </c>
      <c r="G337" s="644" t="str">
        <f>VLOOKUP(WWWW[[#This Row],[Village  Name]],SiteDB6[[Site Name]:[Location Type]],8,FALSE)</f>
        <v>Village</v>
      </c>
      <c r="H337" s="728" t="s">
        <v>3171</v>
      </c>
      <c r="I337" s="775">
        <v>34</v>
      </c>
      <c r="J337" s="775">
        <v>198</v>
      </c>
      <c r="K337" s="784">
        <v>43647</v>
      </c>
      <c r="L337" s="785">
        <v>44043</v>
      </c>
      <c r="M337" s="775">
        <v>205</v>
      </c>
      <c r="N337" s="775"/>
      <c r="O337" s="773"/>
      <c r="P337" s="775"/>
      <c r="Q337" s="775">
        <v>2</v>
      </c>
      <c r="R337" s="775"/>
      <c r="S337" s="775">
        <v>2</v>
      </c>
      <c r="T337" s="775"/>
      <c r="U337" s="776"/>
      <c r="V337" s="775">
        <v>4</v>
      </c>
      <c r="W337" s="775" t="s">
        <v>130</v>
      </c>
      <c r="X337" s="775">
        <v>1</v>
      </c>
      <c r="Y337" s="775"/>
      <c r="Z337" s="775"/>
      <c r="AA337" s="775"/>
      <c r="AB337" s="775"/>
      <c r="AC337" s="776"/>
      <c r="AD337" s="775"/>
      <c r="AE337" s="775"/>
      <c r="AF337" s="775"/>
      <c r="AG337" s="775"/>
      <c r="AH337" s="775"/>
      <c r="AI337" s="775"/>
      <c r="AJ337" s="773">
        <v>12</v>
      </c>
      <c r="AK337" s="775"/>
      <c r="AL337" s="773"/>
      <c r="AM337" s="773"/>
      <c r="AN337" s="776"/>
      <c r="AO337" s="769"/>
      <c r="AP337" s="769"/>
      <c r="AQ337" s="773"/>
      <c r="AR337" s="773"/>
      <c r="AS337" s="773"/>
      <c r="AT33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37" s="779">
        <f>WWWW[[#This Row],[%Equitable and continuous access to sufficient quantity of safe drinking water]]*WWWW[[#This Row],[Total PoP ]]</f>
        <v>0</v>
      </c>
      <c r="AV33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37" s="779">
        <f>WWWW[[#This Row],[% Access to unimproved water points]]*WWWW[[#This Row],[Total PoP ]]</f>
        <v>198</v>
      </c>
      <c r="AX33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3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198</v>
      </c>
      <c r="AZ337" s="779">
        <f>WWWW[[#This Row],[HRP1]]/250</f>
        <v>0.79200000000000004</v>
      </c>
      <c r="BA337" s="780">
        <f>1-WWWW[[#This Row],[% Equitable and continuous access to sufficient quantity of domestic water]]</f>
        <v>0</v>
      </c>
      <c r="BB337" s="779">
        <f>WWWW[[#This Row],[%equitable and continuous access to sufficient quantity of safe drinking and domestic water''s GAP]]*WWWW[[#This Row],[Total PoP ]]</f>
        <v>0</v>
      </c>
      <c r="BC337" s="781">
        <f>IF(WWWW[[#This Row],[Total required water points]]-WWWW[[#This Row],['#Water points coverage]]&lt;0,0,WWWW[[#This Row],[Total required water points]]-WWWW[[#This Row],['#Water points coverage]])</f>
        <v>0.20799999999999996</v>
      </c>
      <c r="BD337" s="781">
        <f>ROUND(IF(WWWW[[#This Row],[Total PoP ]]&lt;250,1,WWWW[[#This Row],[Total PoP ]]/250),0)</f>
        <v>1</v>
      </c>
      <c r="BE33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0.12121212121212122</v>
      </c>
      <c r="BF337" s="779">
        <f>WWWW[[#This Row],[% people access to functioning Latrine]]*WWWW[[#This Row],[Total PoP ]]</f>
        <v>24</v>
      </c>
      <c r="BG337" s="781">
        <f>WWWW[[#This Row],['#_of_Functioning_latrines_in_school]]*50</f>
        <v>50</v>
      </c>
      <c r="BH337" s="781">
        <f>ROUND((WWWW[[#This Row],[Total PoP ]]/6),0)</f>
        <v>33</v>
      </c>
      <c r="BI337" s="781">
        <f>IF(WWWW[[#This Row],[Total required Latrines]]-(WWWW[[#This Row],['#_of_sanitary_fly-proof_HH_latrines]])&lt;0,0,WWWW[[#This Row],[Total required Latrines]]-(WWWW[[#This Row],['#_of_sanitary_fly-proof_HH_latrines]]))</f>
        <v>29</v>
      </c>
      <c r="BJ337" s="778">
        <f>1-WWWW[[#This Row],[% people access to functioning Latrine]]</f>
        <v>0.87878787878787878</v>
      </c>
      <c r="BK33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7" s="772">
        <f>IF(WWWW[[#This Row],['#_of_functional_handwashing_facilities_at_HH_level]]*6&gt;WWWW[[#This Row],[Total PoP ]],WWWW[[#This Row],[Total PoP ]],WWWW[[#This Row],['#_of_functional_handwashing_facilities_at_HH_level]]*6)</f>
        <v>72</v>
      </c>
      <c r="BM337" s="781">
        <f>IF(WWWW[[#This Row],['# people reached by regular dedicated hygiene promotion]]&gt;WWWW[[#This Row],['# People received regular supply of hygiene items]],WWWW[[#This Row],['# people reached by regular dedicated hygiene promotion]],WWWW[[#This Row],['# People received regular supply of hygiene items]])</f>
        <v>0</v>
      </c>
      <c r="BN337" s="780">
        <f>IF(WWWW[[#This Row],[HRP3]]/WWWW[[#This Row],[Total PoP ]]&gt;100%,100%,WWWW[[#This Row],[HRP3]]/WWWW[[#This Row],[Total PoP ]])</f>
        <v>0</v>
      </c>
      <c r="BO337" s="778">
        <f>1-WWWW[[#This Row],[Hygiene Coverage%]]</f>
        <v>1</v>
      </c>
      <c r="BP337" s="777">
        <f>WWWW[[#This Row],['# people reached by regular dedicated hygiene promotion]]/WWWW[[#This Row],[Total PoP ]]</f>
        <v>0</v>
      </c>
      <c r="BQ33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7" s="770">
        <f>WWWW[[#This Row],['#_of_affected_women_and_girls_receiving_a_sufficient_quantity_of_sanitary_pads]]</f>
        <v>0</v>
      </c>
      <c r="BS337" s="773">
        <f>IF(WWWW[[#This Row],['# People with access to soap]]&gt;WWWW[[#This Row],['# People with access to Sanity Pads]],WWWW[[#This Row],['# People with access to soap]],WWWW[[#This Row],['# People with access to Sanity Pads]])</f>
        <v>0</v>
      </c>
      <c r="BT337" s="772" t="str">
        <f>IF(OR(WWWW[[#This Row],['#of students in school]]="",WWWW[[#This Row],['#of students in school]]=0),"No","Yes")</f>
        <v>Yes</v>
      </c>
      <c r="BU337" s="782" t="str">
        <f>VLOOKUP(WWWW[[#This Row],[Village  Name]],SiteDB6[[Site Name]:[Location Type 1]],9,FALSE)</f>
        <v>Village</v>
      </c>
      <c r="BV337" s="782" t="str">
        <f>VLOOKUP(WWWW[[#This Row],[Village  Name]],SiteDB6[[Site Name]:[Type of Accommodation]],10,FALSE)</f>
        <v>Village</v>
      </c>
      <c r="BW337" s="782">
        <f>VLOOKUP(WWWW[[#This Row],[Village  Name]],SiteDB6[[Site Name]:[Ethnic or GCA/NGCA]],11,FALSE)</f>
        <v>0</v>
      </c>
      <c r="BX337" s="782">
        <f>VLOOKUP(WWWW[[#This Row],[Village  Name]],SiteDB6[[Site Name]:[Lat]],12,FALSE)</f>
        <v>92.928596496582003</v>
      </c>
      <c r="BY337" s="782">
        <f>VLOOKUP(WWWW[[#This Row],[Village  Name]],SiteDB6[[Site Name]:[Long]],13,FALSE)</f>
        <v>20.649574279785199</v>
      </c>
      <c r="BZ337" s="782">
        <f>VLOOKUP(WWWW[[#This Row],[Village  Name]],SiteDB6[[Site Name]:[Pcode]],3,FALSE)</f>
        <v>196920</v>
      </c>
      <c r="CA337" s="782" t="str">
        <f t="shared" si="20"/>
        <v>Covered</v>
      </c>
      <c r="CB337" s="783"/>
    </row>
    <row r="338" spans="1:80">
      <c r="A338" s="774" t="s">
        <v>3199</v>
      </c>
      <c r="B338" s="727" t="s">
        <v>318</v>
      </c>
      <c r="C338" s="728" t="s">
        <v>318</v>
      </c>
      <c r="D338" s="728" t="s">
        <v>334</v>
      </c>
      <c r="E338" s="728" t="s">
        <v>2648</v>
      </c>
      <c r="F338" s="728" t="s">
        <v>295</v>
      </c>
      <c r="G338" s="644" t="str">
        <f>VLOOKUP(WWWW[[#This Row],[Village  Name]],SiteDB6[[Site Name]:[Location Type]],8,FALSE)</f>
        <v>Village</v>
      </c>
      <c r="H338" s="728" t="s">
        <v>448</v>
      </c>
      <c r="I338" s="775">
        <v>389</v>
      </c>
      <c r="J338" s="775">
        <v>1790</v>
      </c>
      <c r="K338" s="784">
        <v>43678</v>
      </c>
      <c r="L338" s="785">
        <v>44043</v>
      </c>
      <c r="M338" s="775">
        <v>350</v>
      </c>
      <c r="N338" s="775"/>
      <c r="O338" s="794"/>
      <c r="P338" s="794">
        <v>230</v>
      </c>
      <c r="Q338" s="775">
        <v>0</v>
      </c>
      <c r="R338" s="775"/>
      <c r="S338" s="775"/>
      <c r="T338" s="775">
        <v>0</v>
      </c>
      <c r="U338" s="776"/>
      <c r="V338" s="794">
        <v>80</v>
      </c>
      <c r="W338" s="775" t="s">
        <v>126</v>
      </c>
      <c r="X338" s="775">
        <v>0</v>
      </c>
      <c r="Y338" s="775">
        <v>20</v>
      </c>
      <c r="Z338" s="775"/>
      <c r="AA338" s="775"/>
      <c r="AB338" s="775"/>
      <c r="AC338" s="776"/>
      <c r="AD338" s="775"/>
      <c r="AE338" s="775"/>
      <c r="AF338" s="775"/>
      <c r="AG338" s="775"/>
      <c r="AH338" s="775"/>
      <c r="AI338" s="775"/>
      <c r="AJ338" s="794">
        <v>45</v>
      </c>
      <c r="AK338" s="775"/>
      <c r="AL338" s="773"/>
      <c r="AM338" s="773"/>
      <c r="AN338" s="776"/>
      <c r="AO338" s="769"/>
      <c r="AP338" s="769"/>
      <c r="AQ338" s="773"/>
      <c r="AR338" s="773"/>
      <c r="AS338" s="773"/>
      <c r="AT33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38" s="779">
        <f>WWWW[[#This Row],[%Equitable and continuous access to sufficient quantity of safe drinking water]]*WWWW[[#This Row],[Total PoP ]]</f>
        <v>1790</v>
      </c>
      <c r="AV33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38" s="779">
        <f>WWWW[[#This Row],[% Access to unimproved water points]]*WWWW[[#This Row],[Total PoP ]]</f>
        <v>0</v>
      </c>
      <c r="AX33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3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1790</v>
      </c>
      <c r="AZ338" s="779">
        <f>WWWW[[#This Row],[HRP1]]/250</f>
        <v>7.16</v>
      </c>
      <c r="BA338" s="780">
        <f>1-WWWW[[#This Row],[% Equitable and continuous access to sufficient quantity of domestic water]]</f>
        <v>0</v>
      </c>
      <c r="BB338" s="779">
        <f>WWWW[[#This Row],[%equitable and continuous access to sufficient quantity of safe drinking and domestic water''s GAP]]*WWWW[[#This Row],[Total PoP ]]</f>
        <v>0</v>
      </c>
      <c r="BC338" s="781">
        <f>IF(WWWW[[#This Row],[Total required water points]]-WWWW[[#This Row],['#Water points coverage]]&lt;0,0,WWWW[[#This Row],[Total required water points]]-WWWW[[#This Row],['#Water points coverage]])</f>
        <v>0</v>
      </c>
      <c r="BD338" s="781">
        <f>ROUND(IF(WWWW[[#This Row],[Total PoP ]]&lt;250,1,WWWW[[#This Row],[Total PoP ]]/250),0)</f>
        <v>7</v>
      </c>
      <c r="BE33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0.26815642458100558</v>
      </c>
      <c r="BF338" s="779">
        <f>WWWW[[#This Row],[% people access to functioning Latrine]]*WWWW[[#This Row],[Total PoP ]]</f>
        <v>480</v>
      </c>
      <c r="BG338" s="781">
        <f>WWWW[[#This Row],['#_of_Functioning_latrines_in_school]]*50</f>
        <v>0</v>
      </c>
      <c r="BH338" s="781">
        <f>ROUND((WWWW[[#This Row],[Total PoP ]]/6),0)</f>
        <v>298</v>
      </c>
      <c r="BI338" s="781">
        <f>IF(WWWW[[#This Row],[Total required Latrines]]-(WWWW[[#This Row],['#_of_sanitary_fly-proof_HH_latrines]])&lt;0,0,WWWW[[#This Row],[Total required Latrines]]-(WWWW[[#This Row],['#_of_sanitary_fly-proof_HH_latrines]]))</f>
        <v>218</v>
      </c>
      <c r="BJ338" s="778">
        <f>1-WWWW[[#This Row],[% people access to functioning Latrine]]</f>
        <v>0.73184357541899447</v>
      </c>
      <c r="BK33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8" s="772">
        <f>IF(WWWW[[#This Row],['#_of_functional_handwashing_facilities_at_HH_level]]*6&gt;WWWW[[#This Row],[Total PoP ]],WWWW[[#This Row],[Total PoP ]],WWWW[[#This Row],['#_of_functional_handwashing_facilities_at_HH_level]]*6)</f>
        <v>270</v>
      </c>
      <c r="BM338" s="781">
        <f>IF(WWWW[[#This Row],['# people reached by regular dedicated hygiene promotion]]&gt;WWWW[[#This Row],['# People received regular supply of hygiene items]],WWWW[[#This Row],['# people reached by regular dedicated hygiene promotion]],WWWW[[#This Row],['# People received regular supply of hygiene items]])</f>
        <v>0</v>
      </c>
      <c r="BN338" s="780">
        <f>IF(WWWW[[#This Row],[HRP3]]/WWWW[[#This Row],[Total PoP ]]&gt;100%,100%,WWWW[[#This Row],[HRP3]]/WWWW[[#This Row],[Total PoP ]])</f>
        <v>0</v>
      </c>
      <c r="BO338" s="778">
        <f>1-WWWW[[#This Row],[Hygiene Coverage%]]</f>
        <v>1</v>
      </c>
      <c r="BP338" s="777">
        <f>WWWW[[#This Row],['# people reached by regular dedicated hygiene promotion]]/WWWW[[#This Row],[Total PoP ]]</f>
        <v>0</v>
      </c>
      <c r="BQ33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8" s="770">
        <f>WWWW[[#This Row],['#_of_affected_women_and_girls_receiving_a_sufficient_quantity_of_sanitary_pads]]</f>
        <v>0</v>
      </c>
      <c r="BS338" s="773">
        <f>IF(WWWW[[#This Row],['# People with access to soap]]&gt;WWWW[[#This Row],['# People with access to Sanity Pads]],WWWW[[#This Row],['# People with access to soap]],WWWW[[#This Row],['# People with access to Sanity Pads]])</f>
        <v>0</v>
      </c>
      <c r="BT338" s="772" t="str">
        <f>IF(OR(WWWW[[#This Row],['#of students in school]]="",WWWW[[#This Row],['#of students in school]]=0),"No","Yes")</f>
        <v>Yes</v>
      </c>
      <c r="BU338" s="782" t="str">
        <f>VLOOKUP(WWWW[[#This Row],[Village  Name]],SiteDB6[[Site Name]:[Location Type 1]],9,FALSE)</f>
        <v>Village</v>
      </c>
      <c r="BV338" s="782" t="str">
        <f>VLOOKUP(WWWW[[#This Row],[Village  Name]],SiteDB6[[Site Name]:[Type of Accommodation]],10,FALSE)</f>
        <v>Village</v>
      </c>
      <c r="BW338" s="782" t="str">
        <f>VLOOKUP(WWWW[[#This Row],[Village  Name]],SiteDB6[[Site Name]:[Ethnic or GCA/NGCA]],11,FALSE)</f>
        <v>Muslim</v>
      </c>
      <c r="BX338" s="782">
        <f>VLOOKUP(WWWW[[#This Row],[Village  Name]],SiteDB6[[Site Name]:[Lat]],12,FALSE)</f>
        <v>20.235199999999999</v>
      </c>
      <c r="BY338" s="782">
        <f>VLOOKUP(WWWW[[#This Row],[Village  Name]],SiteDB6[[Site Name]:[Long]],13,FALSE)</f>
        <v>92.805000000000007</v>
      </c>
      <c r="BZ338" s="782">
        <f>VLOOKUP(WWWW[[#This Row],[Village  Name]],SiteDB6[[Site Name]:[Pcode]],3,FALSE)</f>
        <v>196143</v>
      </c>
      <c r="CA338" s="782" t="str">
        <f t="shared" ref="CA338:CA351" si="21">IF(C338="none","Notcovered","Covered")</f>
        <v>Covered</v>
      </c>
      <c r="CB338" s="783"/>
    </row>
    <row r="339" spans="1:80">
      <c r="A339" s="774" t="s">
        <v>3199</v>
      </c>
      <c r="B339" s="727" t="s">
        <v>318</v>
      </c>
      <c r="C339" s="728" t="s">
        <v>318</v>
      </c>
      <c r="D339" s="728" t="s">
        <v>334</v>
      </c>
      <c r="E339" s="728" t="s">
        <v>2648</v>
      </c>
      <c r="F339" s="728" t="s">
        <v>295</v>
      </c>
      <c r="G339" s="644" t="str">
        <f>VLOOKUP(WWWW[[#This Row],[Village  Name]],SiteDB6[[Site Name]:[Location Type]],8,FALSE)</f>
        <v>Village</v>
      </c>
      <c r="H339" s="728" t="s">
        <v>1664</v>
      </c>
      <c r="I339" s="775">
        <v>410</v>
      </c>
      <c r="J339" s="775">
        <v>2100</v>
      </c>
      <c r="K339" s="784">
        <v>43678</v>
      </c>
      <c r="L339" s="785">
        <v>44043</v>
      </c>
      <c r="M339" s="775">
        <v>200</v>
      </c>
      <c r="N339" s="775"/>
      <c r="O339" s="794">
        <v>11</v>
      </c>
      <c r="P339" s="794">
        <v>52</v>
      </c>
      <c r="Q339" s="775"/>
      <c r="R339" s="775"/>
      <c r="S339" s="775"/>
      <c r="T339" s="775">
        <v>1</v>
      </c>
      <c r="U339" s="776"/>
      <c r="V339" s="794">
        <v>280</v>
      </c>
      <c r="W339" s="775" t="s">
        <v>126</v>
      </c>
      <c r="X339" s="775">
        <v>5</v>
      </c>
      <c r="Y339" s="775">
        <v>9</v>
      </c>
      <c r="Z339" s="775"/>
      <c r="AA339" s="775"/>
      <c r="AB339" s="775"/>
      <c r="AC339" s="776"/>
      <c r="AD339" s="775"/>
      <c r="AE339" s="775"/>
      <c r="AF339" s="775"/>
      <c r="AG339" s="775"/>
      <c r="AH339" s="775"/>
      <c r="AI339" s="775"/>
      <c r="AJ339" s="794">
        <v>50</v>
      </c>
      <c r="AK339" s="775"/>
      <c r="AL339" s="773"/>
      <c r="AM339" s="773"/>
      <c r="AN339" s="776"/>
      <c r="AO339" s="769"/>
      <c r="AP339" s="769"/>
      <c r="AQ339" s="773"/>
      <c r="AR339" s="773"/>
      <c r="AS339" s="773"/>
      <c r="AT33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39" s="779">
        <f>WWWW[[#This Row],[%Equitable and continuous access to sufficient quantity of safe drinking water]]*WWWW[[#This Row],[Total PoP ]]</f>
        <v>2100</v>
      </c>
      <c r="AV33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39" s="779">
        <f>WWWW[[#This Row],[% Access to unimproved water points]]*WWWW[[#This Row],[Total PoP ]]</f>
        <v>0</v>
      </c>
      <c r="AX33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3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2100</v>
      </c>
      <c r="AZ339" s="779">
        <f>WWWW[[#This Row],[HRP1]]/250</f>
        <v>8.4</v>
      </c>
      <c r="BA339" s="780">
        <f>1-WWWW[[#This Row],[% Equitable and continuous access to sufficient quantity of domestic water]]</f>
        <v>0</v>
      </c>
      <c r="BB339" s="779">
        <f>WWWW[[#This Row],[%equitable and continuous access to sufficient quantity of safe drinking and domestic water''s GAP]]*WWWW[[#This Row],[Total PoP ]]</f>
        <v>0</v>
      </c>
      <c r="BC339" s="781">
        <f>IF(WWWW[[#This Row],[Total required water points]]-WWWW[[#This Row],['#Water points coverage]]&lt;0,0,WWWW[[#This Row],[Total required water points]]-WWWW[[#This Row],['#Water points coverage]])</f>
        <v>0</v>
      </c>
      <c r="BD339" s="781">
        <f>ROUND(IF(WWWW[[#This Row],[Total PoP ]]&lt;250,1,WWWW[[#This Row],[Total PoP ]]/250),0)</f>
        <v>8</v>
      </c>
      <c r="BE33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v>
      </c>
      <c r="BF339" s="779">
        <f>WWWW[[#This Row],[% people access to functioning Latrine]]*WWWW[[#This Row],[Total PoP ]]</f>
        <v>1680</v>
      </c>
      <c r="BG339" s="781">
        <f>WWWW[[#This Row],['#_of_Functioning_latrines_in_school]]*50</f>
        <v>250</v>
      </c>
      <c r="BH339" s="781">
        <f>ROUND((WWWW[[#This Row],[Total PoP ]]/6),0)</f>
        <v>350</v>
      </c>
      <c r="BI339" s="781">
        <f>IF(WWWW[[#This Row],[Total required Latrines]]-(WWWW[[#This Row],['#_of_sanitary_fly-proof_HH_latrines]])&lt;0,0,WWWW[[#This Row],[Total required Latrines]]-(WWWW[[#This Row],['#_of_sanitary_fly-proof_HH_latrines]]))</f>
        <v>70</v>
      </c>
      <c r="BJ339" s="778">
        <f>1-WWWW[[#This Row],[% people access to functioning Latrine]]</f>
        <v>0.19999999999999996</v>
      </c>
      <c r="BK33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39" s="772">
        <f>IF(WWWW[[#This Row],['#_of_functional_handwashing_facilities_at_HH_level]]*6&gt;WWWW[[#This Row],[Total PoP ]],WWWW[[#This Row],[Total PoP ]],WWWW[[#This Row],['#_of_functional_handwashing_facilities_at_HH_level]]*6)</f>
        <v>300</v>
      </c>
      <c r="BM339" s="781">
        <f>IF(WWWW[[#This Row],['# people reached by regular dedicated hygiene promotion]]&gt;WWWW[[#This Row],['# People received regular supply of hygiene items]],WWWW[[#This Row],['# people reached by regular dedicated hygiene promotion]],WWWW[[#This Row],['# People received regular supply of hygiene items]])</f>
        <v>0</v>
      </c>
      <c r="BN339" s="780">
        <f>IF(WWWW[[#This Row],[HRP3]]/WWWW[[#This Row],[Total PoP ]]&gt;100%,100%,WWWW[[#This Row],[HRP3]]/WWWW[[#This Row],[Total PoP ]])</f>
        <v>0</v>
      </c>
      <c r="BO339" s="778">
        <f>1-WWWW[[#This Row],[Hygiene Coverage%]]</f>
        <v>1</v>
      </c>
      <c r="BP339" s="777">
        <f>WWWW[[#This Row],['# people reached by regular dedicated hygiene promotion]]/WWWW[[#This Row],[Total PoP ]]</f>
        <v>0</v>
      </c>
      <c r="BQ33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39" s="770">
        <f>WWWW[[#This Row],['#_of_affected_women_and_girls_receiving_a_sufficient_quantity_of_sanitary_pads]]</f>
        <v>0</v>
      </c>
      <c r="BS339" s="773">
        <f>IF(WWWW[[#This Row],['# People with access to soap]]&gt;WWWW[[#This Row],['# People with access to Sanity Pads]],WWWW[[#This Row],['# People with access to soap]],WWWW[[#This Row],['# People with access to Sanity Pads]])</f>
        <v>0</v>
      </c>
      <c r="BT339" s="772" t="str">
        <f>IF(OR(WWWW[[#This Row],['#of students in school]]="",WWWW[[#This Row],['#of students in school]]=0),"No","Yes")</f>
        <v>Yes</v>
      </c>
      <c r="BU339" s="782" t="str">
        <f>VLOOKUP(WWWW[[#This Row],[Village  Name]],SiteDB6[[Site Name]:[Location Type 1]],9,FALSE)</f>
        <v>Village</v>
      </c>
      <c r="BV339" s="782" t="str">
        <f>VLOOKUP(WWWW[[#This Row],[Village  Name]],SiteDB6[[Site Name]:[Type of Accommodation]],10,FALSE)</f>
        <v>Village</v>
      </c>
      <c r="BW339" s="782">
        <f>VLOOKUP(WWWW[[#This Row],[Village  Name]],SiteDB6[[Site Name]:[Ethnic or GCA/NGCA]],11,FALSE)</f>
        <v>0</v>
      </c>
      <c r="BX339" s="782">
        <f>VLOOKUP(WWWW[[#This Row],[Village  Name]],SiteDB6[[Site Name]:[Lat]],12,FALSE)</f>
        <v>20.2351894378662</v>
      </c>
      <c r="BY339" s="782">
        <f>VLOOKUP(WWWW[[#This Row],[Village  Name]],SiteDB6[[Site Name]:[Long]],13,FALSE)</f>
        <v>92.790191650390597</v>
      </c>
      <c r="BZ339" s="782">
        <f>VLOOKUP(WWWW[[#This Row],[Village  Name]],SiteDB6[[Site Name]:[Pcode]],3,FALSE)</f>
        <v>196138</v>
      </c>
      <c r="CA339" s="782" t="str">
        <f t="shared" si="21"/>
        <v>Covered</v>
      </c>
      <c r="CB339" s="783"/>
    </row>
    <row r="340" spans="1:80">
      <c r="A340" s="774" t="s">
        <v>3199</v>
      </c>
      <c r="B340" s="727" t="s">
        <v>318</v>
      </c>
      <c r="C340" s="728" t="s">
        <v>318</v>
      </c>
      <c r="D340" s="728" t="s">
        <v>334</v>
      </c>
      <c r="E340" s="728" t="s">
        <v>2648</v>
      </c>
      <c r="F340" s="728" t="s">
        <v>295</v>
      </c>
      <c r="G340" s="644" t="str">
        <f>VLOOKUP(WWWW[[#This Row],[Village  Name]],SiteDB6[[Site Name]:[Location Type]],8,FALSE)</f>
        <v>Village</v>
      </c>
      <c r="H340" s="728" t="s">
        <v>3107</v>
      </c>
      <c r="I340" s="775">
        <v>187</v>
      </c>
      <c r="J340" s="775">
        <v>913</v>
      </c>
      <c r="K340" s="784">
        <v>43678</v>
      </c>
      <c r="L340" s="785">
        <v>44043</v>
      </c>
      <c r="M340" s="775">
        <v>110</v>
      </c>
      <c r="N340" s="775"/>
      <c r="O340" s="794">
        <v>7</v>
      </c>
      <c r="P340" s="794">
        <v>10</v>
      </c>
      <c r="Q340" s="775">
        <v>0</v>
      </c>
      <c r="R340" s="775"/>
      <c r="S340" s="775"/>
      <c r="T340" s="775"/>
      <c r="U340" s="776"/>
      <c r="V340" s="794">
        <v>12</v>
      </c>
      <c r="W340" s="775" t="s">
        <v>126</v>
      </c>
      <c r="X340" s="775">
        <v>0</v>
      </c>
      <c r="Y340" s="775">
        <v>14</v>
      </c>
      <c r="Z340" s="775"/>
      <c r="AA340" s="775"/>
      <c r="AB340" s="775"/>
      <c r="AC340" s="776"/>
      <c r="AD340" s="775"/>
      <c r="AE340" s="775"/>
      <c r="AF340" s="775"/>
      <c r="AG340" s="775"/>
      <c r="AH340" s="775"/>
      <c r="AI340" s="775"/>
      <c r="AJ340" s="794">
        <v>50</v>
      </c>
      <c r="AK340" s="775"/>
      <c r="AL340" s="773"/>
      <c r="AM340" s="773"/>
      <c r="AN340" s="776"/>
      <c r="AO340" s="769"/>
      <c r="AP340" s="769"/>
      <c r="AQ340" s="773"/>
      <c r="AR340" s="773"/>
      <c r="AS340" s="773"/>
      <c r="AT34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40" s="779">
        <f>WWWW[[#This Row],[%Equitable and continuous access to sufficient quantity of safe drinking water]]*WWWW[[#This Row],[Total PoP ]]</f>
        <v>913</v>
      </c>
      <c r="AV34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40" s="779">
        <f>WWWW[[#This Row],[% Access to unimproved water points]]*WWWW[[#This Row],[Total PoP ]]</f>
        <v>0</v>
      </c>
      <c r="AX34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4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913</v>
      </c>
      <c r="AZ340" s="779">
        <f>WWWW[[#This Row],[HRP1]]/250</f>
        <v>3.6520000000000001</v>
      </c>
      <c r="BA340" s="780">
        <f>1-WWWW[[#This Row],[% Equitable and continuous access to sufficient quantity of domestic water]]</f>
        <v>0</v>
      </c>
      <c r="BB340" s="779">
        <f>WWWW[[#This Row],[%equitable and continuous access to sufficient quantity of safe drinking and domestic water''s GAP]]*WWWW[[#This Row],[Total PoP ]]</f>
        <v>0</v>
      </c>
      <c r="BC340" s="781">
        <f>IF(WWWW[[#This Row],[Total required water points]]-WWWW[[#This Row],['#Water points coverage]]&lt;0,0,WWWW[[#This Row],[Total required water points]]-WWWW[[#This Row],['#Water points coverage]])</f>
        <v>0.34799999999999986</v>
      </c>
      <c r="BD340" s="781">
        <f>ROUND(IF(WWWW[[#This Row],[Total PoP ]]&lt;250,1,WWWW[[#This Row],[Total PoP ]]/250),0)</f>
        <v>4</v>
      </c>
      <c r="BE34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7.8860898138006577E-2</v>
      </c>
      <c r="BF340" s="779">
        <f>WWWW[[#This Row],[% people access to functioning Latrine]]*WWWW[[#This Row],[Total PoP ]]</f>
        <v>72</v>
      </c>
      <c r="BG340" s="781">
        <f>WWWW[[#This Row],['#_of_Functioning_latrines_in_school]]*50</f>
        <v>0</v>
      </c>
      <c r="BH340" s="781">
        <f>ROUND((WWWW[[#This Row],[Total PoP ]]/6),0)</f>
        <v>152</v>
      </c>
      <c r="BI340" s="781">
        <f>IF(WWWW[[#This Row],[Total required Latrines]]-(WWWW[[#This Row],['#_of_sanitary_fly-proof_HH_latrines]])&lt;0,0,WWWW[[#This Row],[Total required Latrines]]-(WWWW[[#This Row],['#_of_sanitary_fly-proof_HH_latrines]]))</f>
        <v>140</v>
      </c>
      <c r="BJ340" s="778">
        <f>1-WWWW[[#This Row],[% people access to functioning Latrine]]</f>
        <v>0.92113910186199344</v>
      </c>
      <c r="BK34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0" s="772">
        <f>IF(WWWW[[#This Row],['#_of_functional_handwashing_facilities_at_HH_level]]*6&gt;WWWW[[#This Row],[Total PoP ]],WWWW[[#This Row],[Total PoP ]],WWWW[[#This Row],['#_of_functional_handwashing_facilities_at_HH_level]]*6)</f>
        <v>300</v>
      </c>
      <c r="BM340" s="781">
        <f>IF(WWWW[[#This Row],['# people reached by regular dedicated hygiene promotion]]&gt;WWWW[[#This Row],['# People received regular supply of hygiene items]],WWWW[[#This Row],['# people reached by regular dedicated hygiene promotion]],WWWW[[#This Row],['# People received regular supply of hygiene items]])</f>
        <v>0</v>
      </c>
      <c r="BN340" s="780">
        <f>IF(WWWW[[#This Row],[HRP3]]/WWWW[[#This Row],[Total PoP ]]&gt;100%,100%,WWWW[[#This Row],[HRP3]]/WWWW[[#This Row],[Total PoP ]])</f>
        <v>0</v>
      </c>
      <c r="BO340" s="778">
        <f>1-WWWW[[#This Row],[Hygiene Coverage%]]</f>
        <v>1</v>
      </c>
      <c r="BP340" s="777">
        <f>WWWW[[#This Row],['# people reached by regular dedicated hygiene promotion]]/WWWW[[#This Row],[Total PoP ]]</f>
        <v>0</v>
      </c>
      <c r="BQ34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0" s="770">
        <f>WWWW[[#This Row],['#_of_affected_women_and_girls_receiving_a_sufficient_quantity_of_sanitary_pads]]</f>
        <v>0</v>
      </c>
      <c r="BS340" s="773">
        <f>IF(WWWW[[#This Row],['# People with access to soap]]&gt;WWWW[[#This Row],['# People with access to Sanity Pads]],WWWW[[#This Row],['# People with access to soap]],WWWW[[#This Row],['# People with access to Sanity Pads]])</f>
        <v>0</v>
      </c>
      <c r="BT340" s="772" t="str">
        <f>IF(OR(WWWW[[#This Row],['#of students in school]]="",WWWW[[#This Row],['#of students in school]]=0),"No","Yes")</f>
        <v>Yes</v>
      </c>
      <c r="BU340" s="782" t="str">
        <f>VLOOKUP(WWWW[[#This Row],[Village  Name]],SiteDB6[[Site Name]:[Location Type 1]],9,FALSE)</f>
        <v>Village</v>
      </c>
      <c r="BV340" s="782" t="str">
        <f>VLOOKUP(WWWW[[#This Row],[Village  Name]],SiteDB6[[Site Name]:[Type of Accommodation]],10,FALSE)</f>
        <v>Village</v>
      </c>
      <c r="BW340" s="782">
        <f>VLOOKUP(WWWW[[#This Row],[Village  Name]],SiteDB6[[Site Name]:[Ethnic or GCA/NGCA]],11,FALSE)</f>
        <v>0</v>
      </c>
      <c r="BX340" s="782">
        <f>VLOOKUP(WWWW[[#This Row],[Village  Name]],SiteDB6[[Site Name]:[Lat]],12,FALSE)</f>
        <v>0</v>
      </c>
      <c r="BY340" s="782">
        <f>VLOOKUP(WWWW[[#This Row],[Village  Name]],SiteDB6[[Site Name]:[Long]],13,FALSE)</f>
        <v>0</v>
      </c>
      <c r="BZ340" s="782">
        <f>VLOOKUP(WWWW[[#This Row],[Village  Name]],SiteDB6[[Site Name]:[Pcode]],3,FALSE)</f>
        <v>0</v>
      </c>
      <c r="CA340" s="782" t="str">
        <f t="shared" si="21"/>
        <v>Covered</v>
      </c>
      <c r="CB340" s="783"/>
    </row>
    <row r="341" spans="1:80">
      <c r="A341" s="774" t="s">
        <v>3199</v>
      </c>
      <c r="B341" s="727" t="s">
        <v>318</v>
      </c>
      <c r="C341" s="728" t="s">
        <v>318</v>
      </c>
      <c r="D341" s="728" t="s">
        <v>334</v>
      </c>
      <c r="E341" s="728" t="s">
        <v>2648</v>
      </c>
      <c r="F341" s="728" t="s">
        <v>295</v>
      </c>
      <c r="G341" s="644" t="str">
        <f>VLOOKUP(WWWW[[#This Row],[Village  Name]],SiteDB6[[Site Name]:[Location Type]],8,FALSE)</f>
        <v>Village</v>
      </c>
      <c r="H341" s="728" t="s">
        <v>3108</v>
      </c>
      <c r="I341" s="775">
        <v>164</v>
      </c>
      <c r="J341" s="775">
        <v>1172</v>
      </c>
      <c r="K341" s="784">
        <v>43678</v>
      </c>
      <c r="L341" s="785">
        <v>44043</v>
      </c>
      <c r="M341" s="775">
        <v>50</v>
      </c>
      <c r="N341" s="775"/>
      <c r="O341" s="794">
        <v>2</v>
      </c>
      <c r="P341" s="794">
        <v>70</v>
      </c>
      <c r="Q341" s="775">
        <v>0</v>
      </c>
      <c r="R341" s="775"/>
      <c r="S341" s="775">
        <v>0</v>
      </c>
      <c r="T341" s="775">
        <v>0</v>
      </c>
      <c r="U341" s="776"/>
      <c r="V341" s="794">
        <v>20</v>
      </c>
      <c r="W341" s="775" t="s">
        <v>126</v>
      </c>
      <c r="X341" s="775"/>
      <c r="Y341" s="775">
        <v>10</v>
      </c>
      <c r="Z341" s="775"/>
      <c r="AA341" s="775"/>
      <c r="AB341" s="775"/>
      <c r="AC341" s="776"/>
      <c r="AD341" s="775"/>
      <c r="AE341" s="775"/>
      <c r="AF341" s="775"/>
      <c r="AG341" s="775"/>
      <c r="AH341" s="775"/>
      <c r="AI341" s="775"/>
      <c r="AJ341" s="794">
        <v>50</v>
      </c>
      <c r="AK341" s="775"/>
      <c r="AL341" s="773"/>
      <c r="AM341" s="773"/>
      <c r="AN341" s="776"/>
      <c r="AO341" s="769"/>
      <c r="AP341" s="769"/>
      <c r="AQ341" s="773"/>
      <c r="AR341" s="773"/>
      <c r="AS341" s="773"/>
      <c r="AT34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41" s="779">
        <f>WWWW[[#This Row],[%Equitable and continuous access to sufficient quantity of safe drinking water]]*WWWW[[#This Row],[Total PoP ]]</f>
        <v>1172</v>
      </c>
      <c r="AV34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41" s="779">
        <f>WWWW[[#This Row],[% Access to unimproved water points]]*WWWW[[#This Row],[Total PoP ]]</f>
        <v>0</v>
      </c>
      <c r="AX34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4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1172</v>
      </c>
      <c r="AZ341" s="779">
        <f>WWWW[[#This Row],[HRP1]]/250</f>
        <v>4.6879999999999997</v>
      </c>
      <c r="BA341" s="780">
        <f>1-WWWW[[#This Row],[% Equitable and continuous access to sufficient quantity of domestic water]]</f>
        <v>0</v>
      </c>
      <c r="BB341" s="779">
        <f>WWWW[[#This Row],[%equitable and continuous access to sufficient quantity of safe drinking and domestic water''s GAP]]*WWWW[[#This Row],[Total PoP ]]</f>
        <v>0</v>
      </c>
      <c r="BC341" s="781">
        <f>IF(WWWW[[#This Row],[Total required water points]]-WWWW[[#This Row],['#Water points coverage]]&lt;0,0,WWWW[[#This Row],[Total required water points]]-WWWW[[#This Row],['#Water points coverage]])</f>
        <v>0.31200000000000028</v>
      </c>
      <c r="BD341" s="781">
        <f>ROUND(IF(WWWW[[#This Row],[Total PoP ]]&lt;250,1,WWWW[[#This Row],[Total PoP ]]/250),0)</f>
        <v>5</v>
      </c>
      <c r="BE34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0.10238907849829351</v>
      </c>
      <c r="BF341" s="779">
        <f>WWWW[[#This Row],[% people access to functioning Latrine]]*WWWW[[#This Row],[Total PoP ]]</f>
        <v>120</v>
      </c>
      <c r="BG341" s="781">
        <f>WWWW[[#This Row],['#_of_Functioning_latrines_in_school]]*50</f>
        <v>0</v>
      </c>
      <c r="BH341" s="781">
        <f>ROUND((WWWW[[#This Row],[Total PoP ]]/6),0)</f>
        <v>195</v>
      </c>
      <c r="BI341" s="781">
        <f>IF(WWWW[[#This Row],[Total required Latrines]]-(WWWW[[#This Row],['#_of_sanitary_fly-proof_HH_latrines]])&lt;0,0,WWWW[[#This Row],[Total required Latrines]]-(WWWW[[#This Row],['#_of_sanitary_fly-proof_HH_latrines]]))</f>
        <v>175</v>
      </c>
      <c r="BJ341" s="778">
        <f>1-WWWW[[#This Row],[% people access to functioning Latrine]]</f>
        <v>0.89761092150170652</v>
      </c>
      <c r="BK34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1" s="772">
        <f>IF(WWWW[[#This Row],['#_of_functional_handwashing_facilities_at_HH_level]]*6&gt;WWWW[[#This Row],[Total PoP ]],WWWW[[#This Row],[Total PoP ]],WWWW[[#This Row],['#_of_functional_handwashing_facilities_at_HH_level]]*6)</f>
        <v>300</v>
      </c>
      <c r="BM341" s="781">
        <f>IF(WWWW[[#This Row],['# people reached by regular dedicated hygiene promotion]]&gt;WWWW[[#This Row],['# People received regular supply of hygiene items]],WWWW[[#This Row],['# people reached by regular dedicated hygiene promotion]],WWWW[[#This Row],['# People received regular supply of hygiene items]])</f>
        <v>0</v>
      </c>
      <c r="BN341" s="780">
        <f>IF(WWWW[[#This Row],[HRP3]]/WWWW[[#This Row],[Total PoP ]]&gt;100%,100%,WWWW[[#This Row],[HRP3]]/WWWW[[#This Row],[Total PoP ]])</f>
        <v>0</v>
      </c>
      <c r="BO341" s="778">
        <f>1-WWWW[[#This Row],[Hygiene Coverage%]]</f>
        <v>1</v>
      </c>
      <c r="BP341" s="777">
        <f>WWWW[[#This Row],['# people reached by regular dedicated hygiene promotion]]/WWWW[[#This Row],[Total PoP ]]</f>
        <v>0</v>
      </c>
      <c r="BQ34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1" s="770">
        <f>WWWW[[#This Row],['#_of_affected_women_and_girls_receiving_a_sufficient_quantity_of_sanitary_pads]]</f>
        <v>0</v>
      </c>
      <c r="BS341" s="773">
        <f>IF(WWWW[[#This Row],['# People with access to soap]]&gt;WWWW[[#This Row],['# People with access to Sanity Pads]],WWWW[[#This Row],['# People with access to soap]],WWWW[[#This Row],['# People with access to Sanity Pads]])</f>
        <v>0</v>
      </c>
      <c r="BT341" s="772" t="str">
        <f>IF(OR(WWWW[[#This Row],['#of students in school]]="",WWWW[[#This Row],['#of students in school]]=0),"No","Yes")</f>
        <v>Yes</v>
      </c>
      <c r="BU341" s="782" t="str">
        <f>VLOOKUP(WWWW[[#This Row],[Village  Name]],SiteDB6[[Site Name]:[Location Type 1]],9,FALSE)</f>
        <v>Village</v>
      </c>
      <c r="BV341" s="782" t="str">
        <f>VLOOKUP(WWWW[[#This Row],[Village  Name]],SiteDB6[[Site Name]:[Type of Accommodation]],10,FALSE)</f>
        <v>Village</v>
      </c>
      <c r="BW341" s="782">
        <f>VLOOKUP(WWWW[[#This Row],[Village  Name]],SiteDB6[[Site Name]:[Ethnic or GCA/NGCA]],11,FALSE)</f>
        <v>0</v>
      </c>
      <c r="BX341" s="782">
        <f>VLOOKUP(WWWW[[#This Row],[Village  Name]],SiteDB6[[Site Name]:[Lat]],12,FALSE)</f>
        <v>0</v>
      </c>
      <c r="BY341" s="782">
        <f>VLOOKUP(WWWW[[#This Row],[Village  Name]],SiteDB6[[Site Name]:[Long]],13,FALSE)</f>
        <v>0</v>
      </c>
      <c r="BZ341" s="782">
        <f>VLOOKUP(WWWW[[#This Row],[Village  Name]],SiteDB6[[Site Name]:[Pcode]],3,FALSE)</f>
        <v>0</v>
      </c>
      <c r="CA341" s="782" t="str">
        <f t="shared" si="21"/>
        <v>Covered</v>
      </c>
      <c r="CB341" s="783"/>
    </row>
    <row r="342" spans="1:80">
      <c r="A342" s="774" t="s">
        <v>3199</v>
      </c>
      <c r="B342" s="727" t="s">
        <v>318</v>
      </c>
      <c r="C342" s="728" t="s">
        <v>318</v>
      </c>
      <c r="D342" s="728" t="s">
        <v>334</v>
      </c>
      <c r="E342" s="728" t="s">
        <v>2648</v>
      </c>
      <c r="F342" s="728" t="s">
        <v>295</v>
      </c>
      <c r="G342" s="644" t="str">
        <f>VLOOKUP(WWWW[[#This Row],[Village  Name]],SiteDB6[[Site Name]:[Location Type]],8,FALSE)</f>
        <v>Village</v>
      </c>
      <c r="H342" s="728" t="s">
        <v>3109</v>
      </c>
      <c r="I342" s="775">
        <v>126</v>
      </c>
      <c r="J342" s="775">
        <v>636</v>
      </c>
      <c r="K342" s="784">
        <v>43678</v>
      </c>
      <c r="L342" s="785">
        <v>44043</v>
      </c>
      <c r="M342" s="775">
        <v>136</v>
      </c>
      <c r="N342" s="775"/>
      <c r="O342" s="794"/>
      <c r="P342" s="794">
        <v>23</v>
      </c>
      <c r="Q342" s="775">
        <v>0</v>
      </c>
      <c r="R342" s="775"/>
      <c r="S342" s="775"/>
      <c r="T342" s="775"/>
      <c r="U342" s="776"/>
      <c r="V342" s="794">
        <v>57</v>
      </c>
      <c r="W342" s="775" t="s">
        <v>126</v>
      </c>
      <c r="X342" s="775">
        <v>0</v>
      </c>
      <c r="Y342" s="775">
        <v>15</v>
      </c>
      <c r="Z342" s="775"/>
      <c r="AA342" s="775"/>
      <c r="AB342" s="775"/>
      <c r="AC342" s="776"/>
      <c r="AD342" s="775"/>
      <c r="AE342" s="775"/>
      <c r="AF342" s="775"/>
      <c r="AG342" s="775"/>
      <c r="AH342" s="775"/>
      <c r="AI342" s="775"/>
      <c r="AJ342" s="794">
        <v>48</v>
      </c>
      <c r="AK342" s="775"/>
      <c r="AL342" s="773"/>
      <c r="AM342" s="773"/>
      <c r="AN342" s="776"/>
      <c r="AO342" s="769"/>
      <c r="AP342" s="769"/>
      <c r="AQ342" s="773"/>
      <c r="AR342" s="773"/>
      <c r="AS342" s="773"/>
      <c r="AT34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42" s="779">
        <f>WWWW[[#This Row],[%Equitable and continuous access to sufficient quantity of safe drinking water]]*WWWW[[#This Row],[Total PoP ]]</f>
        <v>636</v>
      </c>
      <c r="AV34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42" s="779">
        <f>WWWW[[#This Row],[% Access to unimproved water points]]*WWWW[[#This Row],[Total PoP ]]</f>
        <v>0</v>
      </c>
      <c r="AX34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4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636</v>
      </c>
      <c r="AZ342" s="779">
        <f>WWWW[[#This Row],[HRP1]]/250</f>
        <v>2.544</v>
      </c>
      <c r="BA342" s="780">
        <f>1-WWWW[[#This Row],[% Equitable and continuous access to sufficient quantity of domestic water]]</f>
        <v>0</v>
      </c>
      <c r="BB342" s="779">
        <f>WWWW[[#This Row],[%equitable and continuous access to sufficient quantity of safe drinking and domestic water''s GAP]]*WWWW[[#This Row],[Total PoP ]]</f>
        <v>0</v>
      </c>
      <c r="BC342" s="781">
        <f>IF(WWWW[[#This Row],[Total required water points]]-WWWW[[#This Row],['#Water points coverage]]&lt;0,0,WWWW[[#This Row],[Total required water points]]-WWWW[[#This Row],['#Water points coverage]])</f>
        <v>0.45599999999999996</v>
      </c>
      <c r="BD342" s="781">
        <f>ROUND(IF(WWWW[[#This Row],[Total PoP ]]&lt;250,1,WWWW[[#This Row],[Total PoP ]]/250),0)</f>
        <v>3</v>
      </c>
      <c r="BE34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0.53773584905660377</v>
      </c>
      <c r="BF342" s="779">
        <f>WWWW[[#This Row],[% people access to functioning Latrine]]*WWWW[[#This Row],[Total PoP ]]</f>
        <v>342</v>
      </c>
      <c r="BG342" s="781">
        <f>WWWW[[#This Row],['#_of_Functioning_latrines_in_school]]*50</f>
        <v>0</v>
      </c>
      <c r="BH342" s="781">
        <f>ROUND((WWWW[[#This Row],[Total PoP ]]/6),0)</f>
        <v>106</v>
      </c>
      <c r="BI342" s="781">
        <f>IF(WWWW[[#This Row],[Total required Latrines]]-(WWWW[[#This Row],['#_of_sanitary_fly-proof_HH_latrines]])&lt;0,0,WWWW[[#This Row],[Total required Latrines]]-(WWWW[[#This Row],['#_of_sanitary_fly-proof_HH_latrines]]))</f>
        <v>49</v>
      </c>
      <c r="BJ342" s="778">
        <f>1-WWWW[[#This Row],[% people access to functioning Latrine]]</f>
        <v>0.46226415094339623</v>
      </c>
      <c r="BK34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2" s="772">
        <f>IF(WWWW[[#This Row],['#_of_functional_handwashing_facilities_at_HH_level]]*6&gt;WWWW[[#This Row],[Total PoP ]],WWWW[[#This Row],[Total PoP ]],WWWW[[#This Row],['#_of_functional_handwashing_facilities_at_HH_level]]*6)</f>
        <v>288</v>
      </c>
      <c r="BM342" s="781">
        <f>IF(WWWW[[#This Row],['# people reached by regular dedicated hygiene promotion]]&gt;WWWW[[#This Row],['# People received regular supply of hygiene items]],WWWW[[#This Row],['# people reached by regular dedicated hygiene promotion]],WWWW[[#This Row],['# People received regular supply of hygiene items]])</f>
        <v>0</v>
      </c>
      <c r="BN342" s="780">
        <f>IF(WWWW[[#This Row],[HRP3]]/WWWW[[#This Row],[Total PoP ]]&gt;100%,100%,WWWW[[#This Row],[HRP3]]/WWWW[[#This Row],[Total PoP ]])</f>
        <v>0</v>
      </c>
      <c r="BO342" s="778">
        <f>1-WWWW[[#This Row],[Hygiene Coverage%]]</f>
        <v>1</v>
      </c>
      <c r="BP342" s="777">
        <f>WWWW[[#This Row],['# people reached by regular dedicated hygiene promotion]]/WWWW[[#This Row],[Total PoP ]]</f>
        <v>0</v>
      </c>
      <c r="BQ34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2" s="770">
        <f>WWWW[[#This Row],['#_of_affected_women_and_girls_receiving_a_sufficient_quantity_of_sanitary_pads]]</f>
        <v>0</v>
      </c>
      <c r="BS342" s="773">
        <f>IF(WWWW[[#This Row],['# People with access to soap]]&gt;WWWW[[#This Row],['# People with access to Sanity Pads]],WWWW[[#This Row],['# People with access to soap]],WWWW[[#This Row],['# People with access to Sanity Pads]])</f>
        <v>0</v>
      </c>
      <c r="BT342" s="772" t="str">
        <f>IF(OR(WWWW[[#This Row],['#of students in school]]="",WWWW[[#This Row],['#of students in school]]=0),"No","Yes")</f>
        <v>Yes</v>
      </c>
      <c r="BU342" s="782" t="str">
        <f>VLOOKUP(WWWW[[#This Row],[Village  Name]],SiteDB6[[Site Name]:[Location Type 1]],9,FALSE)</f>
        <v>Village</v>
      </c>
      <c r="BV342" s="782" t="str">
        <f>VLOOKUP(WWWW[[#This Row],[Village  Name]],SiteDB6[[Site Name]:[Type of Accommodation]],10,FALSE)</f>
        <v>Village</v>
      </c>
      <c r="BW342" s="782">
        <f>VLOOKUP(WWWW[[#This Row],[Village  Name]],SiteDB6[[Site Name]:[Ethnic or GCA/NGCA]],11,FALSE)</f>
        <v>0</v>
      </c>
      <c r="BX342" s="782">
        <f>VLOOKUP(WWWW[[#This Row],[Village  Name]],SiteDB6[[Site Name]:[Lat]],12,FALSE)</f>
        <v>0</v>
      </c>
      <c r="BY342" s="782">
        <f>VLOOKUP(WWWW[[#This Row],[Village  Name]],SiteDB6[[Site Name]:[Long]],13,FALSE)</f>
        <v>0</v>
      </c>
      <c r="BZ342" s="782">
        <f>VLOOKUP(WWWW[[#This Row],[Village  Name]],SiteDB6[[Site Name]:[Pcode]],3,FALSE)</f>
        <v>0</v>
      </c>
      <c r="CA342" s="782" t="str">
        <f t="shared" si="21"/>
        <v>Covered</v>
      </c>
      <c r="CB342" s="783"/>
    </row>
    <row r="343" spans="1:80">
      <c r="A343" s="774" t="s">
        <v>3199</v>
      </c>
      <c r="B343" s="727" t="s">
        <v>318</v>
      </c>
      <c r="C343" s="728" t="s">
        <v>318</v>
      </c>
      <c r="D343" s="728" t="s">
        <v>334</v>
      </c>
      <c r="E343" s="728" t="s">
        <v>2648</v>
      </c>
      <c r="F343" s="728" t="s">
        <v>295</v>
      </c>
      <c r="G343" s="644" t="str">
        <f>VLOOKUP(WWWW[[#This Row],[Village  Name]],SiteDB6[[Site Name]:[Location Type]],8,FALSE)</f>
        <v>Village</v>
      </c>
      <c r="H343" s="728" t="s">
        <v>442</v>
      </c>
      <c r="I343" s="775">
        <v>240</v>
      </c>
      <c r="J343" s="775">
        <v>1150</v>
      </c>
      <c r="K343" s="784">
        <v>43678</v>
      </c>
      <c r="L343" s="785">
        <v>44043</v>
      </c>
      <c r="M343" s="775">
        <v>320</v>
      </c>
      <c r="N343" s="775"/>
      <c r="O343" s="794">
        <v>10</v>
      </c>
      <c r="P343" s="794">
        <v>40</v>
      </c>
      <c r="Q343" s="775">
        <v>0</v>
      </c>
      <c r="R343" s="775"/>
      <c r="S343" s="775">
        <v>0</v>
      </c>
      <c r="T343" s="775">
        <v>0</v>
      </c>
      <c r="U343" s="776"/>
      <c r="V343" s="794">
        <v>100</v>
      </c>
      <c r="W343" s="775" t="s">
        <v>126</v>
      </c>
      <c r="X343" s="775">
        <v>6</v>
      </c>
      <c r="Y343" s="775">
        <v>15</v>
      </c>
      <c r="Z343" s="775"/>
      <c r="AA343" s="775"/>
      <c r="AB343" s="775"/>
      <c r="AC343" s="776"/>
      <c r="AD343" s="775"/>
      <c r="AE343" s="775"/>
      <c r="AF343" s="775"/>
      <c r="AG343" s="775"/>
      <c r="AH343" s="775"/>
      <c r="AI343" s="775"/>
      <c r="AJ343" s="794">
        <v>46</v>
      </c>
      <c r="AK343" s="775"/>
      <c r="AL343" s="773"/>
      <c r="AM343" s="773"/>
      <c r="AN343" s="776"/>
      <c r="AO343" s="769"/>
      <c r="AP343" s="769"/>
      <c r="AQ343" s="773"/>
      <c r="AR343" s="773"/>
      <c r="AS343" s="773"/>
      <c r="AT34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43" s="779">
        <f>WWWW[[#This Row],[%Equitable and continuous access to sufficient quantity of safe drinking water]]*WWWW[[#This Row],[Total PoP ]]</f>
        <v>1150</v>
      </c>
      <c r="AV34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43" s="779">
        <f>WWWW[[#This Row],[% Access to unimproved water points]]*WWWW[[#This Row],[Total PoP ]]</f>
        <v>0</v>
      </c>
      <c r="AX34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4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1150</v>
      </c>
      <c r="AZ343" s="779">
        <f>WWWW[[#This Row],[HRP1]]/250</f>
        <v>4.5999999999999996</v>
      </c>
      <c r="BA343" s="780">
        <f>1-WWWW[[#This Row],[% Equitable and continuous access to sufficient quantity of domestic water]]</f>
        <v>0</v>
      </c>
      <c r="BB343" s="779">
        <f>WWWW[[#This Row],[%equitable and continuous access to sufficient quantity of safe drinking and domestic water''s GAP]]*WWWW[[#This Row],[Total PoP ]]</f>
        <v>0</v>
      </c>
      <c r="BC343" s="781">
        <f>IF(WWWW[[#This Row],[Total required water points]]-WWWW[[#This Row],['#Water points coverage]]&lt;0,0,WWWW[[#This Row],[Total required water points]]-WWWW[[#This Row],['#Water points coverage]])</f>
        <v>0.40000000000000036</v>
      </c>
      <c r="BD343" s="781">
        <f>ROUND(IF(WWWW[[#This Row],[Total PoP ]]&lt;250,1,WWWW[[#This Row],[Total PoP ]]/250),0)</f>
        <v>5</v>
      </c>
      <c r="BE34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0.52173913043478259</v>
      </c>
      <c r="BF343" s="779">
        <f>WWWW[[#This Row],[% people access to functioning Latrine]]*WWWW[[#This Row],[Total PoP ]]</f>
        <v>600</v>
      </c>
      <c r="BG343" s="781">
        <f>WWWW[[#This Row],['#_of_Functioning_latrines_in_school]]*50</f>
        <v>300</v>
      </c>
      <c r="BH343" s="781">
        <f>ROUND((WWWW[[#This Row],[Total PoP ]]/6),0)</f>
        <v>192</v>
      </c>
      <c r="BI343" s="781">
        <f>IF(WWWW[[#This Row],[Total required Latrines]]-(WWWW[[#This Row],['#_of_sanitary_fly-proof_HH_latrines]])&lt;0,0,WWWW[[#This Row],[Total required Latrines]]-(WWWW[[#This Row],['#_of_sanitary_fly-proof_HH_latrines]]))</f>
        <v>92</v>
      </c>
      <c r="BJ343" s="778">
        <f>1-WWWW[[#This Row],[% people access to functioning Latrine]]</f>
        <v>0.47826086956521741</v>
      </c>
      <c r="BK34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3" s="772">
        <f>IF(WWWW[[#This Row],['#_of_functional_handwashing_facilities_at_HH_level]]*6&gt;WWWW[[#This Row],[Total PoP ]],WWWW[[#This Row],[Total PoP ]],WWWW[[#This Row],['#_of_functional_handwashing_facilities_at_HH_level]]*6)</f>
        <v>276</v>
      </c>
      <c r="BM343" s="781">
        <f>IF(WWWW[[#This Row],['# people reached by regular dedicated hygiene promotion]]&gt;WWWW[[#This Row],['# People received regular supply of hygiene items]],WWWW[[#This Row],['# people reached by regular dedicated hygiene promotion]],WWWW[[#This Row],['# People received regular supply of hygiene items]])</f>
        <v>0</v>
      </c>
      <c r="BN343" s="780">
        <f>IF(WWWW[[#This Row],[HRP3]]/WWWW[[#This Row],[Total PoP ]]&gt;100%,100%,WWWW[[#This Row],[HRP3]]/WWWW[[#This Row],[Total PoP ]])</f>
        <v>0</v>
      </c>
      <c r="BO343" s="778">
        <f>1-WWWW[[#This Row],[Hygiene Coverage%]]</f>
        <v>1</v>
      </c>
      <c r="BP343" s="777">
        <f>WWWW[[#This Row],['# people reached by regular dedicated hygiene promotion]]/WWWW[[#This Row],[Total PoP ]]</f>
        <v>0</v>
      </c>
      <c r="BQ34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3" s="770">
        <f>WWWW[[#This Row],['#_of_affected_women_and_girls_receiving_a_sufficient_quantity_of_sanitary_pads]]</f>
        <v>0</v>
      </c>
      <c r="BS343" s="773">
        <f>IF(WWWW[[#This Row],['# People with access to soap]]&gt;WWWW[[#This Row],['# People with access to Sanity Pads]],WWWW[[#This Row],['# People with access to soap]],WWWW[[#This Row],['# People with access to Sanity Pads]])</f>
        <v>0</v>
      </c>
      <c r="BT343" s="772" t="str">
        <f>IF(OR(WWWW[[#This Row],['#of students in school]]="",WWWW[[#This Row],['#of students in school]]=0),"No","Yes")</f>
        <v>Yes</v>
      </c>
      <c r="BU343" s="782" t="str">
        <f>VLOOKUP(WWWW[[#This Row],[Village  Name]],SiteDB6[[Site Name]:[Location Type 1]],9,FALSE)</f>
        <v>Village</v>
      </c>
      <c r="BV343" s="782" t="str">
        <f>VLOOKUP(WWWW[[#This Row],[Village  Name]],SiteDB6[[Site Name]:[Type of Accommodation]],10,FALSE)</f>
        <v>Village</v>
      </c>
      <c r="BW343" s="782" t="str">
        <f>VLOOKUP(WWWW[[#This Row],[Village  Name]],SiteDB6[[Site Name]:[Ethnic or GCA/NGCA]],11,FALSE)</f>
        <v>Muslim</v>
      </c>
      <c r="BX343" s="782">
        <f>VLOOKUP(WWWW[[#This Row],[Village  Name]],SiteDB6[[Site Name]:[Lat]],12,FALSE)</f>
        <v>20.212700000000002</v>
      </c>
      <c r="BY343" s="782">
        <f>VLOOKUP(WWWW[[#This Row],[Village  Name]],SiteDB6[[Site Name]:[Long]],13,FALSE)</f>
        <v>92.820800000000006</v>
      </c>
      <c r="BZ343" s="782">
        <f>VLOOKUP(WWWW[[#This Row],[Village  Name]],SiteDB6[[Site Name]:[Pcode]],3,FALSE)</f>
        <v>196144</v>
      </c>
      <c r="CA343" s="782" t="str">
        <f t="shared" si="21"/>
        <v>Covered</v>
      </c>
      <c r="CB343" s="783"/>
    </row>
    <row r="344" spans="1:80">
      <c r="A344" s="774" t="s">
        <v>3199</v>
      </c>
      <c r="B344" s="727" t="s">
        <v>318</v>
      </c>
      <c r="C344" s="728" t="s">
        <v>318</v>
      </c>
      <c r="D344" s="728" t="s">
        <v>334</v>
      </c>
      <c r="E344" s="728" t="s">
        <v>2648</v>
      </c>
      <c r="F344" s="728" t="s">
        <v>295</v>
      </c>
      <c r="G344" s="644" t="str">
        <f>VLOOKUP(WWWW[[#This Row],[Village  Name]],SiteDB6[[Site Name]:[Location Type]],8,FALSE)</f>
        <v>Village</v>
      </c>
      <c r="H344" s="728" t="s">
        <v>871</v>
      </c>
      <c r="I344" s="775">
        <v>430</v>
      </c>
      <c r="J344" s="775">
        <v>1530</v>
      </c>
      <c r="K344" s="784">
        <v>43678</v>
      </c>
      <c r="L344" s="785">
        <v>44043</v>
      </c>
      <c r="M344" s="775">
        <v>480</v>
      </c>
      <c r="N344" s="775"/>
      <c r="O344" s="794">
        <v>30</v>
      </c>
      <c r="P344" s="794">
        <v>124</v>
      </c>
      <c r="Q344" s="775">
        <v>0</v>
      </c>
      <c r="R344" s="775"/>
      <c r="S344" s="775"/>
      <c r="T344" s="775">
        <v>1</v>
      </c>
      <c r="U344" s="776"/>
      <c r="V344" s="794">
        <v>130</v>
      </c>
      <c r="W344" s="775" t="s">
        <v>126</v>
      </c>
      <c r="X344" s="775">
        <v>6</v>
      </c>
      <c r="Y344" s="775">
        <v>2</v>
      </c>
      <c r="Z344" s="775"/>
      <c r="AA344" s="775"/>
      <c r="AB344" s="775"/>
      <c r="AC344" s="776"/>
      <c r="AD344" s="775"/>
      <c r="AE344" s="775"/>
      <c r="AF344" s="775"/>
      <c r="AG344" s="775"/>
      <c r="AH344" s="775"/>
      <c r="AI344" s="775"/>
      <c r="AJ344" s="794">
        <v>42</v>
      </c>
      <c r="AK344" s="775"/>
      <c r="AL344" s="773"/>
      <c r="AM344" s="773"/>
      <c r="AN344" s="776"/>
      <c r="AO344" s="769"/>
      <c r="AP344" s="769"/>
      <c r="AQ344" s="773"/>
      <c r="AR344" s="773"/>
      <c r="AS344" s="773"/>
      <c r="AT34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44" s="779">
        <f>WWWW[[#This Row],[%Equitable and continuous access to sufficient quantity of safe drinking water]]*WWWW[[#This Row],[Total PoP ]]</f>
        <v>1530</v>
      </c>
      <c r="AV34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44" s="779">
        <f>WWWW[[#This Row],[% Access to unimproved water points]]*WWWW[[#This Row],[Total PoP ]]</f>
        <v>0</v>
      </c>
      <c r="AX34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4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1530</v>
      </c>
      <c r="AZ344" s="779">
        <f>WWWW[[#This Row],[HRP1]]/250</f>
        <v>6.12</v>
      </c>
      <c r="BA344" s="780">
        <f>1-WWWW[[#This Row],[% Equitable and continuous access to sufficient quantity of domestic water]]</f>
        <v>0</v>
      </c>
      <c r="BB344" s="779">
        <f>WWWW[[#This Row],[%equitable and continuous access to sufficient quantity of safe drinking and domestic water''s GAP]]*WWWW[[#This Row],[Total PoP ]]</f>
        <v>0</v>
      </c>
      <c r="BC344" s="781">
        <f>IF(WWWW[[#This Row],[Total required water points]]-WWWW[[#This Row],['#Water points coverage]]&lt;0,0,WWWW[[#This Row],[Total required water points]]-WWWW[[#This Row],['#Water points coverage]])</f>
        <v>0</v>
      </c>
      <c r="BD344" s="781">
        <f>ROUND(IF(WWWW[[#This Row],[Total PoP ]]&lt;250,1,WWWW[[#This Row],[Total PoP ]]/250),0)</f>
        <v>6</v>
      </c>
      <c r="BE34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0.50980392156862742</v>
      </c>
      <c r="BF344" s="779">
        <f>WWWW[[#This Row],[% people access to functioning Latrine]]*WWWW[[#This Row],[Total PoP ]]</f>
        <v>780</v>
      </c>
      <c r="BG344" s="781">
        <f>WWWW[[#This Row],['#_of_Functioning_latrines_in_school]]*50</f>
        <v>300</v>
      </c>
      <c r="BH344" s="781">
        <f>ROUND((WWWW[[#This Row],[Total PoP ]]/6),0)</f>
        <v>255</v>
      </c>
      <c r="BI344" s="781">
        <f>IF(WWWW[[#This Row],[Total required Latrines]]-(WWWW[[#This Row],['#_of_sanitary_fly-proof_HH_latrines]])&lt;0,0,WWWW[[#This Row],[Total required Latrines]]-(WWWW[[#This Row],['#_of_sanitary_fly-proof_HH_latrines]]))</f>
        <v>125</v>
      </c>
      <c r="BJ344" s="778">
        <f>1-WWWW[[#This Row],[% people access to functioning Latrine]]</f>
        <v>0.49019607843137258</v>
      </c>
      <c r="BK34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4" s="772">
        <f>IF(WWWW[[#This Row],['#_of_functional_handwashing_facilities_at_HH_level]]*6&gt;WWWW[[#This Row],[Total PoP ]],WWWW[[#This Row],[Total PoP ]],WWWW[[#This Row],['#_of_functional_handwashing_facilities_at_HH_level]]*6)</f>
        <v>252</v>
      </c>
      <c r="BM344" s="781">
        <f>IF(WWWW[[#This Row],['# people reached by regular dedicated hygiene promotion]]&gt;WWWW[[#This Row],['# People received regular supply of hygiene items]],WWWW[[#This Row],['# people reached by regular dedicated hygiene promotion]],WWWW[[#This Row],['# People received regular supply of hygiene items]])</f>
        <v>0</v>
      </c>
      <c r="BN344" s="780">
        <f>IF(WWWW[[#This Row],[HRP3]]/WWWW[[#This Row],[Total PoP ]]&gt;100%,100%,WWWW[[#This Row],[HRP3]]/WWWW[[#This Row],[Total PoP ]])</f>
        <v>0</v>
      </c>
      <c r="BO344" s="778">
        <f>1-WWWW[[#This Row],[Hygiene Coverage%]]</f>
        <v>1</v>
      </c>
      <c r="BP344" s="777">
        <f>WWWW[[#This Row],['# people reached by regular dedicated hygiene promotion]]/WWWW[[#This Row],[Total PoP ]]</f>
        <v>0</v>
      </c>
      <c r="BQ34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4" s="770">
        <f>WWWW[[#This Row],['#_of_affected_women_and_girls_receiving_a_sufficient_quantity_of_sanitary_pads]]</f>
        <v>0</v>
      </c>
      <c r="BS344" s="773">
        <f>IF(WWWW[[#This Row],['# People with access to soap]]&gt;WWWW[[#This Row],['# People with access to Sanity Pads]],WWWW[[#This Row],['# People with access to soap]],WWWW[[#This Row],['# People with access to Sanity Pads]])</f>
        <v>0</v>
      </c>
      <c r="BT344" s="772" t="str">
        <f>IF(OR(WWWW[[#This Row],['#of students in school]]="",WWWW[[#This Row],['#of students in school]]=0),"No","Yes")</f>
        <v>Yes</v>
      </c>
      <c r="BU344" s="782" t="str">
        <f>VLOOKUP(WWWW[[#This Row],[Village  Name]],SiteDB6[[Site Name]:[Location Type 1]],9,FALSE)</f>
        <v>Village</v>
      </c>
      <c r="BV344" s="782" t="str">
        <f>VLOOKUP(WWWW[[#This Row],[Village  Name]],SiteDB6[[Site Name]:[Type of Accommodation]],10,FALSE)</f>
        <v>Village</v>
      </c>
      <c r="BW344" s="782" t="str">
        <f>VLOOKUP(WWWW[[#This Row],[Village  Name]],SiteDB6[[Site Name]:[Ethnic or GCA/NGCA]],11,FALSE)</f>
        <v>Muslim</v>
      </c>
      <c r="BX344" s="782">
        <f>VLOOKUP(WWWW[[#This Row],[Village  Name]],SiteDB6[[Site Name]:[Lat]],12,FALSE)</f>
        <v>20.219509120000001</v>
      </c>
      <c r="BY344" s="782">
        <f>VLOOKUP(WWWW[[#This Row],[Village  Name]],SiteDB6[[Site Name]:[Long]],13,FALSE)</f>
        <v>92.811332699999994</v>
      </c>
      <c r="BZ344" s="782">
        <f>VLOOKUP(WWWW[[#This Row],[Village  Name]],SiteDB6[[Site Name]:[Pcode]],3,FALSE)</f>
        <v>196145</v>
      </c>
      <c r="CA344" s="782" t="str">
        <f t="shared" si="21"/>
        <v>Covered</v>
      </c>
      <c r="CB344" s="783"/>
    </row>
    <row r="345" spans="1:80">
      <c r="A345" s="774" t="s">
        <v>3199</v>
      </c>
      <c r="B345" s="727" t="s">
        <v>318</v>
      </c>
      <c r="C345" s="728" t="s">
        <v>318</v>
      </c>
      <c r="D345" s="728" t="s">
        <v>334</v>
      </c>
      <c r="E345" s="728" t="s">
        <v>2648</v>
      </c>
      <c r="F345" s="728" t="s">
        <v>295</v>
      </c>
      <c r="G345" s="644" t="str">
        <f>VLOOKUP(WWWW[[#This Row],[Village  Name]],SiteDB6[[Site Name]:[Location Type]],8,FALSE)</f>
        <v>Village</v>
      </c>
      <c r="H345" s="728" t="s">
        <v>838</v>
      </c>
      <c r="I345" s="775">
        <v>150</v>
      </c>
      <c r="J345" s="775">
        <v>590</v>
      </c>
      <c r="K345" s="784">
        <v>43678</v>
      </c>
      <c r="L345" s="785">
        <v>44043</v>
      </c>
      <c r="M345" s="775">
        <v>112</v>
      </c>
      <c r="N345" s="775"/>
      <c r="O345" s="794">
        <v>4</v>
      </c>
      <c r="P345" s="794">
        <v>28</v>
      </c>
      <c r="Q345" s="775">
        <v>0</v>
      </c>
      <c r="R345" s="775"/>
      <c r="S345" s="775">
        <v>0</v>
      </c>
      <c r="T345" s="775">
        <v>1</v>
      </c>
      <c r="U345" s="776"/>
      <c r="V345" s="794">
        <v>83</v>
      </c>
      <c r="W345" s="775" t="s">
        <v>126</v>
      </c>
      <c r="X345" s="775">
        <v>2</v>
      </c>
      <c r="Y345" s="775">
        <v>0</v>
      </c>
      <c r="Z345" s="775"/>
      <c r="AA345" s="775"/>
      <c r="AB345" s="775"/>
      <c r="AC345" s="776"/>
      <c r="AD345" s="775"/>
      <c r="AE345" s="775"/>
      <c r="AF345" s="775"/>
      <c r="AG345" s="775"/>
      <c r="AH345" s="775"/>
      <c r="AI345" s="775"/>
      <c r="AJ345" s="794">
        <v>43</v>
      </c>
      <c r="AK345" s="775"/>
      <c r="AL345" s="773"/>
      <c r="AM345" s="773"/>
      <c r="AN345" s="776"/>
      <c r="AO345" s="769"/>
      <c r="AP345" s="769"/>
      <c r="AQ345" s="773"/>
      <c r="AR345" s="773"/>
      <c r="AS345" s="773"/>
      <c r="AT34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45" s="779">
        <f>WWWW[[#This Row],[%Equitable and continuous access to sufficient quantity of safe drinking water]]*WWWW[[#This Row],[Total PoP ]]</f>
        <v>590</v>
      </c>
      <c r="AV34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45" s="779">
        <f>WWWW[[#This Row],[% Access to unimproved water points]]*WWWW[[#This Row],[Total PoP ]]</f>
        <v>0</v>
      </c>
      <c r="AX34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4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590</v>
      </c>
      <c r="AZ345" s="779">
        <f>WWWW[[#This Row],[HRP1]]/250</f>
        <v>2.36</v>
      </c>
      <c r="BA345" s="780">
        <f>1-WWWW[[#This Row],[% Equitable and continuous access to sufficient quantity of domestic water]]</f>
        <v>0</v>
      </c>
      <c r="BB345" s="779">
        <f>WWWW[[#This Row],[%equitable and continuous access to sufficient quantity of safe drinking and domestic water''s GAP]]*WWWW[[#This Row],[Total PoP ]]</f>
        <v>0</v>
      </c>
      <c r="BC345" s="781">
        <f>IF(WWWW[[#This Row],[Total required water points]]-WWWW[[#This Row],['#Water points coverage]]&lt;0,0,WWWW[[#This Row],[Total required water points]]-WWWW[[#This Row],['#Water points coverage]])</f>
        <v>0</v>
      </c>
      <c r="BD345" s="781">
        <f>ROUND(IF(WWWW[[#This Row],[Total PoP ]]&lt;250,1,WWWW[[#This Row],[Total PoP ]]/250),0)</f>
        <v>2</v>
      </c>
      <c r="BE34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0.84406779661016951</v>
      </c>
      <c r="BF345" s="779">
        <f>WWWW[[#This Row],[% people access to functioning Latrine]]*WWWW[[#This Row],[Total PoP ]]</f>
        <v>498</v>
      </c>
      <c r="BG345" s="781">
        <f>WWWW[[#This Row],['#_of_Functioning_latrines_in_school]]*50</f>
        <v>100</v>
      </c>
      <c r="BH345" s="781">
        <f>ROUND((WWWW[[#This Row],[Total PoP ]]/6),0)</f>
        <v>98</v>
      </c>
      <c r="BI345" s="781">
        <f>IF(WWWW[[#This Row],[Total required Latrines]]-(WWWW[[#This Row],['#_of_sanitary_fly-proof_HH_latrines]])&lt;0,0,WWWW[[#This Row],[Total required Latrines]]-(WWWW[[#This Row],['#_of_sanitary_fly-proof_HH_latrines]]))</f>
        <v>15</v>
      </c>
      <c r="BJ345" s="778">
        <f>1-WWWW[[#This Row],[% people access to functioning Latrine]]</f>
        <v>0.15593220338983049</v>
      </c>
      <c r="BK34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5" s="772">
        <f>IF(WWWW[[#This Row],['#_of_functional_handwashing_facilities_at_HH_level]]*6&gt;WWWW[[#This Row],[Total PoP ]],WWWW[[#This Row],[Total PoP ]],WWWW[[#This Row],['#_of_functional_handwashing_facilities_at_HH_level]]*6)</f>
        <v>258</v>
      </c>
      <c r="BM345" s="781">
        <f>IF(WWWW[[#This Row],['# people reached by regular dedicated hygiene promotion]]&gt;WWWW[[#This Row],['# People received regular supply of hygiene items]],WWWW[[#This Row],['# people reached by regular dedicated hygiene promotion]],WWWW[[#This Row],['# People received regular supply of hygiene items]])</f>
        <v>0</v>
      </c>
      <c r="BN345" s="780">
        <f>IF(WWWW[[#This Row],[HRP3]]/WWWW[[#This Row],[Total PoP ]]&gt;100%,100%,WWWW[[#This Row],[HRP3]]/WWWW[[#This Row],[Total PoP ]])</f>
        <v>0</v>
      </c>
      <c r="BO345" s="778">
        <f>1-WWWW[[#This Row],[Hygiene Coverage%]]</f>
        <v>1</v>
      </c>
      <c r="BP345" s="777">
        <f>WWWW[[#This Row],['# people reached by regular dedicated hygiene promotion]]/WWWW[[#This Row],[Total PoP ]]</f>
        <v>0</v>
      </c>
      <c r="BQ34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5" s="770">
        <f>WWWW[[#This Row],['#_of_affected_women_and_girls_receiving_a_sufficient_quantity_of_sanitary_pads]]</f>
        <v>0</v>
      </c>
      <c r="BS345" s="773">
        <f>IF(WWWW[[#This Row],['# People with access to soap]]&gt;WWWW[[#This Row],['# People with access to Sanity Pads]],WWWW[[#This Row],['# People with access to soap]],WWWW[[#This Row],['# People with access to Sanity Pads]])</f>
        <v>0</v>
      </c>
      <c r="BT345" s="772" t="str">
        <f>IF(OR(WWWW[[#This Row],['#of students in school]]="",WWWW[[#This Row],['#of students in school]]=0),"No","Yes")</f>
        <v>Yes</v>
      </c>
      <c r="BU345" s="782" t="str">
        <f>VLOOKUP(WWWW[[#This Row],[Village  Name]],SiteDB6[[Site Name]:[Location Type 1]],9,FALSE)</f>
        <v>Village</v>
      </c>
      <c r="BV345" s="782" t="str">
        <f>VLOOKUP(WWWW[[#This Row],[Village  Name]],SiteDB6[[Site Name]:[Type of Accommodation]],10,FALSE)</f>
        <v>Village</v>
      </c>
      <c r="BW345" s="782" t="str">
        <f>VLOOKUP(WWWW[[#This Row],[Village  Name]],SiteDB6[[Site Name]:[Ethnic or GCA/NGCA]],11,FALSE)</f>
        <v>Rakhine</v>
      </c>
      <c r="BX345" s="782">
        <f>VLOOKUP(WWWW[[#This Row],[Village  Name]],SiteDB6[[Site Name]:[Lat]],12,FALSE)</f>
        <v>20.2199096679688</v>
      </c>
      <c r="BY345" s="782">
        <f>VLOOKUP(WWWW[[#This Row],[Village  Name]],SiteDB6[[Site Name]:[Long]],13,FALSE)</f>
        <v>92.7716064453125</v>
      </c>
      <c r="BZ345" s="782">
        <f>VLOOKUP(WWWW[[#This Row],[Village  Name]],SiteDB6[[Site Name]:[Pcode]],3,FALSE)</f>
        <v>196141</v>
      </c>
      <c r="CA345" s="782" t="str">
        <f t="shared" si="21"/>
        <v>Covered</v>
      </c>
      <c r="CB345" s="783"/>
    </row>
    <row r="346" spans="1:80">
      <c r="A346" s="774" t="s">
        <v>3199</v>
      </c>
      <c r="B346" s="727" t="s">
        <v>318</v>
      </c>
      <c r="C346" s="728" t="s">
        <v>318</v>
      </c>
      <c r="D346" s="728" t="s">
        <v>334</v>
      </c>
      <c r="E346" s="728" t="s">
        <v>2648</v>
      </c>
      <c r="F346" s="728" t="s">
        <v>295</v>
      </c>
      <c r="G346" s="644" t="str">
        <f>VLOOKUP(WWWW[[#This Row],[Village  Name]],SiteDB6[[Site Name]:[Location Type]],8,FALSE)</f>
        <v>Village</v>
      </c>
      <c r="H346" s="728" t="s">
        <v>835</v>
      </c>
      <c r="I346" s="775">
        <v>289</v>
      </c>
      <c r="J346" s="775">
        <v>3400</v>
      </c>
      <c r="K346" s="784">
        <v>43678</v>
      </c>
      <c r="L346" s="785">
        <v>44043</v>
      </c>
      <c r="M346" s="775">
        <v>287</v>
      </c>
      <c r="N346" s="775"/>
      <c r="O346" s="794">
        <v>0</v>
      </c>
      <c r="P346" s="794">
        <v>200</v>
      </c>
      <c r="Q346" s="775">
        <v>0</v>
      </c>
      <c r="R346" s="775"/>
      <c r="S346" s="775">
        <v>0</v>
      </c>
      <c r="T346" s="775">
        <v>0</v>
      </c>
      <c r="U346" s="776"/>
      <c r="V346" s="794">
        <v>50</v>
      </c>
      <c r="W346" s="775" t="s">
        <v>126</v>
      </c>
      <c r="X346" s="775">
        <v>3</v>
      </c>
      <c r="Y346" s="775">
        <v>6</v>
      </c>
      <c r="Z346" s="775"/>
      <c r="AA346" s="775"/>
      <c r="AB346" s="775"/>
      <c r="AC346" s="776"/>
      <c r="AD346" s="775"/>
      <c r="AE346" s="775"/>
      <c r="AF346" s="775"/>
      <c r="AG346" s="775"/>
      <c r="AH346" s="775"/>
      <c r="AI346" s="775"/>
      <c r="AJ346" s="794">
        <v>44</v>
      </c>
      <c r="AK346" s="775"/>
      <c r="AL346" s="773"/>
      <c r="AM346" s="773"/>
      <c r="AN346" s="776"/>
      <c r="AO346" s="769"/>
      <c r="AP346" s="769"/>
      <c r="AQ346" s="773"/>
      <c r="AR346" s="773"/>
      <c r="AS346" s="773"/>
      <c r="AT34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46" s="779">
        <f>WWWW[[#This Row],[%Equitable and continuous access to sufficient quantity of safe drinking water]]*WWWW[[#This Row],[Total PoP ]]</f>
        <v>3400</v>
      </c>
      <c r="AV34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46" s="779">
        <f>WWWW[[#This Row],[% Access to unimproved water points]]*WWWW[[#This Row],[Total PoP ]]</f>
        <v>0</v>
      </c>
      <c r="AX34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4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3400</v>
      </c>
      <c r="AZ346" s="779">
        <f>WWWW[[#This Row],[HRP1]]/250</f>
        <v>13.6</v>
      </c>
      <c r="BA346" s="780">
        <f>1-WWWW[[#This Row],[% Equitable and continuous access to sufficient quantity of domestic water]]</f>
        <v>0</v>
      </c>
      <c r="BB346" s="779">
        <f>WWWW[[#This Row],[%equitable and continuous access to sufficient quantity of safe drinking and domestic water''s GAP]]*WWWW[[#This Row],[Total PoP ]]</f>
        <v>0</v>
      </c>
      <c r="BC346" s="781">
        <f>IF(WWWW[[#This Row],[Total required water points]]-WWWW[[#This Row],['#Water points coverage]]&lt;0,0,WWWW[[#This Row],[Total required water points]]-WWWW[[#This Row],['#Water points coverage]])</f>
        <v>0.40000000000000036</v>
      </c>
      <c r="BD346" s="781">
        <f>ROUND(IF(WWWW[[#This Row],[Total PoP ]]&lt;250,1,WWWW[[#This Row],[Total PoP ]]/250),0)</f>
        <v>14</v>
      </c>
      <c r="BE34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8.8235294117647065E-2</v>
      </c>
      <c r="BF346" s="779">
        <f>WWWW[[#This Row],[% people access to functioning Latrine]]*WWWW[[#This Row],[Total PoP ]]</f>
        <v>300</v>
      </c>
      <c r="BG346" s="781">
        <f>WWWW[[#This Row],['#_of_Functioning_latrines_in_school]]*50</f>
        <v>150</v>
      </c>
      <c r="BH346" s="781">
        <f>ROUND((WWWW[[#This Row],[Total PoP ]]/6),0)</f>
        <v>567</v>
      </c>
      <c r="BI346" s="781">
        <f>IF(WWWW[[#This Row],[Total required Latrines]]-(WWWW[[#This Row],['#_of_sanitary_fly-proof_HH_latrines]])&lt;0,0,WWWW[[#This Row],[Total required Latrines]]-(WWWW[[#This Row],['#_of_sanitary_fly-proof_HH_latrines]]))</f>
        <v>517</v>
      </c>
      <c r="BJ346" s="778">
        <f>1-WWWW[[#This Row],[% people access to functioning Latrine]]</f>
        <v>0.91176470588235292</v>
      </c>
      <c r="BK34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6" s="772">
        <f>IF(WWWW[[#This Row],['#_of_functional_handwashing_facilities_at_HH_level]]*6&gt;WWWW[[#This Row],[Total PoP ]],WWWW[[#This Row],[Total PoP ]],WWWW[[#This Row],['#_of_functional_handwashing_facilities_at_HH_level]]*6)</f>
        <v>264</v>
      </c>
      <c r="BM346" s="781">
        <f>IF(WWWW[[#This Row],['# people reached by regular dedicated hygiene promotion]]&gt;WWWW[[#This Row],['# People received regular supply of hygiene items]],WWWW[[#This Row],['# people reached by regular dedicated hygiene promotion]],WWWW[[#This Row],['# People received regular supply of hygiene items]])</f>
        <v>0</v>
      </c>
      <c r="BN346" s="780">
        <f>IF(WWWW[[#This Row],[HRP3]]/WWWW[[#This Row],[Total PoP ]]&gt;100%,100%,WWWW[[#This Row],[HRP3]]/WWWW[[#This Row],[Total PoP ]])</f>
        <v>0</v>
      </c>
      <c r="BO346" s="778">
        <f>1-WWWW[[#This Row],[Hygiene Coverage%]]</f>
        <v>1</v>
      </c>
      <c r="BP346" s="777">
        <f>WWWW[[#This Row],['# people reached by regular dedicated hygiene promotion]]/WWWW[[#This Row],[Total PoP ]]</f>
        <v>0</v>
      </c>
      <c r="BQ34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6" s="770">
        <f>WWWW[[#This Row],['#_of_affected_women_and_girls_receiving_a_sufficient_quantity_of_sanitary_pads]]</f>
        <v>0</v>
      </c>
      <c r="BS346" s="773">
        <f>IF(WWWW[[#This Row],['# People with access to soap]]&gt;WWWW[[#This Row],['# People with access to Sanity Pads]],WWWW[[#This Row],['# People with access to soap]],WWWW[[#This Row],['# People with access to Sanity Pads]])</f>
        <v>0</v>
      </c>
      <c r="BT346" s="772" t="str">
        <f>IF(OR(WWWW[[#This Row],['#of students in school]]="",WWWW[[#This Row],['#of students in school]]=0),"No","Yes")</f>
        <v>Yes</v>
      </c>
      <c r="BU346" s="782" t="str">
        <f>VLOOKUP(WWWW[[#This Row],[Village  Name]],SiteDB6[[Site Name]:[Location Type 1]],9,FALSE)</f>
        <v>Village</v>
      </c>
      <c r="BV346" s="782" t="str">
        <f>VLOOKUP(WWWW[[#This Row],[Village  Name]],SiteDB6[[Site Name]:[Type of Accommodation]],10,FALSE)</f>
        <v>Village</v>
      </c>
      <c r="BW346" s="782" t="str">
        <f>VLOOKUP(WWWW[[#This Row],[Village  Name]],SiteDB6[[Site Name]:[Ethnic or GCA/NGCA]],11,FALSE)</f>
        <v>Muslim</v>
      </c>
      <c r="BX346" s="782">
        <f>VLOOKUP(WWWW[[#This Row],[Village  Name]],SiteDB6[[Site Name]:[Lat]],12,FALSE)</f>
        <v>20.208799362182599</v>
      </c>
      <c r="BY346" s="782">
        <f>VLOOKUP(WWWW[[#This Row],[Village  Name]],SiteDB6[[Site Name]:[Long]],13,FALSE)</f>
        <v>92.794113159179702</v>
      </c>
      <c r="BZ346" s="782">
        <f>VLOOKUP(WWWW[[#This Row],[Village  Name]],SiteDB6[[Site Name]:[Pcode]],3,FALSE)</f>
        <v>196142</v>
      </c>
      <c r="CA346" s="782" t="str">
        <f t="shared" si="21"/>
        <v>Covered</v>
      </c>
      <c r="CB346" s="783"/>
    </row>
    <row r="347" spans="1:80">
      <c r="A347" s="774" t="s">
        <v>3199</v>
      </c>
      <c r="B347" s="727" t="s">
        <v>287</v>
      </c>
      <c r="C347" s="728" t="s">
        <v>287</v>
      </c>
      <c r="D347" s="728" t="s">
        <v>327</v>
      </c>
      <c r="E347" s="728" t="s">
        <v>2648</v>
      </c>
      <c r="F347" s="728" t="s">
        <v>402</v>
      </c>
      <c r="G347" s="644" t="str">
        <f>VLOOKUP(WWWW[[#This Row],[Village  Name]],SiteDB6[[Site Name]:[Location Type]],8,FALSE)</f>
        <v>Village</v>
      </c>
      <c r="H347" s="728" t="s">
        <v>3159</v>
      </c>
      <c r="I347" s="775">
        <v>106</v>
      </c>
      <c r="J347" s="775">
        <v>469</v>
      </c>
      <c r="K347" s="784">
        <v>43359</v>
      </c>
      <c r="L347" s="785">
        <v>44196</v>
      </c>
      <c r="M347" s="775">
        <v>189</v>
      </c>
      <c r="N347" s="775"/>
      <c r="O347" s="773"/>
      <c r="P347" s="775"/>
      <c r="Q347" s="775">
        <v>0</v>
      </c>
      <c r="R347" s="775"/>
      <c r="S347" s="775">
        <v>469</v>
      </c>
      <c r="T347" s="775">
        <v>1</v>
      </c>
      <c r="U347" s="776"/>
      <c r="V347" s="775">
        <v>30</v>
      </c>
      <c r="W347" s="775" t="s">
        <v>40</v>
      </c>
      <c r="X347" s="775">
        <v>14</v>
      </c>
      <c r="Y347" s="775">
        <v>9</v>
      </c>
      <c r="Z347" s="775"/>
      <c r="AA347" s="775"/>
      <c r="AB347" s="775"/>
      <c r="AC347" s="776"/>
      <c r="AD347" s="775"/>
      <c r="AE347" s="775"/>
      <c r="AF347" s="775"/>
      <c r="AG347" s="775"/>
      <c r="AH347" s="775"/>
      <c r="AI347" s="775"/>
      <c r="AJ347" s="773"/>
      <c r="AK347" s="775"/>
      <c r="AL347" s="773"/>
      <c r="AM347" s="773"/>
      <c r="AN347" s="776"/>
      <c r="AO347" s="769"/>
      <c r="AP347" s="769"/>
      <c r="AQ347" s="773"/>
      <c r="AR347" s="773"/>
      <c r="AS347" s="773"/>
      <c r="AT34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0.53304904051172708</v>
      </c>
      <c r="AU347" s="779">
        <f>WWWW[[#This Row],[%Equitable and continuous access to sufficient quantity of safe drinking water]]*WWWW[[#This Row],[Total PoP ]]</f>
        <v>250</v>
      </c>
      <c r="AV34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47" s="779">
        <f>WWWW[[#This Row],[% Access to unimproved water points]]*WWWW[[#This Row],[Total PoP ]]</f>
        <v>469</v>
      </c>
      <c r="AX34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4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469</v>
      </c>
      <c r="AZ347" s="779">
        <f>WWWW[[#This Row],[HRP1]]/250</f>
        <v>1.8759999999999999</v>
      </c>
      <c r="BA347" s="780">
        <f>1-WWWW[[#This Row],[% Equitable and continuous access to sufficient quantity of domestic water]]</f>
        <v>0</v>
      </c>
      <c r="BB347" s="779">
        <f>WWWW[[#This Row],[%equitable and continuous access to sufficient quantity of safe drinking and domestic water''s GAP]]*WWWW[[#This Row],[Total PoP ]]</f>
        <v>0</v>
      </c>
      <c r="BC347" s="781">
        <f>IF(WWWW[[#This Row],[Total required water points]]-WWWW[[#This Row],['#Water points coverage]]&lt;0,0,WWWW[[#This Row],[Total required water points]]-WWWW[[#This Row],['#Water points coverage]])</f>
        <v>0.12400000000000011</v>
      </c>
      <c r="BD347" s="781">
        <f>ROUND(IF(WWWW[[#This Row],[Total PoP ]]&lt;250,1,WWWW[[#This Row],[Total PoP ]]/250),0)</f>
        <v>2</v>
      </c>
      <c r="BE34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0.38379530916844351</v>
      </c>
      <c r="BF347" s="779">
        <f>WWWW[[#This Row],[% people access to functioning Latrine]]*WWWW[[#This Row],[Total PoP ]]</f>
        <v>180</v>
      </c>
      <c r="BG347" s="781">
        <f>WWWW[[#This Row],['#_of_Functioning_latrines_in_school]]*50</f>
        <v>700</v>
      </c>
      <c r="BH347" s="781">
        <f>ROUND((WWWW[[#This Row],[Total PoP ]]/6),0)</f>
        <v>78</v>
      </c>
      <c r="BI347" s="781">
        <f>IF(WWWW[[#This Row],[Total required Latrines]]-(WWWW[[#This Row],['#_of_sanitary_fly-proof_HH_latrines]])&lt;0,0,WWWW[[#This Row],[Total required Latrines]]-(WWWW[[#This Row],['#_of_sanitary_fly-proof_HH_latrines]]))</f>
        <v>48</v>
      </c>
      <c r="BJ347" s="778">
        <f>1-WWWW[[#This Row],[% people access to functioning Latrine]]</f>
        <v>0.61620469083155649</v>
      </c>
      <c r="BK34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7" s="772">
        <f>IF(WWWW[[#This Row],['#_of_functional_handwashing_facilities_at_HH_level]]*6&gt;WWWW[[#This Row],[Total PoP ]],WWWW[[#This Row],[Total PoP ]],WWWW[[#This Row],['#_of_functional_handwashing_facilities_at_HH_level]]*6)</f>
        <v>0</v>
      </c>
      <c r="BM347" s="781">
        <f>IF(WWWW[[#This Row],['# people reached by regular dedicated hygiene promotion]]&gt;WWWW[[#This Row],['# People received regular supply of hygiene items]],WWWW[[#This Row],['# people reached by regular dedicated hygiene promotion]],WWWW[[#This Row],['# People received regular supply of hygiene items]])</f>
        <v>0</v>
      </c>
      <c r="BN347" s="780">
        <f>IF(WWWW[[#This Row],[HRP3]]/WWWW[[#This Row],[Total PoP ]]&gt;100%,100%,WWWW[[#This Row],[HRP3]]/WWWW[[#This Row],[Total PoP ]])</f>
        <v>0</v>
      </c>
      <c r="BO347" s="778">
        <f>1-WWWW[[#This Row],[Hygiene Coverage%]]</f>
        <v>1</v>
      </c>
      <c r="BP347" s="777">
        <f>WWWW[[#This Row],['# people reached by regular dedicated hygiene promotion]]/WWWW[[#This Row],[Total PoP ]]</f>
        <v>0</v>
      </c>
      <c r="BQ34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7" s="770">
        <f>WWWW[[#This Row],['#_of_affected_women_and_girls_receiving_a_sufficient_quantity_of_sanitary_pads]]</f>
        <v>0</v>
      </c>
      <c r="BS347" s="773">
        <f>IF(WWWW[[#This Row],['# People with access to soap]]&gt;WWWW[[#This Row],['# People with access to Sanity Pads]],WWWW[[#This Row],['# People with access to soap]],WWWW[[#This Row],['# People with access to Sanity Pads]])</f>
        <v>0</v>
      </c>
      <c r="BT347" s="772" t="str">
        <f>IF(OR(WWWW[[#This Row],['#of students in school]]="",WWWW[[#This Row],['#of students in school]]=0),"No","Yes")</f>
        <v>Yes</v>
      </c>
      <c r="BU347" s="782" t="str">
        <f>VLOOKUP(WWWW[[#This Row],[Village  Name]],SiteDB6[[Site Name]:[Location Type 1]],9,FALSE)</f>
        <v>Village</v>
      </c>
      <c r="BV347" s="782" t="str">
        <f>VLOOKUP(WWWW[[#This Row],[Village  Name]],SiteDB6[[Site Name]:[Type of Accommodation]],10,FALSE)</f>
        <v>Village</v>
      </c>
      <c r="BW347" s="782">
        <f>VLOOKUP(WWWW[[#This Row],[Village  Name]],SiteDB6[[Site Name]:[Ethnic or GCA/NGCA]],11,FALSE)</f>
        <v>0</v>
      </c>
      <c r="BX347" s="782">
        <f>VLOOKUP(WWWW[[#This Row],[Village  Name]],SiteDB6[[Site Name]:[Lat]],12,FALSE)</f>
        <v>92.994781494140597</v>
      </c>
      <c r="BY347" s="782">
        <f>VLOOKUP(WWWW[[#This Row],[Village  Name]],SiteDB6[[Site Name]:[Long]],13,FALSE)</f>
        <v>19.9693508148193</v>
      </c>
      <c r="BZ347" s="782">
        <f>VLOOKUP(WWWW[[#This Row],[Village  Name]],SiteDB6[[Site Name]:[Pcode]],3,FALSE)</f>
        <v>197541</v>
      </c>
      <c r="CA347" s="782" t="str">
        <f t="shared" si="21"/>
        <v>Covered</v>
      </c>
      <c r="CB347" s="783"/>
    </row>
    <row r="348" spans="1:80">
      <c r="A348" s="774" t="s">
        <v>3199</v>
      </c>
      <c r="B348" s="727" t="s">
        <v>287</v>
      </c>
      <c r="C348" s="728" t="s">
        <v>287</v>
      </c>
      <c r="D348" s="728" t="s">
        <v>327</v>
      </c>
      <c r="E348" s="728" t="s">
        <v>2648</v>
      </c>
      <c r="F348" s="728" t="s">
        <v>402</v>
      </c>
      <c r="G348" s="644" t="str">
        <f>VLOOKUP(WWWW[[#This Row],[Village  Name]],SiteDB6[[Site Name]:[Location Type]],8,FALSE)</f>
        <v>Village</v>
      </c>
      <c r="H348" s="728" t="s">
        <v>3160</v>
      </c>
      <c r="I348" s="775">
        <v>37</v>
      </c>
      <c r="J348" s="775">
        <v>207</v>
      </c>
      <c r="K348" s="784">
        <v>43359</v>
      </c>
      <c r="L348" s="785">
        <v>44196</v>
      </c>
      <c r="M348" s="775">
        <v>33</v>
      </c>
      <c r="N348" s="775"/>
      <c r="O348" s="773"/>
      <c r="P348" s="775"/>
      <c r="Q348" s="775">
        <v>1</v>
      </c>
      <c r="R348" s="775"/>
      <c r="S348" s="775">
        <v>207</v>
      </c>
      <c r="T348" s="775">
        <v>0</v>
      </c>
      <c r="U348" s="776"/>
      <c r="V348" s="775">
        <v>0</v>
      </c>
      <c r="W348" s="775" t="s">
        <v>40</v>
      </c>
      <c r="X348" s="775">
        <v>2</v>
      </c>
      <c r="Y348" s="775">
        <v>3</v>
      </c>
      <c r="Z348" s="775"/>
      <c r="AA348" s="775"/>
      <c r="AB348" s="775"/>
      <c r="AC348" s="776"/>
      <c r="AD348" s="775"/>
      <c r="AE348" s="775"/>
      <c r="AF348" s="775"/>
      <c r="AG348" s="775"/>
      <c r="AH348" s="775"/>
      <c r="AI348" s="775"/>
      <c r="AJ348" s="773"/>
      <c r="AK348" s="775"/>
      <c r="AL348" s="773"/>
      <c r="AM348" s="773"/>
      <c r="AN348" s="776"/>
      <c r="AO348" s="769"/>
      <c r="AP348" s="769"/>
      <c r="AQ348" s="773"/>
      <c r="AR348" s="773"/>
      <c r="AS348" s="773"/>
      <c r="AT34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48" s="779">
        <f>WWWW[[#This Row],[%Equitable and continuous access to sufficient quantity of safe drinking water]]*WWWW[[#This Row],[Total PoP ]]</f>
        <v>0</v>
      </c>
      <c r="AV34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48" s="779">
        <f>WWWW[[#This Row],[% Access to unimproved water points]]*WWWW[[#This Row],[Total PoP ]]</f>
        <v>207</v>
      </c>
      <c r="AX34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4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207</v>
      </c>
      <c r="AZ348" s="779">
        <f>WWWW[[#This Row],[HRP1]]/250</f>
        <v>0.82799999999999996</v>
      </c>
      <c r="BA348" s="780">
        <f>1-WWWW[[#This Row],[% Equitable and continuous access to sufficient quantity of domestic water]]</f>
        <v>0</v>
      </c>
      <c r="BB348" s="779">
        <f>WWWW[[#This Row],[%equitable and continuous access to sufficient quantity of safe drinking and domestic water''s GAP]]*WWWW[[#This Row],[Total PoP ]]</f>
        <v>0</v>
      </c>
      <c r="BC348" s="781">
        <f>IF(WWWW[[#This Row],[Total required water points]]-WWWW[[#This Row],['#Water points coverage]]&lt;0,0,WWWW[[#This Row],[Total required water points]]-WWWW[[#This Row],['#Water points coverage]])</f>
        <v>0.17200000000000004</v>
      </c>
      <c r="BD348" s="781">
        <f>ROUND(IF(WWWW[[#This Row],[Total PoP ]]&lt;250,1,WWWW[[#This Row],[Total PoP ]]/250),0)</f>
        <v>1</v>
      </c>
      <c r="BE34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48" s="779">
        <f>WWWW[[#This Row],[% people access to functioning Latrine]]*WWWW[[#This Row],[Total PoP ]]</f>
        <v>0</v>
      </c>
      <c r="BG348" s="781">
        <f>WWWW[[#This Row],['#_of_Functioning_latrines_in_school]]*50</f>
        <v>100</v>
      </c>
      <c r="BH348" s="781">
        <f>ROUND((WWWW[[#This Row],[Total PoP ]]/6),0)</f>
        <v>35</v>
      </c>
      <c r="BI348" s="781">
        <f>IF(WWWW[[#This Row],[Total required Latrines]]-(WWWW[[#This Row],['#_of_sanitary_fly-proof_HH_latrines]])&lt;0,0,WWWW[[#This Row],[Total required Latrines]]-(WWWW[[#This Row],['#_of_sanitary_fly-proof_HH_latrines]]))</f>
        <v>35</v>
      </c>
      <c r="BJ348" s="778">
        <f>1-WWWW[[#This Row],[% people access to functioning Latrine]]</f>
        <v>1</v>
      </c>
      <c r="BK34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8" s="772">
        <f>IF(WWWW[[#This Row],['#_of_functional_handwashing_facilities_at_HH_level]]*6&gt;WWWW[[#This Row],[Total PoP ]],WWWW[[#This Row],[Total PoP ]],WWWW[[#This Row],['#_of_functional_handwashing_facilities_at_HH_level]]*6)</f>
        <v>0</v>
      </c>
      <c r="BM348" s="781">
        <f>IF(WWWW[[#This Row],['# people reached by regular dedicated hygiene promotion]]&gt;WWWW[[#This Row],['# People received regular supply of hygiene items]],WWWW[[#This Row],['# people reached by regular dedicated hygiene promotion]],WWWW[[#This Row],['# People received regular supply of hygiene items]])</f>
        <v>0</v>
      </c>
      <c r="BN348" s="780">
        <f>IF(WWWW[[#This Row],[HRP3]]/WWWW[[#This Row],[Total PoP ]]&gt;100%,100%,WWWW[[#This Row],[HRP3]]/WWWW[[#This Row],[Total PoP ]])</f>
        <v>0</v>
      </c>
      <c r="BO348" s="778">
        <f>1-WWWW[[#This Row],[Hygiene Coverage%]]</f>
        <v>1</v>
      </c>
      <c r="BP348" s="777">
        <f>WWWW[[#This Row],['# people reached by regular dedicated hygiene promotion]]/WWWW[[#This Row],[Total PoP ]]</f>
        <v>0</v>
      </c>
      <c r="BQ34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8" s="770">
        <f>WWWW[[#This Row],['#_of_affected_women_and_girls_receiving_a_sufficient_quantity_of_sanitary_pads]]</f>
        <v>0</v>
      </c>
      <c r="BS348" s="773">
        <f>IF(WWWW[[#This Row],['# People with access to soap]]&gt;WWWW[[#This Row],['# People with access to Sanity Pads]],WWWW[[#This Row],['# People with access to soap]],WWWW[[#This Row],['# People with access to Sanity Pads]])</f>
        <v>0</v>
      </c>
      <c r="BT348" s="772" t="str">
        <f>IF(OR(WWWW[[#This Row],['#of students in school]]="",WWWW[[#This Row],['#of students in school]]=0),"No","Yes")</f>
        <v>Yes</v>
      </c>
      <c r="BU348" s="782" t="str">
        <f>VLOOKUP(WWWW[[#This Row],[Village  Name]],SiteDB6[[Site Name]:[Location Type 1]],9,FALSE)</f>
        <v>Village</v>
      </c>
      <c r="BV348" s="782" t="str">
        <f>VLOOKUP(WWWW[[#This Row],[Village  Name]],SiteDB6[[Site Name]:[Type of Accommodation]],10,FALSE)</f>
        <v>Village</v>
      </c>
      <c r="BW348" s="782">
        <f>VLOOKUP(WWWW[[#This Row],[Village  Name]],SiteDB6[[Site Name]:[Ethnic or GCA/NGCA]],11,FALSE)</f>
        <v>0</v>
      </c>
      <c r="BX348" s="782">
        <f>VLOOKUP(WWWW[[#This Row],[Village  Name]],SiteDB6[[Site Name]:[Lat]],12,FALSE)</f>
        <v>93.005447387695298</v>
      </c>
      <c r="BY348" s="782">
        <f>VLOOKUP(WWWW[[#This Row],[Village  Name]],SiteDB6[[Site Name]:[Long]],13,FALSE)</f>
        <v>19.914190292358398</v>
      </c>
      <c r="BZ348" s="782">
        <f>VLOOKUP(WWWW[[#This Row],[Village  Name]],SiteDB6[[Site Name]:[Pcode]],3,FALSE)</f>
        <v>197567</v>
      </c>
      <c r="CA348" s="782" t="str">
        <f t="shared" si="21"/>
        <v>Covered</v>
      </c>
      <c r="CB348" s="783"/>
    </row>
    <row r="349" spans="1:80">
      <c r="A349" s="774" t="s">
        <v>3199</v>
      </c>
      <c r="B349" s="727" t="s">
        <v>287</v>
      </c>
      <c r="C349" s="728" t="s">
        <v>287</v>
      </c>
      <c r="D349" s="728" t="s">
        <v>327</v>
      </c>
      <c r="E349" s="728" t="s">
        <v>2648</v>
      </c>
      <c r="F349" s="728" t="s">
        <v>402</v>
      </c>
      <c r="G349" s="644" t="str">
        <f>VLOOKUP(WWWW[[#This Row],[Village  Name]],SiteDB6[[Site Name]:[Location Type]],8,FALSE)</f>
        <v>Village</v>
      </c>
      <c r="H349" s="728" t="s">
        <v>521</v>
      </c>
      <c r="I349" s="775">
        <v>486</v>
      </c>
      <c r="J349" s="775">
        <v>2042</v>
      </c>
      <c r="K349" s="784">
        <v>43359</v>
      </c>
      <c r="L349" s="785">
        <v>44196</v>
      </c>
      <c r="M349" s="775">
        <v>531</v>
      </c>
      <c r="N349" s="775"/>
      <c r="O349" s="773"/>
      <c r="P349" s="775"/>
      <c r="Q349" s="775">
        <v>5</v>
      </c>
      <c r="R349" s="775"/>
      <c r="S349" s="775">
        <v>2042</v>
      </c>
      <c r="T349" s="775">
        <v>1</v>
      </c>
      <c r="U349" s="776"/>
      <c r="V349" s="775">
        <v>30</v>
      </c>
      <c r="W349" s="775" t="s">
        <v>40</v>
      </c>
      <c r="X349" s="775">
        <v>10</v>
      </c>
      <c r="Y349" s="775">
        <v>21</v>
      </c>
      <c r="Z349" s="775"/>
      <c r="AA349" s="775"/>
      <c r="AB349" s="775"/>
      <c r="AC349" s="776"/>
      <c r="AD349" s="775"/>
      <c r="AE349" s="775"/>
      <c r="AF349" s="775"/>
      <c r="AG349" s="775"/>
      <c r="AH349" s="775"/>
      <c r="AI349" s="775"/>
      <c r="AJ349" s="773"/>
      <c r="AK349" s="775"/>
      <c r="AL349" s="773"/>
      <c r="AM349" s="773"/>
      <c r="AN349" s="776"/>
      <c r="AO349" s="769"/>
      <c r="AP349" s="769"/>
      <c r="AQ349" s="773"/>
      <c r="AR349" s="773"/>
      <c r="AS349" s="773"/>
      <c r="AT34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0.12242899118511263</v>
      </c>
      <c r="AU349" s="779">
        <f>WWWW[[#This Row],[%Equitable and continuous access to sufficient quantity of safe drinking water]]*WWWW[[#This Row],[Total PoP ]]</f>
        <v>250</v>
      </c>
      <c r="AV34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49" s="779">
        <f>WWWW[[#This Row],[% Access to unimproved water points]]*WWWW[[#This Row],[Total PoP ]]</f>
        <v>2042</v>
      </c>
      <c r="AX34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4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2042</v>
      </c>
      <c r="AZ349" s="779">
        <f>WWWW[[#This Row],[HRP1]]/250</f>
        <v>8.1679999999999993</v>
      </c>
      <c r="BA349" s="780">
        <f>1-WWWW[[#This Row],[% Equitable and continuous access to sufficient quantity of domestic water]]</f>
        <v>0</v>
      </c>
      <c r="BB349" s="779">
        <f>WWWW[[#This Row],[%equitable and continuous access to sufficient quantity of safe drinking and domestic water''s GAP]]*WWWW[[#This Row],[Total PoP ]]</f>
        <v>0</v>
      </c>
      <c r="BC349" s="781">
        <f>IF(WWWW[[#This Row],[Total required water points]]-WWWW[[#This Row],['#Water points coverage]]&lt;0,0,WWWW[[#This Row],[Total required water points]]-WWWW[[#This Row],['#Water points coverage]])</f>
        <v>0</v>
      </c>
      <c r="BD349" s="781">
        <f>ROUND(IF(WWWW[[#This Row],[Total PoP ]]&lt;250,1,WWWW[[#This Row],[Total PoP ]]/250),0)</f>
        <v>8</v>
      </c>
      <c r="BE34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8.8148873653281098E-2</v>
      </c>
      <c r="BF349" s="779">
        <f>WWWW[[#This Row],[% people access to functioning Latrine]]*WWWW[[#This Row],[Total PoP ]]</f>
        <v>180</v>
      </c>
      <c r="BG349" s="781">
        <f>WWWW[[#This Row],['#_of_Functioning_latrines_in_school]]*50</f>
        <v>500</v>
      </c>
      <c r="BH349" s="781">
        <f>ROUND((WWWW[[#This Row],[Total PoP ]]/6),0)</f>
        <v>340</v>
      </c>
      <c r="BI349" s="781">
        <f>IF(WWWW[[#This Row],[Total required Latrines]]-(WWWW[[#This Row],['#_of_sanitary_fly-proof_HH_latrines]])&lt;0,0,WWWW[[#This Row],[Total required Latrines]]-(WWWW[[#This Row],['#_of_sanitary_fly-proof_HH_latrines]]))</f>
        <v>310</v>
      </c>
      <c r="BJ349" s="778">
        <f>1-WWWW[[#This Row],[% people access to functioning Latrine]]</f>
        <v>0.91185112634671894</v>
      </c>
      <c r="BK34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49" s="772">
        <f>IF(WWWW[[#This Row],['#_of_functional_handwashing_facilities_at_HH_level]]*6&gt;WWWW[[#This Row],[Total PoP ]],WWWW[[#This Row],[Total PoP ]],WWWW[[#This Row],['#_of_functional_handwashing_facilities_at_HH_level]]*6)</f>
        <v>0</v>
      </c>
      <c r="BM349" s="781">
        <f>IF(WWWW[[#This Row],['# people reached by regular dedicated hygiene promotion]]&gt;WWWW[[#This Row],['# People received regular supply of hygiene items]],WWWW[[#This Row],['# people reached by regular dedicated hygiene promotion]],WWWW[[#This Row],['# People received regular supply of hygiene items]])</f>
        <v>0</v>
      </c>
      <c r="BN349" s="780">
        <f>IF(WWWW[[#This Row],[HRP3]]/WWWW[[#This Row],[Total PoP ]]&gt;100%,100%,WWWW[[#This Row],[HRP3]]/WWWW[[#This Row],[Total PoP ]])</f>
        <v>0</v>
      </c>
      <c r="BO349" s="778">
        <f>1-WWWW[[#This Row],[Hygiene Coverage%]]</f>
        <v>1</v>
      </c>
      <c r="BP349" s="777">
        <f>WWWW[[#This Row],['# people reached by regular dedicated hygiene promotion]]/WWWW[[#This Row],[Total PoP ]]</f>
        <v>0</v>
      </c>
      <c r="BQ34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49" s="770">
        <f>WWWW[[#This Row],['#_of_affected_women_and_girls_receiving_a_sufficient_quantity_of_sanitary_pads]]</f>
        <v>0</v>
      </c>
      <c r="BS349" s="773">
        <f>IF(WWWW[[#This Row],['# People with access to soap]]&gt;WWWW[[#This Row],['# People with access to Sanity Pads]],WWWW[[#This Row],['# People with access to soap]],WWWW[[#This Row],['# People with access to Sanity Pads]])</f>
        <v>0</v>
      </c>
      <c r="BT349" s="772" t="str">
        <f>IF(OR(WWWW[[#This Row],['#of students in school]]="",WWWW[[#This Row],['#of students in school]]=0),"No","Yes")</f>
        <v>Yes</v>
      </c>
      <c r="BU349" s="782" t="str">
        <f>VLOOKUP(WWWW[[#This Row],[Village  Name]],SiteDB6[[Site Name]:[Location Type 1]],9,FALSE)</f>
        <v>Village</v>
      </c>
      <c r="BV349" s="782" t="str">
        <f>VLOOKUP(WWWW[[#This Row],[Village  Name]],SiteDB6[[Site Name]:[Type of Accommodation]],10,FALSE)</f>
        <v>Village</v>
      </c>
      <c r="BW349" s="782" t="str">
        <f>VLOOKUP(WWWW[[#This Row],[Village  Name]],SiteDB6[[Site Name]:[Ethnic or GCA/NGCA]],11,FALSE)</f>
        <v>Muslim</v>
      </c>
      <c r="BX349" s="782">
        <f>VLOOKUP(WWWW[[#This Row],[Village  Name]],SiteDB6[[Site Name]:[Lat]],12,FALSE)</f>
        <v>20.663370130000001</v>
      </c>
      <c r="BY349" s="782">
        <f>VLOOKUP(WWWW[[#This Row],[Village  Name]],SiteDB6[[Site Name]:[Long]],13,FALSE)</f>
        <v>92.613876340000004</v>
      </c>
      <c r="BZ349" s="782">
        <f>VLOOKUP(WWWW[[#This Row],[Village  Name]],SiteDB6[[Site Name]:[Pcode]],3,FALSE)</f>
        <v>198449</v>
      </c>
      <c r="CA349" s="782" t="str">
        <f t="shared" si="21"/>
        <v>Covered</v>
      </c>
      <c r="CB349" s="783"/>
    </row>
    <row r="350" spans="1:80">
      <c r="A350" s="774" t="s">
        <v>3199</v>
      </c>
      <c r="B350" s="727" t="s">
        <v>287</v>
      </c>
      <c r="C350" s="728" t="s">
        <v>287</v>
      </c>
      <c r="D350" s="728" t="s">
        <v>327</v>
      </c>
      <c r="E350" s="728" t="s">
        <v>2648</v>
      </c>
      <c r="F350" s="728" t="s">
        <v>402</v>
      </c>
      <c r="G350" s="644" t="str">
        <f>VLOOKUP(WWWW[[#This Row],[Village  Name]],SiteDB6[[Site Name]:[Location Type]],8,FALSE)</f>
        <v>Village</v>
      </c>
      <c r="H350" s="728" t="s">
        <v>3165</v>
      </c>
      <c r="I350" s="775">
        <v>340</v>
      </c>
      <c r="J350" s="775">
        <v>1408</v>
      </c>
      <c r="K350" s="784">
        <v>43359</v>
      </c>
      <c r="L350" s="785">
        <v>44196</v>
      </c>
      <c r="M350" s="775">
        <v>223</v>
      </c>
      <c r="N350" s="775"/>
      <c r="O350" s="773"/>
      <c r="P350" s="775"/>
      <c r="Q350" s="775">
        <v>0</v>
      </c>
      <c r="R350" s="775"/>
      <c r="S350" s="775">
        <v>1408</v>
      </c>
      <c r="T350" s="775">
        <v>0</v>
      </c>
      <c r="U350" s="776"/>
      <c r="V350" s="775">
        <v>30</v>
      </c>
      <c r="W350" s="775" t="s">
        <v>126</v>
      </c>
      <c r="X350" s="775">
        <v>1</v>
      </c>
      <c r="Y350" s="775">
        <v>8</v>
      </c>
      <c r="Z350" s="775"/>
      <c r="AA350" s="775"/>
      <c r="AB350" s="775"/>
      <c r="AC350" s="776"/>
      <c r="AD350" s="775"/>
      <c r="AE350" s="775"/>
      <c r="AF350" s="775"/>
      <c r="AG350" s="775"/>
      <c r="AH350" s="775"/>
      <c r="AI350" s="775"/>
      <c r="AJ350" s="773"/>
      <c r="AK350" s="775"/>
      <c r="AL350" s="773"/>
      <c r="AM350" s="773"/>
      <c r="AN350" s="776"/>
      <c r="AO350" s="769"/>
      <c r="AP350" s="769"/>
      <c r="AQ350" s="773"/>
      <c r="AR350" s="773"/>
      <c r="AS350" s="773"/>
      <c r="AT35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0" s="779">
        <f>WWWW[[#This Row],[%Equitable and continuous access to sufficient quantity of safe drinking water]]*WWWW[[#This Row],[Total PoP ]]</f>
        <v>0</v>
      </c>
      <c r="AV35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50" s="779">
        <f>WWWW[[#This Row],[% Access to unimproved water points]]*WWWW[[#This Row],[Total PoP ]]</f>
        <v>1408</v>
      </c>
      <c r="AX35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5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1408</v>
      </c>
      <c r="AZ350" s="779">
        <f>WWWW[[#This Row],[HRP1]]/250</f>
        <v>5.6319999999999997</v>
      </c>
      <c r="BA350" s="780">
        <f>1-WWWW[[#This Row],[% Equitable and continuous access to sufficient quantity of domestic water]]</f>
        <v>0</v>
      </c>
      <c r="BB350" s="779">
        <f>WWWW[[#This Row],[%equitable and continuous access to sufficient quantity of safe drinking and domestic water''s GAP]]*WWWW[[#This Row],[Total PoP ]]</f>
        <v>0</v>
      </c>
      <c r="BC350" s="781">
        <f>IF(WWWW[[#This Row],[Total required water points]]-WWWW[[#This Row],['#Water points coverage]]&lt;0,0,WWWW[[#This Row],[Total required water points]]-WWWW[[#This Row],['#Water points coverage]])</f>
        <v>0.36800000000000033</v>
      </c>
      <c r="BD350" s="781">
        <f>ROUND(IF(WWWW[[#This Row],[Total PoP ]]&lt;250,1,WWWW[[#This Row],[Total PoP ]]/250),0)</f>
        <v>6</v>
      </c>
      <c r="BE35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0.12784090909090909</v>
      </c>
      <c r="BF350" s="779">
        <f>WWWW[[#This Row],[% people access to functioning Latrine]]*WWWW[[#This Row],[Total PoP ]]</f>
        <v>180</v>
      </c>
      <c r="BG350" s="781">
        <f>WWWW[[#This Row],['#_of_Functioning_latrines_in_school]]*50</f>
        <v>50</v>
      </c>
      <c r="BH350" s="781">
        <f>ROUND((WWWW[[#This Row],[Total PoP ]]/6),0)</f>
        <v>235</v>
      </c>
      <c r="BI350" s="781">
        <f>IF(WWWW[[#This Row],[Total required Latrines]]-(WWWW[[#This Row],['#_of_sanitary_fly-proof_HH_latrines]])&lt;0,0,WWWW[[#This Row],[Total required Latrines]]-(WWWW[[#This Row],['#_of_sanitary_fly-proof_HH_latrines]]))</f>
        <v>205</v>
      </c>
      <c r="BJ350" s="778">
        <f>1-WWWW[[#This Row],[% people access to functioning Latrine]]</f>
        <v>0.87215909090909094</v>
      </c>
      <c r="BK35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50" s="772">
        <f>IF(WWWW[[#This Row],['#_of_functional_handwashing_facilities_at_HH_level]]*6&gt;WWWW[[#This Row],[Total PoP ]],WWWW[[#This Row],[Total PoP ]],WWWW[[#This Row],['#_of_functional_handwashing_facilities_at_HH_level]]*6)</f>
        <v>0</v>
      </c>
      <c r="BM350" s="781">
        <f>IF(WWWW[[#This Row],['# people reached by regular dedicated hygiene promotion]]&gt;WWWW[[#This Row],['# People received regular supply of hygiene items]],WWWW[[#This Row],['# people reached by regular dedicated hygiene promotion]],WWWW[[#This Row],['# People received regular supply of hygiene items]])</f>
        <v>0</v>
      </c>
      <c r="BN350" s="780">
        <f>IF(WWWW[[#This Row],[HRP3]]/WWWW[[#This Row],[Total PoP ]]&gt;100%,100%,WWWW[[#This Row],[HRP3]]/WWWW[[#This Row],[Total PoP ]])</f>
        <v>0</v>
      </c>
      <c r="BO350" s="778">
        <f>1-WWWW[[#This Row],[Hygiene Coverage%]]</f>
        <v>1</v>
      </c>
      <c r="BP350" s="777">
        <f>WWWW[[#This Row],['# people reached by regular dedicated hygiene promotion]]/WWWW[[#This Row],[Total PoP ]]</f>
        <v>0</v>
      </c>
      <c r="BQ35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50" s="770">
        <f>WWWW[[#This Row],['#_of_affected_women_and_girls_receiving_a_sufficient_quantity_of_sanitary_pads]]</f>
        <v>0</v>
      </c>
      <c r="BS350" s="773">
        <f>IF(WWWW[[#This Row],['# People with access to soap]]&gt;WWWW[[#This Row],['# People with access to Sanity Pads]],WWWW[[#This Row],['# People with access to soap]],WWWW[[#This Row],['# People with access to Sanity Pads]])</f>
        <v>0</v>
      </c>
      <c r="BT350" s="772" t="str">
        <f>IF(OR(WWWW[[#This Row],['#of students in school]]="",WWWW[[#This Row],['#of students in school]]=0),"No","Yes")</f>
        <v>Yes</v>
      </c>
      <c r="BU350" s="782" t="str">
        <f>VLOOKUP(WWWW[[#This Row],[Village  Name]],SiteDB6[[Site Name]:[Location Type 1]],9,FALSE)</f>
        <v>Village</v>
      </c>
      <c r="BV350" s="782" t="str">
        <f>VLOOKUP(WWWW[[#This Row],[Village  Name]],SiteDB6[[Site Name]:[Type of Accommodation]],10,FALSE)</f>
        <v>Village</v>
      </c>
      <c r="BW350" s="782">
        <f>VLOOKUP(WWWW[[#This Row],[Village  Name]],SiteDB6[[Site Name]:[Ethnic or GCA/NGCA]],11,FALSE)</f>
        <v>0</v>
      </c>
      <c r="BX350" s="782">
        <f>VLOOKUP(WWWW[[#This Row],[Village  Name]],SiteDB6[[Site Name]:[Lat]],12,FALSE)</f>
        <v>92.925521850585895</v>
      </c>
      <c r="BY350" s="782">
        <f>VLOOKUP(WWWW[[#This Row],[Village  Name]],SiteDB6[[Site Name]:[Long]],13,FALSE)</f>
        <v>20.091190338134801</v>
      </c>
      <c r="BZ350" s="782">
        <f>VLOOKUP(WWWW[[#This Row],[Village  Name]],SiteDB6[[Site Name]:[Pcode]],3,FALSE)</f>
        <v>217989</v>
      </c>
      <c r="CA350" s="782" t="str">
        <f t="shared" si="21"/>
        <v>Covered</v>
      </c>
      <c r="CB350" s="783"/>
    </row>
    <row r="351" spans="1:80">
      <c r="A351" s="774" t="s">
        <v>3199</v>
      </c>
      <c r="B351" s="727" t="s">
        <v>287</v>
      </c>
      <c r="C351" s="728" t="s">
        <v>287</v>
      </c>
      <c r="D351" s="728" t="s">
        <v>327</v>
      </c>
      <c r="E351" s="728" t="s">
        <v>2648</v>
      </c>
      <c r="F351" s="728" t="s">
        <v>402</v>
      </c>
      <c r="G351" s="644" t="str">
        <f>VLOOKUP(WWWW[[#This Row],[Village  Name]],SiteDB6[[Site Name]:[Location Type]],8,FALSE)</f>
        <v>Village</v>
      </c>
      <c r="H351" s="728" t="s">
        <v>825</v>
      </c>
      <c r="I351" s="775">
        <v>72</v>
      </c>
      <c r="J351" s="775">
        <v>308</v>
      </c>
      <c r="K351" s="784">
        <v>43359</v>
      </c>
      <c r="L351" s="785">
        <v>44196</v>
      </c>
      <c r="M351" s="775">
        <v>65</v>
      </c>
      <c r="N351" s="775"/>
      <c r="O351" s="773"/>
      <c r="P351" s="775"/>
      <c r="Q351" s="775">
        <v>1</v>
      </c>
      <c r="R351" s="775"/>
      <c r="S351" s="775">
        <v>308</v>
      </c>
      <c r="T351" s="775">
        <v>0</v>
      </c>
      <c r="U351" s="776"/>
      <c r="V351" s="775">
        <v>3</v>
      </c>
      <c r="W351" s="775" t="s">
        <v>126</v>
      </c>
      <c r="X351" s="775">
        <v>0</v>
      </c>
      <c r="Y351" s="775">
        <v>3</v>
      </c>
      <c r="Z351" s="775"/>
      <c r="AA351" s="775"/>
      <c r="AB351" s="775"/>
      <c r="AC351" s="776"/>
      <c r="AD351" s="775"/>
      <c r="AE351" s="775"/>
      <c r="AF351" s="775"/>
      <c r="AG351" s="775"/>
      <c r="AH351" s="775"/>
      <c r="AI351" s="775"/>
      <c r="AJ351" s="773"/>
      <c r="AK351" s="775"/>
      <c r="AL351" s="773"/>
      <c r="AM351" s="773"/>
      <c r="AN351" s="776"/>
      <c r="AO351" s="769"/>
      <c r="AP351" s="769"/>
      <c r="AQ351" s="773"/>
      <c r="AR351" s="773"/>
      <c r="AS351" s="773"/>
      <c r="AT35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1" s="779">
        <f>WWWW[[#This Row],[%Equitable and continuous access to sufficient quantity of safe drinking water]]*WWWW[[#This Row],[Total PoP ]]</f>
        <v>0</v>
      </c>
      <c r="AV35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1</v>
      </c>
      <c r="AW351" s="779">
        <f>WWWW[[#This Row],[% Access to unimproved water points]]*WWWW[[#This Row],[Total PoP ]]</f>
        <v>308</v>
      </c>
      <c r="AX35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5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308</v>
      </c>
      <c r="AZ351" s="779">
        <f>WWWW[[#This Row],[HRP1]]/250</f>
        <v>1.232</v>
      </c>
      <c r="BA351" s="780">
        <f>1-WWWW[[#This Row],[% Equitable and continuous access to sufficient quantity of domestic water]]</f>
        <v>0</v>
      </c>
      <c r="BB351" s="779">
        <f>WWWW[[#This Row],[%equitable and continuous access to sufficient quantity of safe drinking and domestic water''s GAP]]*WWWW[[#This Row],[Total PoP ]]</f>
        <v>0</v>
      </c>
      <c r="BC351" s="781">
        <f>IF(WWWW[[#This Row],[Total required water points]]-WWWW[[#This Row],['#Water points coverage]]&lt;0,0,WWWW[[#This Row],[Total required water points]]-WWWW[[#This Row],['#Water points coverage]])</f>
        <v>0</v>
      </c>
      <c r="BD351" s="781">
        <f>ROUND(IF(WWWW[[#This Row],[Total PoP ]]&lt;250,1,WWWW[[#This Row],[Total PoP ]]/250),0)</f>
        <v>1</v>
      </c>
      <c r="BE35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5.844155844155844E-2</v>
      </c>
      <c r="BF351" s="779">
        <f>WWWW[[#This Row],[% people access to functioning Latrine]]*WWWW[[#This Row],[Total PoP ]]</f>
        <v>18</v>
      </c>
      <c r="BG351" s="781">
        <f>WWWW[[#This Row],['#_of_Functioning_latrines_in_school]]*50</f>
        <v>0</v>
      </c>
      <c r="BH351" s="781">
        <f>ROUND((WWWW[[#This Row],[Total PoP ]]/6),0)</f>
        <v>51</v>
      </c>
      <c r="BI351" s="781">
        <f>IF(WWWW[[#This Row],[Total required Latrines]]-(WWWW[[#This Row],['#_of_sanitary_fly-proof_HH_latrines]])&lt;0,0,WWWW[[#This Row],[Total required Latrines]]-(WWWW[[#This Row],['#_of_sanitary_fly-proof_HH_latrines]]))</f>
        <v>48</v>
      </c>
      <c r="BJ351" s="778">
        <f>1-WWWW[[#This Row],[% people access to functioning Latrine]]</f>
        <v>0.94155844155844159</v>
      </c>
      <c r="BK35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51" s="772">
        <f>IF(WWWW[[#This Row],['#_of_functional_handwashing_facilities_at_HH_level]]*6&gt;WWWW[[#This Row],[Total PoP ]],WWWW[[#This Row],[Total PoP ]],WWWW[[#This Row],['#_of_functional_handwashing_facilities_at_HH_level]]*6)</f>
        <v>0</v>
      </c>
      <c r="BM351" s="781">
        <f>IF(WWWW[[#This Row],['# people reached by regular dedicated hygiene promotion]]&gt;WWWW[[#This Row],['# People received regular supply of hygiene items]],WWWW[[#This Row],['# people reached by regular dedicated hygiene promotion]],WWWW[[#This Row],['# People received regular supply of hygiene items]])</f>
        <v>0</v>
      </c>
      <c r="BN351" s="780">
        <f>IF(WWWW[[#This Row],[HRP3]]/WWWW[[#This Row],[Total PoP ]]&gt;100%,100%,WWWW[[#This Row],[HRP3]]/WWWW[[#This Row],[Total PoP ]])</f>
        <v>0</v>
      </c>
      <c r="BO351" s="778">
        <f>1-WWWW[[#This Row],[Hygiene Coverage%]]</f>
        <v>1</v>
      </c>
      <c r="BP351" s="777">
        <f>WWWW[[#This Row],['# people reached by regular dedicated hygiene promotion]]/WWWW[[#This Row],[Total PoP ]]</f>
        <v>0</v>
      </c>
      <c r="BQ35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51" s="770">
        <f>WWWW[[#This Row],['#_of_affected_women_and_girls_receiving_a_sufficient_quantity_of_sanitary_pads]]</f>
        <v>0</v>
      </c>
      <c r="BS351" s="773">
        <f>IF(WWWW[[#This Row],['# People with access to soap]]&gt;WWWW[[#This Row],['# People with access to Sanity Pads]],WWWW[[#This Row],['# People with access to soap]],WWWW[[#This Row],['# People with access to Sanity Pads]])</f>
        <v>0</v>
      </c>
      <c r="BT351" s="772" t="str">
        <f>IF(OR(WWWW[[#This Row],['#of students in school]]="",WWWW[[#This Row],['#of students in school]]=0),"No","Yes")</f>
        <v>Yes</v>
      </c>
      <c r="BU351" s="782" t="str">
        <f>VLOOKUP(WWWW[[#This Row],[Village  Name]],SiteDB6[[Site Name]:[Location Type 1]],9,FALSE)</f>
        <v>Village</v>
      </c>
      <c r="BV351" s="782" t="str">
        <f>VLOOKUP(WWWW[[#This Row],[Village  Name]],SiteDB6[[Site Name]:[Type of Accommodation]],10,FALSE)</f>
        <v>Village</v>
      </c>
      <c r="BW351" s="782">
        <f>VLOOKUP(WWWW[[#This Row],[Village  Name]],SiteDB6[[Site Name]:[Ethnic or GCA/NGCA]],11,FALSE)</f>
        <v>0</v>
      </c>
      <c r="BX351" s="782">
        <f>VLOOKUP(WWWW[[#This Row],[Village  Name]],SiteDB6[[Site Name]:[Lat]],12,FALSE)</f>
        <v>20.06903076</v>
      </c>
      <c r="BY351" s="782">
        <f>VLOOKUP(WWWW[[#This Row],[Village  Name]],SiteDB6[[Site Name]:[Long]],13,FALSE)</f>
        <v>92.930137630000004</v>
      </c>
      <c r="BZ351" s="782">
        <f>VLOOKUP(WWWW[[#This Row],[Village  Name]],SiteDB6[[Site Name]:[Pcode]],3,FALSE)</f>
        <v>197562</v>
      </c>
      <c r="CA351" s="782" t="str">
        <f t="shared" si="21"/>
        <v>Covered</v>
      </c>
      <c r="CB351" s="783"/>
    </row>
    <row r="352" spans="1:80">
      <c r="A352" s="727" t="s">
        <v>3199</v>
      </c>
      <c r="B352" s="727" t="s">
        <v>3152</v>
      </c>
      <c r="C352" s="728" t="s">
        <v>3152</v>
      </c>
      <c r="D352" s="728" t="s">
        <v>3153</v>
      </c>
      <c r="E352" s="728" t="s">
        <v>2648</v>
      </c>
      <c r="F352" s="728" t="s">
        <v>295</v>
      </c>
      <c r="G352" s="644" t="str">
        <f>VLOOKUP(WWWW[[#This Row],[Village  Name]],SiteDB6[[Site Name]:[Location Type]],8,FALSE)</f>
        <v>Village</v>
      </c>
      <c r="H352" s="728" t="s">
        <v>429</v>
      </c>
      <c r="I352" s="775">
        <v>342</v>
      </c>
      <c r="J352" s="775">
        <v>1980</v>
      </c>
      <c r="K352" s="784">
        <v>43922</v>
      </c>
      <c r="L352" s="785">
        <v>44073</v>
      </c>
      <c r="M352" s="775"/>
      <c r="N352" s="775"/>
      <c r="O352" s="773"/>
      <c r="P352" s="775"/>
      <c r="Q352" s="775"/>
      <c r="R352" s="775"/>
      <c r="S352" s="775"/>
      <c r="T352" s="775"/>
      <c r="U352" s="776"/>
      <c r="V352" s="775"/>
      <c r="W352" s="773" t="s">
        <v>130</v>
      </c>
      <c r="X352" s="775"/>
      <c r="Y352" s="775">
        <v>18</v>
      </c>
      <c r="Z352" s="775">
        <v>18</v>
      </c>
      <c r="AA352" s="775"/>
      <c r="AB352" s="775"/>
      <c r="AC352" s="776"/>
      <c r="AD352" s="775">
        <v>426</v>
      </c>
      <c r="AE352" s="775">
        <v>371</v>
      </c>
      <c r="AF352" s="775">
        <v>548</v>
      </c>
      <c r="AG352" s="775">
        <v>535</v>
      </c>
      <c r="AH352" s="775">
        <v>548</v>
      </c>
      <c r="AI352" s="775">
        <v>535</v>
      </c>
      <c r="AJ352" s="773"/>
      <c r="AK352" s="775"/>
      <c r="AL352" s="773">
        <v>1980</v>
      </c>
      <c r="AM352" s="773"/>
      <c r="AN352" s="776"/>
      <c r="AO352" s="769">
        <v>0.2</v>
      </c>
      <c r="AP352" s="769">
        <v>0.01</v>
      </c>
      <c r="AQ352" s="773"/>
      <c r="AR352" s="773"/>
      <c r="AS352" s="773"/>
      <c r="AT35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2" s="779">
        <f>WWWW[[#This Row],[%Equitable and continuous access to sufficient quantity of safe drinking water]]*WWWW[[#This Row],[Total PoP ]]</f>
        <v>0</v>
      </c>
      <c r="AV35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52" s="779">
        <f>WWWW[[#This Row],[% Access to unimproved water points]]*WWWW[[#This Row],[Total PoP ]]</f>
        <v>0</v>
      </c>
      <c r="AX35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5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52" s="779">
        <f>WWWW[[#This Row],[HRP1]]/250</f>
        <v>0</v>
      </c>
      <c r="BA352" s="780">
        <f>1-WWWW[[#This Row],[% Equitable and continuous access to sufficient quantity of domestic water]]</f>
        <v>1</v>
      </c>
      <c r="BB352" s="779">
        <f>WWWW[[#This Row],[%equitable and continuous access to sufficient quantity of safe drinking and domestic water''s GAP]]*WWWW[[#This Row],[Total PoP ]]</f>
        <v>1980</v>
      </c>
      <c r="BC352" s="781">
        <f>IF(WWWW[[#This Row],[Total required water points]]-WWWW[[#This Row],['#Water points coverage]]&lt;0,0,WWWW[[#This Row],[Total required water points]]-WWWW[[#This Row],['#Water points coverage]])</f>
        <v>8</v>
      </c>
      <c r="BD352" s="781">
        <f>ROUND(IF(WWWW[[#This Row],[Total PoP ]]&lt;250,1,WWWW[[#This Row],[Total PoP ]]/250),0)</f>
        <v>8</v>
      </c>
      <c r="BE35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9.0909090909090905E-3</v>
      </c>
      <c r="BF352" s="779">
        <f>WWWW[[#This Row],[% people access to functioning Latrine]]*WWWW[[#This Row],[Total PoP ]]</f>
        <v>18</v>
      </c>
      <c r="BG352" s="781">
        <f>WWWW[[#This Row],['#_of_Functioning_latrines_in_school]]*50</f>
        <v>0</v>
      </c>
      <c r="BH352" s="781">
        <f>ROUND((WWWW[[#This Row],[Total PoP ]]/6),0)</f>
        <v>330</v>
      </c>
      <c r="BI352" s="781">
        <f>IF(WWWW[[#This Row],[Total required Latrines]]-(WWWW[[#This Row],['#_of_sanitary_fly-proof_HH_latrines]])&lt;0,0,WWWW[[#This Row],[Total required Latrines]]-(WWWW[[#This Row],['#_of_sanitary_fly-proof_HH_latrines]]))</f>
        <v>330</v>
      </c>
      <c r="BJ352" s="778">
        <f>1-WWWW[[#This Row],[% people access to functioning Latrine]]</f>
        <v>0.99090909090909096</v>
      </c>
      <c r="BK35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1980</v>
      </c>
      <c r="BL352" s="772">
        <f>IF(WWWW[[#This Row],['#_of_functional_handwashing_facilities_at_HH_level]]*6&gt;WWWW[[#This Row],[Total PoP ]],WWWW[[#This Row],[Total PoP ]],WWWW[[#This Row],['#_of_functional_handwashing_facilities_at_HH_level]]*6)</f>
        <v>0</v>
      </c>
      <c r="BM352" s="781">
        <f>IF(WWWW[[#This Row],['# people reached by regular dedicated hygiene promotion]]&gt;WWWW[[#This Row],['# People received regular supply of hygiene items]],WWWW[[#This Row],['# people reached by regular dedicated hygiene promotion]],WWWW[[#This Row],['# People received regular supply of hygiene items]])</f>
        <v>1980</v>
      </c>
      <c r="BN352" s="780">
        <f>IF(WWWW[[#This Row],[HRP3]]/WWWW[[#This Row],[Total PoP ]]&gt;100%,100%,WWWW[[#This Row],[HRP3]]/WWWW[[#This Row],[Total PoP ]])</f>
        <v>1</v>
      </c>
      <c r="BO352" s="778">
        <f>1-WWWW[[#This Row],[Hygiene Coverage%]]</f>
        <v>0</v>
      </c>
      <c r="BP352" s="777">
        <f>WWWW[[#This Row],['# people reached by regular dedicated hygiene promotion]]/WWWW[[#This Row],[Total PoP ]]</f>
        <v>1</v>
      </c>
      <c r="BQ35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1980</v>
      </c>
      <c r="BR352" s="770">
        <f>WWWW[[#This Row],['#_of_affected_women_and_girls_receiving_a_sufficient_quantity_of_sanitary_pads]]</f>
        <v>0</v>
      </c>
      <c r="BS352" s="773">
        <f>IF(WWWW[[#This Row],['# People with access to soap]]&gt;WWWW[[#This Row],['# People with access to Sanity Pads]],WWWW[[#This Row],['# People with access to soap]],WWWW[[#This Row],['# People with access to Sanity Pads]])</f>
        <v>1980</v>
      </c>
      <c r="BT352" s="772" t="str">
        <f>IF(OR(WWWW[[#This Row],['#of students in school]]="",WWWW[[#This Row],['#of students in school]]=0),"No","Yes")</f>
        <v>No</v>
      </c>
      <c r="BU352" s="782" t="str">
        <f>VLOOKUP(WWWW[[#This Row],[Village  Name]],SiteDB6[[Site Name]:[Location Type 1]],9,FALSE)</f>
        <v>Village</v>
      </c>
      <c r="BV352" s="782" t="str">
        <f>VLOOKUP(WWWW[[#This Row],[Village  Name]],SiteDB6[[Site Name]:[Type of Accommodation]],10,FALSE)</f>
        <v>Village</v>
      </c>
      <c r="BW352" s="782">
        <f>VLOOKUP(WWWW[[#This Row],[Village  Name]],SiteDB6[[Site Name]:[Ethnic or GCA/NGCA]],11,FALSE)</f>
        <v>0</v>
      </c>
      <c r="BX352" s="782">
        <f>VLOOKUP(WWWW[[#This Row],[Village  Name]],SiteDB6[[Site Name]:[Lat]],12,FALSE)</f>
        <v>20.183790210000002</v>
      </c>
      <c r="BY352" s="782">
        <f>VLOOKUP(WWWW[[#This Row],[Village  Name]],SiteDB6[[Site Name]:[Long]],13,FALSE)</f>
        <v>92.864143369999994</v>
      </c>
      <c r="BZ352" s="782">
        <f>VLOOKUP(WWWW[[#This Row],[Village  Name]],SiteDB6[[Site Name]:[Pcode]],3,FALSE)</f>
        <v>196197</v>
      </c>
      <c r="CA352" s="782" t="str">
        <f t="shared" ref="CA352:CA368" si="22">IF(C352="none","Notcovered","Covered")</f>
        <v>Covered</v>
      </c>
      <c r="CB352" s="783"/>
    </row>
    <row r="353" spans="1:80">
      <c r="A353" s="727" t="s">
        <v>3199</v>
      </c>
      <c r="B353" s="727" t="s">
        <v>3152</v>
      </c>
      <c r="C353" s="728" t="s">
        <v>3152</v>
      </c>
      <c r="D353" s="728" t="s">
        <v>3297</v>
      </c>
      <c r="E353" s="728" t="s">
        <v>2648</v>
      </c>
      <c r="F353" s="728" t="s">
        <v>295</v>
      </c>
      <c r="G353" s="644" t="str">
        <f>VLOOKUP(WWWW[[#This Row],[Village  Name]],SiteDB6[[Site Name]:[Location Type]],8,FALSE)</f>
        <v>Village</v>
      </c>
      <c r="H353" s="728" t="s">
        <v>3303</v>
      </c>
      <c r="I353" s="775">
        <v>203</v>
      </c>
      <c r="J353" s="775">
        <v>937</v>
      </c>
      <c r="K353" s="784">
        <v>43952</v>
      </c>
      <c r="L353" s="785">
        <v>44073</v>
      </c>
      <c r="M353" s="775"/>
      <c r="N353" s="775"/>
      <c r="O353" s="773"/>
      <c r="P353" s="775"/>
      <c r="Q353" s="775"/>
      <c r="R353" s="775"/>
      <c r="S353" s="775"/>
      <c r="T353" s="775"/>
      <c r="U353" s="776"/>
      <c r="V353" s="775"/>
      <c r="W353" s="773" t="s">
        <v>130</v>
      </c>
      <c r="X353" s="775"/>
      <c r="Y353" s="775">
        <v>4</v>
      </c>
      <c r="Z353" s="775">
        <v>4</v>
      </c>
      <c r="AA353" s="775"/>
      <c r="AB353" s="775"/>
      <c r="AC353" s="776"/>
      <c r="AD353" s="775">
        <v>282</v>
      </c>
      <c r="AE353" s="775">
        <v>377</v>
      </c>
      <c r="AF353" s="775">
        <v>134</v>
      </c>
      <c r="AG353" s="775">
        <v>144</v>
      </c>
      <c r="AH353" s="775">
        <v>134</v>
      </c>
      <c r="AI353" s="775">
        <v>144</v>
      </c>
      <c r="AJ353" s="773"/>
      <c r="AK353" s="775"/>
      <c r="AL353" s="773">
        <v>203</v>
      </c>
      <c r="AM353" s="773"/>
      <c r="AN353" s="776"/>
      <c r="AO353" s="769"/>
      <c r="AP353" s="769"/>
      <c r="AQ353" s="773"/>
      <c r="AR353" s="773"/>
      <c r="AS353" s="773"/>
      <c r="AT35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3" s="779">
        <f>WWWW[[#This Row],[%Equitable and continuous access to sufficient quantity of safe drinking water]]*WWWW[[#This Row],[Total PoP ]]</f>
        <v>0</v>
      </c>
      <c r="AV35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53" s="779">
        <f>WWWW[[#This Row],[% Access to unimproved water points]]*WWWW[[#This Row],[Total PoP ]]</f>
        <v>0</v>
      </c>
      <c r="AX35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5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53" s="779">
        <f>WWWW[[#This Row],[HRP1]]/250</f>
        <v>0</v>
      </c>
      <c r="BA353" s="780">
        <f>1-WWWW[[#This Row],[% Equitable and continuous access to sufficient quantity of domestic water]]</f>
        <v>1</v>
      </c>
      <c r="BB353" s="779">
        <f>WWWW[[#This Row],[%equitable and continuous access to sufficient quantity of safe drinking and domestic water''s GAP]]*WWWW[[#This Row],[Total PoP ]]</f>
        <v>937</v>
      </c>
      <c r="BC353" s="781">
        <f>IF(WWWW[[#This Row],[Total required water points]]-WWWW[[#This Row],['#Water points coverage]]&lt;0,0,WWWW[[#This Row],[Total required water points]]-WWWW[[#This Row],['#Water points coverage]])</f>
        <v>4</v>
      </c>
      <c r="BD353" s="781">
        <f>ROUND(IF(WWWW[[#This Row],[Total PoP ]]&lt;250,1,WWWW[[#This Row],[Total PoP ]]/250),0)</f>
        <v>4</v>
      </c>
      <c r="BE35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4.2689434364994666E-3</v>
      </c>
      <c r="BF353" s="779">
        <f>WWWW[[#This Row],[% people access to functioning Latrine]]*WWWW[[#This Row],[Total PoP ]]</f>
        <v>4</v>
      </c>
      <c r="BG353" s="781">
        <f>WWWW[[#This Row],['#_of_Functioning_latrines_in_school]]*50</f>
        <v>0</v>
      </c>
      <c r="BH353" s="781">
        <f>ROUND((WWWW[[#This Row],[Total PoP ]]/6),0)</f>
        <v>156</v>
      </c>
      <c r="BI353" s="781">
        <f>IF(WWWW[[#This Row],[Total required Latrines]]-(WWWW[[#This Row],['#_of_sanitary_fly-proof_HH_latrines]])&lt;0,0,WWWW[[#This Row],[Total required Latrines]]-(WWWW[[#This Row],['#_of_sanitary_fly-proof_HH_latrines]]))</f>
        <v>156</v>
      </c>
      <c r="BJ353" s="778">
        <f>1-WWWW[[#This Row],[% people access to functioning Latrine]]</f>
        <v>0.99573105656350058</v>
      </c>
      <c r="BK35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937</v>
      </c>
      <c r="BL353" s="772">
        <f>IF(WWWW[[#This Row],['#_of_functional_handwashing_facilities_at_HH_level]]*6&gt;WWWW[[#This Row],[Total PoP ]],WWWW[[#This Row],[Total PoP ]],WWWW[[#This Row],['#_of_functional_handwashing_facilities_at_HH_level]]*6)</f>
        <v>0</v>
      </c>
      <c r="BM353" s="781">
        <f>IF(WWWW[[#This Row],['# people reached by regular dedicated hygiene promotion]]&gt;WWWW[[#This Row],['# People received regular supply of hygiene items]],WWWW[[#This Row],['# people reached by regular dedicated hygiene promotion]],WWWW[[#This Row],['# People received regular supply of hygiene items]])</f>
        <v>937</v>
      </c>
      <c r="BN353" s="780">
        <f>IF(WWWW[[#This Row],[HRP3]]/WWWW[[#This Row],[Total PoP ]]&gt;100%,100%,WWWW[[#This Row],[HRP3]]/WWWW[[#This Row],[Total PoP ]])</f>
        <v>1</v>
      </c>
      <c r="BO353" s="778">
        <f>1-WWWW[[#This Row],[Hygiene Coverage%]]</f>
        <v>0</v>
      </c>
      <c r="BP353" s="777">
        <f>WWWW[[#This Row],['# people reached by regular dedicated hygiene promotion]]/WWWW[[#This Row],[Total PoP ]]</f>
        <v>1</v>
      </c>
      <c r="BQ35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937</v>
      </c>
      <c r="BR353" s="770">
        <f>WWWW[[#This Row],['#_of_affected_women_and_girls_receiving_a_sufficient_quantity_of_sanitary_pads]]</f>
        <v>0</v>
      </c>
      <c r="BS353" s="773">
        <f>IF(WWWW[[#This Row],['# People with access to soap]]&gt;WWWW[[#This Row],['# People with access to Sanity Pads]],WWWW[[#This Row],['# People with access to soap]],WWWW[[#This Row],['# People with access to Sanity Pads]])</f>
        <v>937</v>
      </c>
      <c r="BT353" s="772" t="str">
        <f>IF(OR(WWWW[[#This Row],['#of students in school]]="",WWWW[[#This Row],['#of students in school]]=0),"No","Yes")</f>
        <v>No</v>
      </c>
      <c r="BU353" s="782" t="str">
        <f>VLOOKUP(WWWW[[#This Row],[Village  Name]],SiteDB6[[Site Name]:[Location Type 1]],9,FALSE)</f>
        <v>Village</v>
      </c>
      <c r="BV353" s="782" t="str">
        <f>VLOOKUP(WWWW[[#This Row],[Village  Name]],SiteDB6[[Site Name]:[Type of Accommodation]],10,FALSE)</f>
        <v>Village</v>
      </c>
      <c r="BW353" s="782">
        <f>VLOOKUP(WWWW[[#This Row],[Village  Name]],SiteDB6[[Site Name]:[Ethnic or GCA/NGCA]],11,FALSE)</f>
        <v>0</v>
      </c>
      <c r="BX353" s="782">
        <f>VLOOKUP(WWWW[[#This Row],[Village  Name]],SiteDB6[[Site Name]:[Lat]],12,FALSE)</f>
        <v>20.210090637206999</v>
      </c>
      <c r="BY353" s="782">
        <f>VLOOKUP(WWWW[[#This Row],[Village  Name]],SiteDB6[[Site Name]:[Long]],13,FALSE)</f>
        <v>92.879753112792997</v>
      </c>
      <c r="BZ353" s="782">
        <f>VLOOKUP(WWWW[[#This Row],[Village  Name]],SiteDB6[[Site Name]:[Pcode]],3,FALSE)</f>
        <v>196146</v>
      </c>
      <c r="CA353" s="782" t="str">
        <f t="shared" si="22"/>
        <v>Covered</v>
      </c>
      <c r="CB353" s="783"/>
    </row>
    <row r="354" spans="1:80">
      <c r="A354" s="727" t="s">
        <v>3199</v>
      </c>
      <c r="B354" s="727" t="s">
        <v>3152</v>
      </c>
      <c r="C354" s="728" t="s">
        <v>3152</v>
      </c>
      <c r="D354" s="728" t="s">
        <v>3297</v>
      </c>
      <c r="E354" s="728" t="s">
        <v>2648</v>
      </c>
      <c r="F354" s="728" t="s">
        <v>295</v>
      </c>
      <c r="G354" s="644" t="str">
        <f>VLOOKUP(WWWW[[#This Row],[Village  Name]],SiteDB6[[Site Name]:[Location Type]],8,FALSE)</f>
        <v>Village</v>
      </c>
      <c r="H354" s="728" t="s">
        <v>3298</v>
      </c>
      <c r="I354" s="775">
        <v>91</v>
      </c>
      <c r="J354" s="775">
        <v>358</v>
      </c>
      <c r="K354" s="784">
        <v>43952</v>
      </c>
      <c r="L354" s="785">
        <v>44073</v>
      </c>
      <c r="M354" s="775"/>
      <c r="N354" s="775"/>
      <c r="O354" s="773"/>
      <c r="P354" s="775"/>
      <c r="Q354" s="775"/>
      <c r="R354" s="775"/>
      <c r="S354" s="775"/>
      <c r="T354" s="775"/>
      <c r="U354" s="776"/>
      <c r="V354" s="775"/>
      <c r="W354" s="773" t="s">
        <v>130</v>
      </c>
      <c r="X354" s="775"/>
      <c r="Y354" s="775">
        <v>0</v>
      </c>
      <c r="Z354" s="775">
        <v>0</v>
      </c>
      <c r="AA354" s="775"/>
      <c r="AB354" s="775"/>
      <c r="AC354" s="776"/>
      <c r="AD354" s="775">
        <v>93</v>
      </c>
      <c r="AE354" s="775">
        <v>98</v>
      </c>
      <c r="AF354" s="775">
        <v>101</v>
      </c>
      <c r="AG354" s="775">
        <v>66</v>
      </c>
      <c r="AH354" s="775">
        <v>101</v>
      </c>
      <c r="AI354" s="775">
        <v>66</v>
      </c>
      <c r="AJ354" s="773"/>
      <c r="AK354" s="775"/>
      <c r="AL354" s="773">
        <v>91</v>
      </c>
      <c r="AM354" s="773"/>
      <c r="AN354" s="776"/>
      <c r="AO354" s="769"/>
      <c r="AP354" s="769"/>
      <c r="AQ354" s="773"/>
      <c r="AR354" s="773"/>
      <c r="AS354" s="773"/>
      <c r="AT35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4" s="779">
        <f>WWWW[[#This Row],[%Equitable and continuous access to sufficient quantity of safe drinking water]]*WWWW[[#This Row],[Total PoP ]]</f>
        <v>0</v>
      </c>
      <c r="AV35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54" s="779">
        <f>WWWW[[#This Row],[% Access to unimproved water points]]*WWWW[[#This Row],[Total PoP ]]</f>
        <v>0</v>
      </c>
      <c r="AX35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5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54" s="779">
        <f>WWWW[[#This Row],[HRP1]]/250</f>
        <v>0</v>
      </c>
      <c r="BA354" s="780">
        <f>1-WWWW[[#This Row],[% Equitable and continuous access to sufficient quantity of domestic water]]</f>
        <v>1</v>
      </c>
      <c r="BB354" s="779">
        <f>WWWW[[#This Row],[%equitable and continuous access to sufficient quantity of safe drinking and domestic water''s GAP]]*WWWW[[#This Row],[Total PoP ]]</f>
        <v>358</v>
      </c>
      <c r="BC354" s="781">
        <f>IF(WWWW[[#This Row],[Total required water points]]-WWWW[[#This Row],['#Water points coverage]]&lt;0,0,WWWW[[#This Row],[Total required water points]]-WWWW[[#This Row],['#Water points coverage]])</f>
        <v>1</v>
      </c>
      <c r="BD354" s="781">
        <f>ROUND(IF(WWWW[[#This Row],[Total PoP ]]&lt;250,1,WWWW[[#This Row],[Total PoP ]]/250),0)</f>
        <v>1</v>
      </c>
      <c r="BE35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54" s="779">
        <f>WWWW[[#This Row],[% people access to functioning Latrine]]*WWWW[[#This Row],[Total PoP ]]</f>
        <v>0</v>
      </c>
      <c r="BG354" s="781">
        <f>WWWW[[#This Row],['#_of_Functioning_latrines_in_school]]*50</f>
        <v>0</v>
      </c>
      <c r="BH354" s="781">
        <f>ROUND((WWWW[[#This Row],[Total PoP ]]/6),0)</f>
        <v>60</v>
      </c>
      <c r="BI354" s="781">
        <f>IF(WWWW[[#This Row],[Total required Latrines]]-(WWWW[[#This Row],['#_of_sanitary_fly-proof_HH_latrines]])&lt;0,0,WWWW[[#This Row],[Total required Latrines]]-(WWWW[[#This Row],['#_of_sanitary_fly-proof_HH_latrines]]))</f>
        <v>60</v>
      </c>
      <c r="BJ354" s="778">
        <f>1-WWWW[[#This Row],[% people access to functioning Latrine]]</f>
        <v>1</v>
      </c>
      <c r="BK35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358</v>
      </c>
      <c r="BL354" s="772">
        <f>IF(WWWW[[#This Row],['#_of_functional_handwashing_facilities_at_HH_level]]*6&gt;WWWW[[#This Row],[Total PoP ]],WWWW[[#This Row],[Total PoP ]],WWWW[[#This Row],['#_of_functional_handwashing_facilities_at_HH_level]]*6)</f>
        <v>0</v>
      </c>
      <c r="BM354" s="781">
        <f>IF(WWWW[[#This Row],['# people reached by regular dedicated hygiene promotion]]&gt;WWWW[[#This Row],['# People received regular supply of hygiene items]],WWWW[[#This Row],['# people reached by regular dedicated hygiene promotion]],WWWW[[#This Row],['# People received regular supply of hygiene items]])</f>
        <v>358</v>
      </c>
      <c r="BN354" s="780">
        <f>IF(WWWW[[#This Row],[HRP3]]/WWWW[[#This Row],[Total PoP ]]&gt;100%,100%,WWWW[[#This Row],[HRP3]]/WWWW[[#This Row],[Total PoP ]])</f>
        <v>1</v>
      </c>
      <c r="BO354" s="778">
        <f>1-WWWW[[#This Row],[Hygiene Coverage%]]</f>
        <v>0</v>
      </c>
      <c r="BP354" s="777">
        <f>WWWW[[#This Row],['# people reached by regular dedicated hygiene promotion]]/WWWW[[#This Row],[Total PoP ]]</f>
        <v>1</v>
      </c>
      <c r="BQ35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358</v>
      </c>
      <c r="BR354" s="770">
        <f>WWWW[[#This Row],['#_of_affected_women_and_girls_receiving_a_sufficient_quantity_of_sanitary_pads]]</f>
        <v>0</v>
      </c>
      <c r="BS354" s="773">
        <f>IF(WWWW[[#This Row],['# People with access to soap]]&gt;WWWW[[#This Row],['# People with access to Sanity Pads]],WWWW[[#This Row],['# People with access to soap]],WWWW[[#This Row],['# People with access to Sanity Pads]])</f>
        <v>358</v>
      </c>
      <c r="BT354" s="772" t="str">
        <f>IF(OR(WWWW[[#This Row],['#of students in school]]="",WWWW[[#This Row],['#of students in school]]=0),"No","Yes")</f>
        <v>No</v>
      </c>
      <c r="BU354" s="782" t="str">
        <f>VLOOKUP(WWWW[[#This Row],[Village  Name]],SiteDB6[[Site Name]:[Location Type 1]],9,FALSE)</f>
        <v>Village</v>
      </c>
      <c r="BV354" s="782" t="str">
        <f>VLOOKUP(WWWW[[#This Row],[Village  Name]],SiteDB6[[Site Name]:[Type of Accommodation]],10,FALSE)</f>
        <v>Village</v>
      </c>
      <c r="BW354" s="782">
        <f>VLOOKUP(WWWW[[#This Row],[Village  Name]],SiteDB6[[Site Name]:[Ethnic or GCA/NGCA]],11,FALSE)</f>
        <v>0</v>
      </c>
      <c r="BX354" s="782">
        <f>VLOOKUP(WWWW[[#This Row],[Village  Name]],SiteDB6[[Site Name]:[Lat]],12,FALSE)</f>
        <v>20.172649383544901</v>
      </c>
      <c r="BY354" s="782">
        <f>VLOOKUP(WWWW[[#This Row],[Village  Name]],SiteDB6[[Site Name]:[Long]],13,FALSE)</f>
        <v>92.874351501464801</v>
      </c>
      <c r="BZ354" s="782">
        <f>VLOOKUP(WWWW[[#This Row],[Village  Name]],SiteDB6[[Site Name]:[Pcode]],3,FALSE)</f>
        <v>196195</v>
      </c>
      <c r="CA354" s="782" t="str">
        <f t="shared" si="22"/>
        <v>Covered</v>
      </c>
      <c r="CB354" s="783"/>
    </row>
    <row r="355" spans="1:80">
      <c r="A355" s="727" t="s">
        <v>3199</v>
      </c>
      <c r="B355" s="727" t="s">
        <v>3152</v>
      </c>
      <c r="C355" s="728" t="s">
        <v>3152</v>
      </c>
      <c r="D355" s="728" t="s">
        <v>3297</v>
      </c>
      <c r="E355" s="728" t="s">
        <v>2648</v>
      </c>
      <c r="F355" s="728" t="s">
        <v>295</v>
      </c>
      <c r="G355" s="644" t="str">
        <f>VLOOKUP(WWWW[[#This Row],[Village  Name]],SiteDB6[[Site Name]:[Location Type]],8,FALSE)</f>
        <v>Village</v>
      </c>
      <c r="H355" s="728" t="s">
        <v>3299</v>
      </c>
      <c r="I355" s="775">
        <v>100</v>
      </c>
      <c r="J355" s="775">
        <v>514</v>
      </c>
      <c r="K355" s="784">
        <v>43952</v>
      </c>
      <c r="L355" s="785">
        <v>44073</v>
      </c>
      <c r="M355" s="775"/>
      <c r="N355" s="775"/>
      <c r="O355" s="773"/>
      <c r="P355" s="775"/>
      <c r="Q355" s="775"/>
      <c r="R355" s="775"/>
      <c r="S355" s="775"/>
      <c r="T355" s="775"/>
      <c r="U355" s="776"/>
      <c r="V355" s="775"/>
      <c r="W355" s="773" t="s">
        <v>130</v>
      </c>
      <c r="X355" s="775"/>
      <c r="Y355" s="775">
        <v>1</v>
      </c>
      <c r="Z355" s="775">
        <v>1</v>
      </c>
      <c r="AA355" s="775"/>
      <c r="AB355" s="775"/>
      <c r="AC355" s="776"/>
      <c r="AD355" s="775">
        <v>168</v>
      </c>
      <c r="AE355" s="775">
        <v>112</v>
      </c>
      <c r="AF355" s="775">
        <v>161</v>
      </c>
      <c r="AG355" s="775">
        <v>133</v>
      </c>
      <c r="AH355" s="775">
        <v>161</v>
      </c>
      <c r="AI355" s="775">
        <v>133</v>
      </c>
      <c r="AJ355" s="773"/>
      <c r="AK355" s="775"/>
      <c r="AL355" s="773">
        <v>100</v>
      </c>
      <c r="AM355" s="773"/>
      <c r="AN355" s="776"/>
      <c r="AO355" s="769"/>
      <c r="AP355" s="769"/>
      <c r="AQ355" s="773"/>
      <c r="AR355" s="773"/>
      <c r="AS355" s="773"/>
      <c r="AT35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5" s="779">
        <f>WWWW[[#This Row],[%Equitable and continuous access to sufficient quantity of safe drinking water]]*WWWW[[#This Row],[Total PoP ]]</f>
        <v>0</v>
      </c>
      <c r="AV35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55" s="779">
        <f>WWWW[[#This Row],[% Access to unimproved water points]]*WWWW[[#This Row],[Total PoP ]]</f>
        <v>0</v>
      </c>
      <c r="AX35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5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55" s="779">
        <f>WWWW[[#This Row],[HRP1]]/250</f>
        <v>0</v>
      </c>
      <c r="BA355" s="780">
        <f>1-WWWW[[#This Row],[% Equitable and continuous access to sufficient quantity of domestic water]]</f>
        <v>1</v>
      </c>
      <c r="BB355" s="779">
        <f>WWWW[[#This Row],[%equitable and continuous access to sufficient quantity of safe drinking and domestic water''s GAP]]*WWWW[[#This Row],[Total PoP ]]</f>
        <v>514</v>
      </c>
      <c r="BC355" s="781">
        <f>IF(WWWW[[#This Row],[Total required water points]]-WWWW[[#This Row],['#Water points coverage]]&lt;0,0,WWWW[[#This Row],[Total required water points]]-WWWW[[#This Row],['#Water points coverage]])</f>
        <v>2</v>
      </c>
      <c r="BD355" s="781">
        <f>ROUND(IF(WWWW[[#This Row],[Total PoP ]]&lt;250,1,WWWW[[#This Row],[Total PoP ]]/250),0)</f>
        <v>2</v>
      </c>
      <c r="BE35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1.9455252918287938E-3</v>
      </c>
      <c r="BF355" s="779">
        <f>WWWW[[#This Row],[% people access to functioning Latrine]]*WWWW[[#This Row],[Total PoP ]]</f>
        <v>1</v>
      </c>
      <c r="BG355" s="781">
        <f>WWWW[[#This Row],['#_of_Functioning_latrines_in_school]]*50</f>
        <v>0</v>
      </c>
      <c r="BH355" s="781">
        <f>ROUND((WWWW[[#This Row],[Total PoP ]]/6),0)</f>
        <v>86</v>
      </c>
      <c r="BI355" s="781">
        <f>IF(WWWW[[#This Row],[Total required Latrines]]-(WWWW[[#This Row],['#_of_sanitary_fly-proof_HH_latrines]])&lt;0,0,WWWW[[#This Row],[Total required Latrines]]-(WWWW[[#This Row],['#_of_sanitary_fly-proof_HH_latrines]]))</f>
        <v>86</v>
      </c>
      <c r="BJ355" s="778">
        <f>1-WWWW[[#This Row],[% people access to functioning Latrine]]</f>
        <v>0.99805447470817121</v>
      </c>
      <c r="BK35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514</v>
      </c>
      <c r="BL355" s="772">
        <f>IF(WWWW[[#This Row],['#_of_functional_handwashing_facilities_at_HH_level]]*6&gt;WWWW[[#This Row],[Total PoP ]],WWWW[[#This Row],[Total PoP ]],WWWW[[#This Row],['#_of_functional_handwashing_facilities_at_HH_level]]*6)</f>
        <v>0</v>
      </c>
      <c r="BM355" s="781">
        <f>IF(WWWW[[#This Row],['# people reached by regular dedicated hygiene promotion]]&gt;WWWW[[#This Row],['# People received regular supply of hygiene items]],WWWW[[#This Row],['# people reached by regular dedicated hygiene promotion]],WWWW[[#This Row],['# People received regular supply of hygiene items]])</f>
        <v>514</v>
      </c>
      <c r="BN355" s="780">
        <f>IF(WWWW[[#This Row],[HRP3]]/WWWW[[#This Row],[Total PoP ]]&gt;100%,100%,WWWW[[#This Row],[HRP3]]/WWWW[[#This Row],[Total PoP ]])</f>
        <v>1</v>
      </c>
      <c r="BO355" s="778">
        <f>1-WWWW[[#This Row],[Hygiene Coverage%]]</f>
        <v>0</v>
      </c>
      <c r="BP355" s="777">
        <f>WWWW[[#This Row],['# people reached by regular dedicated hygiene promotion]]/WWWW[[#This Row],[Total PoP ]]</f>
        <v>1</v>
      </c>
      <c r="BQ35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514</v>
      </c>
      <c r="BR355" s="770">
        <f>WWWW[[#This Row],['#_of_affected_women_and_girls_receiving_a_sufficient_quantity_of_sanitary_pads]]</f>
        <v>0</v>
      </c>
      <c r="BS355" s="773">
        <f>IF(WWWW[[#This Row],['# People with access to soap]]&gt;WWWW[[#This Row],['# People with access to Sanity Pads]],WWWW[[#This Row],['# People with access to soap]],WWWW[[#This Row],['# People with access to Sanity Pads]])</f>
        <v>514</v>
      </c>
      <c r="BT355" s="772" t="str">
        <f>IF(OR(WWWW[[#This Row],['#of students in school]]="",WWWW[[#This Row],['#of students in school]]=0),"No","Yes")</f>
        <v>No</v>
      </c>
      <c r="BU355" s="782" t="str">
        <f>VLOOKUP(WWWW[[#This Row],[Village  Name]],SiteDB6[[Site Name]:[Location Type 1]],9,FALSE)</f>
        <v>Village</v>
      </c>
      <c r="BV355" s="782" t="str">
        <f>VLOOKUP(WWWW[[#This Row],[Village  Name]],SiteDB6[[Site Name]:[Type of Accommodation]],10,FALSE)</f>
        <v>Village</v>
      </c>
      <c r="BW355" s="782">
        <f>VLOOKUP(WWWW[[#This Row],[Village  Name]],SiteDB6[[Site Name]:[Ethnic or GCA/NGCA]],11,FALSE)</f>
        <v>0</v>
      </c>
      <c r="BX355" s="782">
        <f>VLOOKUP(WWWW[[#This Row],[Village  Name]],SiteDB6[[Site Name]:[Lat]],12,FALSE)</f>
        <v>20.172649383544901</v>
      </c>
      <c r="BY355" s="782">
        <f>VLOOKUP(WWWW[[#This Row],[Village  Name]],SiteDB6[[Site Name]:[Long]],13,FALSE)</f>
        <v>92.874351501464801</v>
      </c>
      <c r="BZ355" s="782">
        <f>VLOOKUP(WWWW[[#This Row],[Village  Name]],SiteDB6[[Site Name]:[Pcode]],3,FALSE)</f>
        <v>196195</v>
      </c>
      <c r="CA355" s="782" t="str">
        <f t="shared" si="22"/>
        <v>Covered</v>
      </c>
      <c r="CB355" s="783"/>
    </row>
    <row r="356" spans="1:80">
      <c r="A356" s="727" t="s">
        <v>3199</v>
      </c>
      <c r="B356" s="727" t="s">
        <v>3152</v>
      </c>
      <c r="C356" s="728" t="s">
        <v>3152</v>
      </c>
      <c r="D356" s="728" t="s">
        <v>3153</v>
      </c>
      <c r="E356" s="728" t="s">
        <v>2648</v>
      </c>
      <c r="F356" s="728" t="s">
        <v>295</v>
      </c>
      <c r="G356" s="644" t="str">
        <f>VLOOKUP(WWWW[[#This Row],[Village  Name]],SiteDB6[[Site Name]:[Location Type]],8,FALSE)</f>
        <v>Village</v>
      </c>
      <c r="H356" s="728" t="s">
        <v>450</v>
      </c>
      <c r="I356" s="775">
        <v>169</v>
      </c>
      <c r="J356" s="775">
        <v>829</v>
      </c>
      <c r="K356" s="784">
        <v>43922</v>
      </c>
      <c r="L356" s="785">
        <v>44073</v>
      </c>
      <c r="M356" s="775"/>
      <c r="N356" s="775"/>
      <c r="O356" s="773"/>
      <c r="P356" s="775"/>
      <c r="Q356" s="775"/>
      <c r="R356" s="775"/>
      <c r="S356" s="775"/>
      <c r="T356" s="775"/>
      <c r="U356" s="776"/>
      <c r="V356" s="775"/>
      <c r="W356" s="773" t="s">
        <v>130</v>
      </c>
      <c r="X356" s="775"/>
      <c r="Y356" s="775">
        <v>3</v>
      </c>
      <c r="Z356" s="775">
        <v>3</v>
      </c>
      <c r="AA356" s="775"/>
      <c r="AB356" s="775"/>
      <c r="AC356" s="776"/>
      <c r="AD356" s="775">
        <v>296</v>
      </c>
      <c r="AE356" s="775">
        <v>314</v>
      </c>
      <c r="AF356" s="775">
        <v>106</v>
      </c>
      <c r="AG356" s="775">
        <v>118</v>
      </c>
      <c r="AH356" s="775">
        <v>106</v>
      </c>
      <c r="AI356" s="775">
        <v>118</v>
      </c>
      <c r="AJ356" s="773"/>
      <c r="AK356" s="775"/>
      <c r="AL356" s="773">
        <v>169</v>
      </c>
      <c r="AM356" s="773"/>
      <c r="AN356" s="776"/>
      <c r="AO356" s="769">
        <v>0.5</v>
      </c>
      <c r="AP356" s="769">
        <v>2.41E-2</v>
      </c>
      <c r="AQ356" s="773"/>
      <c r="AR356" s="773"/>
      <c r="AS356" s="773"/>
      <c r="AT35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6" s="779">
        <f>WWWW[[#This Row],[%Equitable and continuous access to sufficient quantity of safe drinking water]]*WWWW[[#This Row],[Total PoP ]]</f>
        <v>0</v>
      </c>
      <c r="AV35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56" s="779">
        <f>WWWW[[#This Row],[% Access to unimproved water points]]*WWWW[[#This Row],[Total PoP ]]</f>
        <v>0</v>
      </c>
      <c r="AX35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5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56" s="779">
        <f>WWWW[[#This Row],[HRP1]]/250</f>
        <v>0</v>
      </c>
      <c r="BA356" s="780">
        <f>1-WWWW[[#This Row],[% Equitable and continuous access to sufficient quantity of domestic water]]</f>
        <v>1</v>
      </c>
      <c r="BB356" s="779">
        <f>WWWW[[#This Row],[%equitable and continuous access to sufficient quantity of safe drinking and domestic water''s GAP]]*WWWW[[#This Row],[Total PoP ]]</f>
        <v>829</v>
      </c>
      <c r="BC356" s="781">
        <f>IF(WWWW[[#This Row],[Total required water points]]-WWWW[[#This Row],['#Water points coverage]]&lt;0,0,WWWW[[#This Row],[Total required water points]]-WWWW[[#This Row],['#Water points coverage]])</f>
        <v>3</v>
      </c>
      <c r="BD356" s="781">
        <f>ROUND(IF(WWWW[[#This Row],[Total PoP ]]&lt;250,1,WWWW[[#This Row],[Total PoP ]]/250),0)</f>
        <v>3</v>
      </c>
      <c r="BE35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3.6188178528347406E-3</v>
      </c>
      <c r="BF356" s="779">
        <f>WWWW[[#This Row],[% people access to functioning Latrine]]*WWWW[[#This Row],[Total PoP ]]</f>
        <v>3</v>
      </c>
      <c r="BG356" s="781">
        <f>WWWW[[#This Row],['#_of_Functioning_latrines_in_school]]*50</f>
        <v>0</v>
      </c>
      <c r="BH356" s="781">
        <f>ROUND((WWWW[[#This Row],[Total PoP ]]/6),0)</f>
        <v>138</v>
      </c>
      <c r="BI356" s="781">
        <f>IF(WWWW[[#This Row],[Total required Latrines]]-(WWWW[[#This Row],['#_of_sanitary_fly-proof_HH_latrines]])&lt;0,0,WWWW[[#This Row],[Total required Latrines]]-(WWWW[[#This Row],['#_of_sanitary_fly-proof_HH_latrines]]))</f>
        <v>138</v>
      </c>
      <c r="BJ356" s="778">
        <f>1-WWWW[[#This Row],[% people access to functioning Latrine]]</f>
        <v>0.99638118214716531</v>
      </c>
      <c r="BK35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829</v>
      </c>
      <c r="BL356" s="772">
        <f>IF(WWWW[[#This Row],['#_of_functional_handwashing_facilities_at_HH_level]]*6&gt;WWWW[[#This Row],[Total PoP ]],WWWW[[#This Row],[Total PoP ]],WWWW[[#This Row],['#_of_functional_handwashing_facilities_at_HH_level]]*6)</f>
        <v>0</v>
      </c>
      <c r="BM356" s="781">
        <f>IF(WWWW[[#This Row],['# people reached by regular dedicated hygiene promotion]]&gt;WWWW[[#This Row],['# People received regular supply of hygiene items]],WWWW[[#This Row],['# people reached by regular dedicated hygiene promotion]],WWWW[[#This Row],['# People received regular supply of hygiene items]])</f>
        <v>829</v>
      </c>
      <c r="BN356" s="780">
        <f>IF(WWWW[[#This Row],[HRP3]]/WWWW[[#This Row],[Total PoP ]]&gt;100%,100%,WWWW[[#This Row],[HRP3]]/WWWW[[#This Row],[Total PoP ]])</f>
        <v>1</v>
      </c>
      <c r="BO356" s="778">
        <f>1-WWWW[[#This Row],[Hygiene Coverage%]]</f>
        <v>0</v>
      </c>
      <c r="BP356" s="777">
        <f>WWWW[[#This Row],['# people reached by regular dedicated hygiene promotion]]/WWWW[[#This Row],[Total PoP ]]</f>
        <v>1</v>
      </c>
      <c r="BQ35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829</v>
      </c>
      <c r="BR356" s="770">
        <f>WWWW[[#This Row],['#_of_affected_women_and_girls_receiving_a_sufficient_quantity_of_sanitary_pads]]</f>
        <v>0</v>
      </c>
      <c r="BS356" s="773">
        <f>IF(WWWW[[#This Row],['# People with access to soap]]&gt;WWWW[[#This Row],['# People with access to Sanity Pads]],WWWW[[#This Row],['# People with access to soap]],WWWW[[#This Row],['# People with access to Sanity Pads]])</f>
        <v>829</v>
      </c>
      <c r="BT356" s="772" t="str">
        <f>IF(OR(WWWW[[#This Row],['#of students in school]]="",WWWW[[#This Row],['#of students in school]]=0),"No","Yes")</f>
        <v>No</v>
      </c>
      <c r="BU356" s="782" t="str">
        <f>VLOOKUP(WWWW[[#This Row],[Village  Name]],SiteDB6[[Site Name]:[Location Type 1]],9,FALSE)</f>
        <v>Village</v>
      </c>
      <c r="BV356" s="782" t="str">
        <f>VLOOKUP(WWWW[[#This Row],[Village  Name]],SiteDB6[[Site Name]:[Type of Accommodation]],10,FALSE)</f>
        <v>Village</v>
      </c>
      <c r="BW356" s="782" t="str">
        <f>VLOOKUP(WWWW[[#This Row],[Village  Name]],SiteDB6[[Site Name]:[Ethnic or GCA/NGCA]],11,FALSE)</f>
        <v>Rakhine</v>
      </c>
      <c r="BX356" s="782">
        <f>VLOOKUP(WWWW[[#This Row],[Village  Name]],SiteDB6[[Site Name]:[Lat]],12,FALSE)</f>
        <v>20.245159149999999</v>
      </c>
      <c r="BY356" s="782">
        <f>VLOOKUP(WWWW[[#This Row],[Village  Name]],SiteDB6[[Site Name]:[Long]],13,FALSE)</f>
        <v>92.807418819999995</v>
      </c>
      <c r="BZ356" s="782">
        <f>VLOOKUP(WWWW[[#This Row],[Village  Name]],SiteDB6[[Site Name]:[Pcode]],3,FALSE)</f>
        <v>196137</v>
      </c>
      <c r="CA356" s="782" t="str">
        <f t="shared" si="22"/>
        <v>Covered</v>
      </c>
      <c r="CB356" s="783"/>
    </row>
    <row r="357" spans="1:80">
      <c r="A357" s="727" t="s">
        <v>3199</v>
      </c>
      <c r="B357" s="727" t="s">
        <v>3152</v>
      </c>
      <c r="C357" s="728" t="s">
        <v>3152</v>
      </c>
      <c r="D357" s="728" t="s">
        <v>3297</v>
      </c>
      <c r="E357" s="728" t="s">
        <v>2648</v>
      </c>
      <c r="F357" s="728" t="s">
        <v>295</v>
      </c>
      <c r="G357" s="644" t="str">
        <f>VLOOKUP(WWWW[[#This Row],[Village  Name]],SiteDB6[[Site Name]:[Location Type]],8,FALSE)</f>
        <v>Village</v>
      </c>
      <c r="H357" s="728" t="s">
        <v>3300</v>
      </c>
      <c r="I357" s="775">
        <v>145</v>
      </c>
      <c r="J357" s="775">
        <v>688</v>
      </c>
      <c r="K357" s="784">
        <v>43952</v>
      </c>
      <c r="L357" s="785">
        <v>44073</v>
      </c>
      <c r="M357" s="775"/>
      <c r="N357" s="775"/>
      <c r="O357" s="773"/>
      <c r="P357" s="775"/>
      <c r="Q357" s="775"/>
      <c r="R357" s="775"/>
      <c r="S357" s="775"/>
      <c r="T357" s="775"/>
      <c r="U357" s="776"/>
      <c r="V357" s="775"/>
      <c r="W357" s="773" t="s">
        <v>130</v>
      </c>
      <c r="X357" s="775"/>
      <c r="Y357" s="775">
        <v>6</v>
      </c>
      <c r="Z357" s="775">
        <v>6</v>
      </c>
      <c r="AA357" s="775"/>
      <c r="AB357" s="775"/>
      <c r="AC357" s="776"/>
      <c r="AD357" s="775">
        <v>269</v>
      </c>
      <c r="AE357" s="775">
        <v>312</v>
      </c>
      <c r="AF357" s="775">
        <v>196</v>
      </c>
      <c r="AG357" s="775">
        <v>196</v>
      </c>
      <c r="AH357" s="775">
        <v>196</v>
      </c>
      <c r="AI357" s="775">
        <v>196</v>
      </c>
      <c r="AJ357" s="773"/>
      <c r="AK357" s="775"/>
      <c r="AL357" s="773">
        <v>145</v>
      </c>
      <c r="AM357" s="773"/>
      <c r="AN357" s="776"/>
      <c r="AO357" s="769"/>
      <c r="AP357" s="769"/>
      <c r="AQ357" s="773"/>
      <c r="AR357" s="773"/>
      <c r="AS357" s="773"/>
      <c r="AT35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7" s="779">
        <f>WWWW[[#This Row],[%Equitable and continuous access to sufficient quantity of safe drinking water]]*WWWW[[#This Row],[Total PoP ]]</f>
        <v>0</v>
      </c>
      <c r="AV35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57" s="779">
        <f>WWWW[[#This Row],[% Access to unimproved water points]]*WWWW[[#This Row],[Total PoP ]]</f>
        <v>0</v>
      </c>
      <c r="AX35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5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57" s="779">
        <f>WWWW[[#This Row],[HRP1]]/250</f>
        <v>0</v>
      </c>
      <c r="BA357" s="780">
        <f>1-WWWW[[#This Row],[% Equitable and continuous access to sufficient quantity of domestic water]]</f>
        <v>1</v>
      </c>
      <c r="BB357" s="779">
        <f>WWWW[[#This Row],[%equitable and continuous access to sufficient quantity of safe drinking and domestic water''s GAP]]*WWWW[[#This Row],[Total PoP ]]</f>
        <v>688</v>
      </c>
      <c r="BC357" s="781">
        <f>IF(WWWW[[#This Row],[Total required water points]]-WWWW[[#This Row],['#Water points coverage]]&lt;0,0,WWWW[[#This Row],[Total required water points]]-WWWW[[#This Row],['#Water points coverage]])</f>
        <v>3</v>
      </c>
      <c r="BD357" s="781">
        <f>ROUND(IF(WWWW[[#This Row],[Total PoP ]]&lt;250,1,WWWW[[#This Row],[Total PoP ]]/250),0)</f>
        <v>3</v>
      </c>
      <c r="BE35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8.7209302325581394E-3</v>
      </c>
      <c r="BF357" s="779">
        <f>WWWW[[#This Row],[% people access to functioning Latrine]]*WWWW[[#This Row],[Total PoP ]]</f>
        <v>6</v>
      </c>
      <c r="BG357" s="781">
        <f>WWWW[[#This Row],['#_of_Functioning_latrines_in_school]]*50</f>
        <v>0</v>
      </c>
      <c r="BH357" s="781">
        <f>ROUND((WWWW[[#This Row],[Total PoP ]]/6),0)</f>
        <v>115</v>
      </c>
      <c r="BI357" s="781">
        <f>IF(WWWW[[#This Row],[Total required Latrines]]-(WWWW[[#This Row],['#_of_sanitary_fly-proof_HH_latrines]])&lt;0,0,WWWW[[#This Row],[Total required Latrines]]-(WWWW[[#This Row],['#_of_sanitary_fly-proof_HH_latrines]]))</f>
        <v>115</v>
      </c>
      <c r="BJ357" s="778">
        <f>1-WWWW[[#This Row],[% people access to functioning Latrine]]</f>
        <v>0.99127906976744184</v>
      </c>
      <c r="BK35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688</v>
      </c>
      <c r="BL357" s="772">
        <f>IF(WWWW[[#This Row],['#_of_functional_handwashing_facilities_at_HH_level]]*6&gt;WWWW[[#This Row],[Total PoP ]],WWWW[[#This Row],[Total PoP ]],WWWW[[#This Row],['#_of_functional_handwashing_facilities_at_HH_level]]*6)</f>
        <v>0</v>
      </c>
      <c r="BM357" s="781">
        <f>IF(WWWW[[#This Row],['# people reached by regular dedicated hygiene promotion]]&gt;WWWW[[#This Row],['# People received regular supply of hygiene items]],WWWW[[#This Row],['# people reached by regular dedicated hygiene promotion]],WWWW[[#This Row],['# People received regular supply of hygiene items]])</f>
        <v>688</v>
      </c>
      <c r="BN357" s="780">
        <f>IF(WWWW[[#This Row],[HRP3]]/WWWW[[#This Row],[Total PoP ]]&gt;100%,100%,WWWW[[#This Row],[HRP3]]/WWWW[[#This Row],[Total PoP ]])</f>
        <v>1</v>
      </c>
      <c r="BO357" s="778">
        <f>1-WWWW[[#This Row],[Hygiene Coverage%]]</f>
        <v>0</v>
      </c>
      <c r="BP357" s="777">
        <f>WWWW[[#This Row],['# people reached by regular dedicated hygiene promotion]]/WWWW[[#This Row],[Total PoP ]]</f>
        <v>1</v>
      </c>
      <c r="BQ35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688</v>
      </c>
      <c r="BR357" s="770">
        <f>WWWW[[#This Row],['#_of_affected_women_and_girls_receiving_a_sufficient_quantity_of_sanitary_pads]]</f>
        <v>0</v>
      </c>
      <c r="BS357" s="773">
        <f>IF(WWWW[[#This Row],['# People with access to soap]]&gt;WWWW[[#This Row],['# People with access to Sanity Pads]],WWWW[[#This Row],['# People with access to soap]],WWWW[[#This Row],['# People with access to Sanity Pads]])</f>
        <v>688</v>
      </c>
      <c r="BT357" s="772" t="str">
        <f>IF(OR(WWWW[[#This Row],['#of students in school]]="",WWWW[[#This Row],['#of students in school]]=0),"No","Yes")</f>
        <v>No</v>
      </c>
      <c r="BU357" s="782" t="str">
        <f>VLOOKUP(WWWW[[#This Row],[Village  Name]],SiteDB6[[Site Name]:[Location Type 1]],9,FALSE)</f>
        <v>Village</v>
      </c>
      <c r="BV357" s="782" t="str">
        <f>VLOOKUP(WWWW[[#This Row],[Village  Name]],SiteDB6[[Site Name]:[Type of Accommodation]],10,FALSE)</f>
        <v>Village</v>
      </c>
      <c r="BW357" s="782">
        <f>VLOOKUP(WWWW[[#This Row],[Village  Name]],SiteDB6[[Site Name]:[Ethnic or GCA/NGCA]],11,FALSE)</f>
        <v>0</v>
      </c>
      <c r="BX357" s="782">
        <f>VLOOKUP(WWWW[[#This Row],[Village  Name]],SiteDB6[[Site Name]:[Lat]],12,FALSE)</f>
        <v>0</v>
      </c>
      <c r="BY357" s="782">
        <f>VLOOKUP(WWWW[[#This Row],[Village  Name]],SiteDB6[[Site Name]:[Long]],13,FALSE)</f>
        <v>0</v>
      </c>
      <c r="BZ357" s="782">
        <f>VLOOKUP(WWWW[[#This Row],[Village  Name]],SiteDB6[[Site Name]:[Pcode]],3,FALSE)</f>
        <v>0</v>
      </c>
      <c r="CA357" s="782" t="str">
        <f t="shared" si="22"/>
        <v>Covered</v>
      </c>
      <c r="CB357" s="783"/>
    </row>
    <row r="358" spans="1:80">
      <c r="A358" s="727" t="s">
        <v>3199</v>
      </c>
      <c r="B358" s="727" t="s">
        <v>3152</v>
      </c>
      <c r="C358" s="728" t="s">
        <v>3152</v>
      </c>
      <c r="D358" s="728" t="s">
        <v>3153</v>
      </c>
      <c r="E358" s="728" t="s">
        <v>2648</v>
      </c>
      <c r="F358" s="728" t="s">
        <v>295</v>
      </c>
      <c r="G358" s="644" t="str">
        <f>VLOOKUP(WWWW[[#This Row],[Village  Name]],SiteDB6[[Site Name]:[Location Type]],8,FALSE)</f>
        <v>Village</v>
      </c>
      <c r="H358" s="728" t="s">
        <v>2949</v>
      </c>
      <c r="I358" s="775">
        <v>241</v>
      </c>
      <c r="J358" s="775">
        <v>1162</v>
      </c>
      <c r="K358" s="784">
        <v>43922</v>
      </c>
      <c r="L358" s="785">
        <v>44073</v>
      </c>
      <c r="M358" s="775"/>
      <c r="N358" s="775"/>
      <c r="O358" s="773"/>
      <c r="P358" s="775"/>
      <c r="Q358" s="775"/>
      <c r="R358" s="775"/>
      <c r="S358" s="775"/>
      <c r="T358" s="775"/>
      <c r="U358" s="776"/>
      <c r="V358" s="775"/>
      <c r="W358" s="773" t="s">
        <v>130</v>
      </c>
      <c r="X358" s="775"/>
      <c r="Y358" s="775">
        <v>25</v>
      </c>
      <c r="Z358" s="775">
        <v>25</v>
      </c>
      <c r="AA358" s="775"/>
      <c r="AB358" s="775"/>
      <c r="AC358" s="776"/>
      <c r="AD358" s="775">
        <v>412</v>
      </c>
      <c r="AE358" s="775">
        <v>427</v>
      </c>
      <c r="AF358" s="775">
        <v>175</v>
      </c>
      <c r="AG358" s="775">
        <v>153</v>
      </c>
      <c r="AH358" s="775">
        <v>175</v>
      </c>
      <c r="AI358" s="775">
        <v>153</v>
      </c>
      <c r="AJ358" s="773"/>
      <c r="AK358" s="775"/>
      <c r="AL358" s="773">
        <v>241</v>
      </c>
      <c r="AM358" s="773"/>
      <c r="AN358" s="776"/>
      <c r="AO358" s="769">
        <v>0.2</v>
      </c>
      <c r="AP358" s="769">
        <v>3.3599999999999998E-2</v>
      </c>
      <c r="AQ358" s="773"/>
      <c r="AR358" s="773"/>
      <c r="AS358" s="773"/>
      <c r="AT35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8" s="779">
        <f>WWWW[[#This Row],[%Equitable and continuous access to sufficient quantity of safe drinking water]]*WWWW[[#This Row],[Total PoP ]]</f>
        <v>0</v>
      </c>
      <c r="AV35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58" s="779">
        <f>WWWW[[#This Row],[% Access to unimproved water points]]*WWWW[[#This Row],[Total PoP ]]</f>
        <v>0</v>
      </c>
      <c r="AX35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5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58" s="779">
        <f>WWWW[[#This Row],[HRP1]]/250</f>
        <v>0</v>
      </c>
      <c r="BA358" s="780">
        <f>1-WWWW[[#This Row],[% Equitable and continuous access to sufficient quantity of domestic water]]</f>
        <v>1</v>
      </c>
      <c r="BB358" s="779">
        <f>WWWW[[#This Row],[%equitable and continuous access to sufficient quantity of safe drinking and domestic water''s GAP]]*WWWW[[#This Row],[Total PoP ]]</f>
        <v>1162</v>
      </c>
      <c r="BC358" s="781">
        <f>IF(WWWW[[#This Row],[Total required water points]]-WWWW[[#This Row],['#Water points coverage]]&lt;0,0,WWWW[[#This Row],[Total required water points]]-WWWW[[#This Row],['#Water points coverage]])</f>
        <v>5</v>
      </c>
      <c r="BD358" s="781">
        <f>ROUND(IF(WWWW[[#This Row],[Total PoP ]]&lt;250,1,WWWW[[#This Row],[Total PoP ]]/250),0)</f>
        <v>5</v>
      </c>
      <c r="BE35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2.1514629948364887E-2</v>
      </c>
      <c r="BF358" s="779">
        <f>WWWW[[#This Row],[% people access to functioning Latrine]]*WWWW[[#This Row],[Total PoP ]]</f>
        <v>25</v>
      </c>
      <c r="BG358" s="781">
        <f>WWWW[[#This Row],['#_of_Functioning_latrines_in_school]]*50</f>
        <v>0</v>
      </c>
      <c r="BH358" s="781">
        <f>ROUND((WWWW[[#This Row],[Total PoP ]]/6),0)</f>
        <v>194</v>
      </c>
      <c r="BI358" s="781">
        <f>IF(WWWW[[#This Row],[Total required Latrines]]-(WWWW[[#This Row],['#_of_sanitary_fly-proof_HH_latrines]])&lt;0,0,WWWW[[#This Row],[Total required Latrines]]-(WWWW[[#This Row],['#_of_sanitary_fly-proof_HH_latrines]]))</f>
        <v>194</v>
      </c>
      <c r="BJ358" s="778">
        <f>1-WWWW[[#This Row],[% people access to functioning Latrine]]</f>
        <v>0.97848537005163516</v>
      </c>
      <c r="BK35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1162</v>
      </c>
      <c r="BL358" s="772">
        <f>IF(WWWW[[#This Row],['#_of_functional_handwashing_facilities_at_HH_level]]*6&gt;WWWW[[#This Row],[Total PoP ]],WWWW[[#This Row],[Total PoP ]],WWWW[[#This Row],['#_of_functional_handwashing_facilities_at_HH_level]]*6)</f>
        <v>0</v>
      </c>
      <c r="BM358" s="781">
        <f>IF(WWWW[[#This Row],['# people reached by regular dedicated hygiene promotion]]&gt;WWWW[[#This Row],['# People received regular supply of hygiene items]],WWWW[[#This Row],['# people reached by regular dedicated hygiene promotion]],WWWW[[#This Row],['# People received regular supply of hygiene items]])</f>
        <v>1162</v>
      </c>
      <c r="BN358" s="780">
        <f>IF(WWWW[[#This Row],[HRP3]]/WWWW[[#This Row],[Total PoP ]]&gt;100%,100%,WWWW[[#This Row],[HRP3]]/WWWW[[#This Row],[Total PoP ]])</f>
        <v>1</v>
      </c>
      <c r="BO358" s="778">
        <f>1-WWWW[[#This Row],[Hygiene Coverage%]]</f>
        <v>0</v>
      </c>
      <c r="BP358" s="777">
        <f>WWWW[[#This Row],['# people reached by regular dedicated hygiene promotion]]/WWWW[[#This Row],[Total PoP ]]</f>
        <v>1</v>
      </c>
      <c r="BQ35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1162</v>
      </c>
      <c r="BR358" s="770">
        <f>WWWW[[#This Row],['#_of_affected_women_and_girls_receiving_a_sufficient_quantity_of_sanitary_pads]]</f>
        <v>0</v>
      </c>
      <c r="BS358" s="773">
        <f>IF(WWWW[[#This Row],['# People with access to soap]]&gt;WWWW[[#This Row],['# People with access to Sanity Pads]],WWWW[[#This Row],['# People with access to soap]],WWWW[[#This Row],['# People with access to Sanity Pads]])</f>
        <v>1162</v>
      </c>
      <c r="BT358" s="772" t="str">
        <f>IF(OR(WWWW[[#This Row],['#of students in school]]="",WWWW[[#This Row],['#of students in school]]=0),"No","Yes")</f>
        <v>No</v>
      </c>
      <c r="BU358" s="782" t="str">
        <f>VLOOKUP(WWWW[[#This Row],[Village  Name]],SiteDB6[[Site Name]:[Location Type 1]],9,FALSE)</f>
        <v>Village</v>
      </c>
      <c r="BV358" s="782" t="str">
        <f>VLOOKUP(WWWW[[#This Row],[Village  Name]],SiteDB6[[Site Name]:[Type of Accommodation]],10,FALSE)</f>
        <v>Village</v>
      </c>
      <c r="BW358" s="782">
        <f>VLOOKUP(WWWW[[#This Row],[Village  Name]],SiteDB6[[Site Name]:[Ethnic or GCA/NGCA]],11,FALSE)</f>
        <v>0</v>
      </c>
      <c r="BX358" s="782">
        <f>VLOOKUP(WWWW[[#This Row],[Village  Name]],SiteDB6[[Site Name]:[Lat]],12,FALSE)</f>
        <v>20.219699859619102</v>
      </c>
      <c r="BY358" s="782">
        <f>VLOOKUP(WWWW[[#This Row],[Village  Name]],SiteDB6[[Site Name]:[Long]],13,FALSE)</f>
        <v>92.851379394531307</v>
      </c>
      <c r="BZ358" s="782">
        <f>VLOOKUP(WWWW[[#This Row],[Village  Name]],SiteDB6[[Site Name]:[Pcode]],3,FALSE)</f>
        <v>196153</v>
      </c>
      <c r="CA358" s="782" t="str">
        <f t="shared" si="22"/>
        <v>Covered</v>
      </c>
      <c r="CB358" s="783"/>
    </row>
    <row r="359" spans="1:80">
      <c r="A359" s="727" t="s">
        <v>3199</v>
      </c>
      <c r="B359" s="727" t="s">
        <v>3152</v>
      </c>
      <c r="C359" s="728" t="s">
        <v>3152</v>
      </c>
      <c r="D359" s="728" t="s">
        <v>3297</v>
      </c>
      <c r="E359" s="728" t="s">
        <v>2648</v>
      </c>
      <c r="F359" s="728" t="s">
        <v>295</v>
      </c>
      <c r="G359" s="644" t="str">
        <f>VLOOKUP(WWWW[[#This Row],[Village  Name]],SiteDB6[[Site Name]:[Location Type]],8,FALSE)</f>
        <v>Village</v>
      </c>
      <c r="H359" s="728" t="s">
        <v>3305</v>
      </c>
      <c r="I359" s="775">
        <v>117</v>
      </c>
      <c r="J359" s="775">
        <v>487</v>
      </c>
      <c r="K359" s="784">
        <v>43952</v>
      </c>
      <c r="L359" s="785">
        <v>44073</v>
      </c>
      <c r="M359" s="775"/>
      <c r="N359" s="775"/>
      <c r="O359" s="773"/>
      <c r="P359" s="775"/>
      <c r="Q359" s="775"/>
      <c r="R359" s="775"/>
      <c r="S359" s="775"/>
      <c r="T359" s="775"/>
      <c r="U359" s="776"/>
      <c r="V359" s="775"/>
      <c r="W359" s="773" t="s">
        <v>130</v>
      </c>
      <c r="X359" s="775"/>
      <c r="Y359" s="775">
        <v>6</v>
      </c>
      <c r="Z359" s="775">
        <v>6</v>
      </c>
      <c r="AA359" s="775"/>
      <c r="AB359" s="775"/>
      <c r="AC359" s="776"/>
      <c r="AD359" s="775">
        <v>147</v>
      </c>
      <c r="AE359" s="775">
        <v>137</v>
      </c>
      <c r="AF359" s="775">
        <v>105</v>
      </c>
      <c r="AG359" s="775">
        <v>98</v>
      </c>
      <c r="AH359" s="775">
        <v>105</v>
      </c>
      <c r="AI359" s="775">
        <v>98</v>
      </c>
      <c r="AJ359" s="773"/>
      <c r="AK359" s="775"/>
      <c r="AL359" s="773">
        <v>117</v>
      </c>
      <c r="AM359" s="773"/>
      <c r="AN359" s="776"/>
      <c r="AO359" s="769"/>
      <c r="AP359" s="769"/>
      <c r="AQ359" s="773"/>
      <c r="AR359" s="773"/>
      <c r="AS359" s="773"/>
      <c r="AT359"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59" s="779">
        <f>WWWW[[#This Row],[%Equitable and continuous access to sufficient quantity of safe drinking water]]*WWWW[[#This Row],[Total PoP ]]</f>
        <v>0</v>
      </c>
      <c r="AV359"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59" s="779">
        <f>WWWW[[#This Row],[% Access to unimproved water points]]*WWWW[[#This Row],[Total PoP ]]</f>
        <v>0</v>
      </c>
      <c r="AX359"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59"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59" s="779">
        <f>WWWW[[#This Row],[HRP1]]/250</f>
        <v>0</v>
      </c>
      <c r="BA359" s="780">
        <f>1-WWWW[[#This Row],[% Equitable and continuous access to sufficient quantity of domestic water]]</f>
        <v>1</v>
      </c>
      <c r="BB359" s="779">
        <f>WWWW[[#This Row],[%equitable and continuous access to sufficient quantity of safe drinking and domestic water''s GAP]]*WWWW[[#This Row],[Total PoP ]]</f>
        <v>487</v>
      </c>
      <c r="BC359" s="781">
        <f>IF(WWWW[[#This Row],[Total required water points]]-WWWW[[#This Row],['#Water points coverage]]&lt;0,0,WWWW[[#This Row],[Total required water points]]-WWWW[[#This Row],['#Water points coverage]])</f>
        <v>2</v>
      </c>
      <c r="BD359" s="781">
        <f>ROUND(IF(WWWW[[#This Row],[Total PoP ]]&lt;250,1,WWWW[[#This Row],[Total PoP ]]/250),0)</f>
        <v>2</v>
      </c>
      <c r="BE35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1.2320328542094456E-2</v>
      </c>
      <c r="BF359" s="779">
        <f>WWWW[[#This Row],[% people access to functioning Latrine]]*WWWW[[#This Row],[Total PoP ]]</f>
        <v>6</v>
      </c>
      <c r="BG359" s="781">
        <f>WWWW[[#This Row],['#_of_Functioning_latrines_in_school]]*50</f>
        <v>0</v>
      </c>
      <c r="BH359" s="781">
        <f>ROUND((WWWW[[#This Row],[Total PoP ]]/6),0)</f>
        <v>81</v>
      </c>
      <c r="BI359" s="781">
        <f>IF(WWWW[[#This Row],[Total required Latrines]]-(WWWW[[#This Row],['#_of_sanitary_fly-proof_HH_latrines]])&lt;0,0,WWWW[[#This Row],[Total required Latrines]]-(WWWW[[#This Row],['#_of_sanitary_fly-proof_HH_latrines]]))</f>
        <v>81</v>
      </c>
      <c r="BJ359" s="778">
        <f>1-WWWW[[#This Row],[% people access to functioning Latrine]]</f>
        <v>0.98767967145790558</v>
      </c>
      <c r="BK359"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487</v>
      </c>
      <c r="BL359" s="772">
        <f>IF(WWWW[[#This Row],['#_of_functional_handwashing_facilities_at_HH_level]]*6&gt;WWWW[[#This Row],[Total PoP ]],WWWW[[#This Row],[Total PoP ]],WWWW[[#This Row],['#_of_functional_handwashing_facilities_at_HH_level]]*6)</f>
        <v>0</v>
      </c>
      <c r="BM359" s="781">
        <f>IF(WWWW[[#This Row],['# people reached by regular dedicated hygiene promotion]]&gt;WWWW[[#This Row],['# People received regular supply of hygiene items]],WWWW[[#This Row],['# people reached by regular dedicated hygiene promotion]],WWWW[[#This Row],['# People received regular supply of hygiene items]])</f>
        <v>487</v>
      </c>
      <c r="BN359" s="780">
        <f>IF(WWWW[[#This Row],[HRP3]]/WWWW[[#This Row],[Total PoP ]]&gt;100%,100%,WWWW[[#This Row],[HRP3]]/WWWW[[#This Row],[Total PoP ]])</f>
        <v>1</v>
      </c>
      <c r="BO359" s="778">
        <f>1-WWWW[[#This Row],[Hygiene Coverage%]]</f>
        <v>0</v>
      </c>
      <c r="BP359" s="777">
        <f>WWWW[[#This Row],['# people reached by regular dedicated hygiene promotion]]/WWWW[[#This Row],[Total PoP ]]</f>
        <v>1</v>
      </c>
      <c r="BQ35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487</v>
      </c>
      <c r="BR359" s="770">
        <f>WWWW[[#This Row],['#_of_affected_women_and_girls_receiving_a_sufficient_quantity_of_sanitary_pads]]</f>
        <v>0</v>
      </c>
      <c r="BS359" s="773">
        <f>IF(WWWW[[#This Row],['# People with access to soap]]&gt;WWWW[[#This Row],['# People with access to Sanity Pads]],WWWW[[#This Row],['# People with access to soap]],WWWW[[#This Row],['# People with access to Sanity Pads]])</f>
        <v>487</v>
      </c>
      <c r="BT359" s="772" t="str">
        <f>IF(OR(WWWW[[#This Row],['#of students in school]]="",WWWW[[#This Row],['#of students in school]]=0),"No","Yes")</f>
        <v>No</v>
      </c>
      <c r="BU359" s="782" t="str">
        <f>VLOOKUP(WWWW[[#This Row],[Village  Name]],SiteDB6[[Site Name]:[Location Type 1]],9,FALSE)</f>
        <v>Village</v>
      </c>
      <c r="BV359" s="782" t="str">
        <f>VLOOKUP(WWWW[[#This Row],[Village  Name]],SiteDB6[[Site Name]:[Type of Accommodation]],10,FALSE)</f>
        <v>Village</v>
      </c>
      <c r="BW359" s="782">
        <f>VLOOKUP(WWWW[[#This Row],[Village  Name]],SiteDB6[[Site Name]:[Ethnic or GCA/NGCA]],11,FALSE)</f>
        <v>0</v>
      </c>
      <c r="BX359" s="782">
        <f>VLOOKUP(WWWW[[#This Row],[Village  Name]],SiteDB6[[Site Name]:[Lat]],12,FALSE)</f>
        <v>20.261358000000001</v>
      </c>
      <c r="BY359" s="782">
        <f>VLOOKUP(WWWW[[#This Row],[Village  Name]],SiteDB6[[Site Name]:[Long]],13,FALSE)</f>
        <v>92.805672999999999</v>
      </c>
      <c r="BZ359" s="782">
        <f>VLOOKUP(WWWW[[#This Row],[Village  Name]],SiteDB6[[Site Name]:[Pcode]],3,FALSE)</f>
        <v>220593</v>
      </c>
      <c r="CA359" s="782" t="str">
        <f t="shared" si="22"/>
        <v>Covered</v>
      </c>
      <c r="CB359" s="783"/>
    </row>
    <row r="360" spans="1:80">
      <c r="A360" s="727" t="s">
        <v>3199</v>
      </c>
      <c r="B360" s="727" t="s">
        <v>3152</v>
      </c>
      <c r="C360" s="728" t="s">
        <v>3152</v>
      </c>
      <c r="D360" s="728" t="s">
        <v>3297</v>
      </c>
      <c r="E360" s="728" t="s">
        <v>2648</v>
      </c>
      <c r="F360" s="728" t="s">
        <v>295</v>
      </c>
      <c r="G360" s="644" t="str">
        <f>VLOOKUP(WWWW[[#This Row],[Village  Name]],SiteDB6[[Site Name]:[Location Type]],8,FALSE)</f>
        <v>Village</v>
      </c>
      <c r="H360" s="728" t="s">
        <v>3301</v>
      </c>
      <c r="I360" s="775">
        <v>217</v>
      </c>
      <c r="J360" s="775">
        <v>837</v>
      </c>
      <c r="K360" s="784">
        <v>43952</v>
      </c>
      <c r="L360" s="785">
        <v>44073</v>
      </c>
      <c r="M360" s="775"/>
      <c r="N360" s="775"/>
      <c r="O360" s="773"/>
      <c r="P360" s="775"/>
      <c r="Q360" s="775"/>
      <c r="R360" s="775"/>
      <c r="S360" s="775"/>
      <c r="T360" s="775"/>
      <c r="U360" s="776"/>
      <c r="V360" s="775"/>
      <c r="W360" s="773" t="s">
        <v>130</v>
      </c>
      <c r="X360" s="775"/>
      <c r="Y360" s="775">
        <v>19</v>
      </c>
      <c r="Z360" s="775">
        <v>19</v>
      </c>
      <c r="AA360" s="775"/>
      <c r="AB360" s="775"/>
      <c r="AC360" s="776"/>
      <c r="AD360" s="775">
        <v>321</v>
      </c>
      <c r="AE360" s="775">
        <v>337</v>
      </c>
      <c r="AF360" s="775">
        <v>145</v>
      </c>
      <c r="AG360" s="775">
        <v>121</v>
      </c>
      <c r="AH360" s="775">
        <v>145</v>
      </c>
      <c r="AI360" s="775">
        <v>121</v>
      </c>
      <c r="AJ360" s="773"/>
      <c r="AK360" s="775"/>
      <c r="AL360" s="773">
        <v>217</v>
      </c>
      <c r="AM360" s="773"/>
      <c r="AN360" s="776"/>
      <c r="AO360" s="769"/>
      <c r="AP360" s="769"/>
      <c r="AQ360" s="773"/>
      <c r="AR360" s="773"/>
      <c r="AS360" s="773"/>
      <c r="AT360"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60" s="779">
        <f>WWWW[[#This Row],[%Equitable and continuous access to sufficient quantity of safe drinking water]]*WWWW[[#This Row],[Total PoP ]]</f>
        <v>0</v>
      </c>
      <c r="AV360"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0" s="779">
        <f>WWWW[[#This Row],[% Access to unimproved water points]]*WWWW[[#This Row],[Total PoP ]]</f>
        <v>0</v>
      </c>
      <c r="AX360"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60"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60" s="779">
        <f>WWWW[[#This Row],[HRP1]]/250</f>
        <v>0</v>
      </c>
      <c r="BA360" s="780">
        <f>1-WWWW[[#This Row],[% Equitable and continuous access to sufficient quantity of domestic water]]</f>
        <v>1</v>
      </c>
      <c r="BB360" s="779">
        <f>WWWW[[#This Row],[%equitable and continuous access to sufficient quantity of safe drinking and domestic water''s GAP]]*WWWW[[#This Row],[Total PoP ]]</f>
        <v>837</v>
      </c>
      <c r="BC360" s="781">
        <f>IF(WWWW[[#This Row],[Total required water points]]-WWWW[[#This Row],['#Water points coverage]]&lt;0,0,WWWW[[#This Row],[Total required water points]]-WWWW[[#This Row],['#Water points coverage]])</f>
        <v>3</v>
      </c>
      <c r="BD360" s="781">
        <f>ROUND(IF(WWWW[[#This Row],[Total PoP ]]&lt;250,1,WWWW[[#This Row],[Total PoP ]]/250),0)</f>
        <v>3</v>
      </c>
      <c r="BE36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2.2700119474313024E-2</v>
      </c>
      <c r="BF360" s="779">
        <f>WWWW[[#This Row],[% people access to functioning Latrine]]*WWWW[[#This Row],[Total PoP ]]</f>
        <v>19</v>
      </c>
      <c r="BG360" s="781">
        <f>WWWW[[#This Row],['#_of_Functioning_latrines_in_school]]*50</f>
        <v>0</v>
      </c>
      <c r="BH360" s="781">
        <f>ROUND((WWWW[[#This Row],[Total PoP ]]/6),0)</f>
        <v>140</v>
      </c>
      <c r="BI360" s="781">
        <f>IF(WWWW[[#This Row],[Total required Latrines]]-(WWWW[[#This Row],['#_of_sanitary_fly-proof_HH_latrines]])&lt;0,0,WWWW[[#This Row],[Total required Latrines]]-(WWWW[[#This Row],['#_of_sanitary_fly-proof_HH_latrines]]))</f>
        <v>140</v>
      </c>
      <c r="BJ360" s="778">
        <f>1-WWWW[[#This Row],[% people access to functioning Latrine]]</f>
        <v>0.97729988052568695</v>
      </c>
      <c r="BK360"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837</v>
      </c>
      <c r="BL360" s="772">
        <f>IF(WWWW[[#This Row],['#_of_functional_handwashing_facilities_at_HH_level]]*6&gt;WWWW[[#This Row],[Total PoP ]],WWWW[[#This Row],[Total PoP ]],WWWW[[#This Row],['#_of_functional_handwashing_facilities_at_HH_level]]*6)</f>
        <v>0</v>
      </c>
      <c r="BM360" s="781">
        <f>IF(WWWW[[#This Row],['# people reached by regular dedicated hygiene promotion]]&gt;WWWW[[#This Row],['# People received regular supply of hygiene items]],WWWW[[#This Row],['# people reached by regular dedicated hygiene promotion]],WWWW[[#This Row],['# People received regular supply of hygiene items]])</f>
        <v>837</v>
      </c>
      <c r="BN360" s="780">
        <f>IF(WWWW[[#This Row],[HRP3]]/WWWW[[#This Row],[Total PoP ]]&gt;100%,100%,WWWW[[#This Row],[HRP3]]/WWWW[[#This Row],[Total PoP ]])</f>
        <v>1</v>
      </c>
      <c r="BO360" s="778">
        <f>1-WWWW[[#This Row],[Hygiene Coverage%]]</f>
        <v>0</v>
      </c>
      <c r="BP360" s="777">
        <f>WWWW[[#This Row],['# people reached by regular dedicated hygiene promotion]]/WWWW[[#This Row],[Total PoP ]]</f>
        <v>1</v>
      </c>
      <c r="BQ36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837</v>
      </c>
      <c r="BR360" s="770">
        <f>WWWW[[#This Row],['#_of_affected_women_and_girls_receiving_a_sufficient_quantity_of_sanitary_pads]]</f>
        <v>0</v>
      </c>
      <c r="BS360" s="773">
        <f>IF(WWWW[[#This Row],['# People with access to soap]]&gt;WWWW[[#This Row],['# People with access to Sanity Pads]],WWWW[[#This Row],['# People with access to soap]],WWWW[[#This Row],['# People with access to Sanity Pads]])</f>
        <v>837</v>
      </c>
      <c r="BT360" s="772" t="str">
        <f>IF(OR(WWWW[[#This Row],['#of students in school]]="",WWWW[[#This Row],['#of students in school]]=0),"No","Yes")</f>
        <v>No</v>
      </c>
      <c r="BU360" s="782" t="str">
        <f>VLOOKUP(WWWW[[#This Row],[Village  Name]],SiteDB6[[Site Name]:[Location Type 1]],9,FALSE)</f>
        <v>Village</v>
      </c>
      <c r="BV360" s="782" t="str">
        <f>VLOOKUP(WWWW[[#This Row],[Village  Name]],SiteDB6[[Site Name]:[Type of Accommodation]],10,FALSE)</f>
        <v>Village</v>
      </c>
      <c r="BW360" s="782">
        <f>VLOOKUP(WWWW[[#This Row],[Village  Name]],SiteDB6[[Site Name]:[Ethnic or GCA/NGCA]],11,FALSE)</f>
        <v>0</v>
      </c>
      <c r="BX360" s="782">
        <f>VLOOKUP(WWWW[[#This Row],[Village  Name]],SiteDB6[[Site Name]:[Lat]],12,FALSE)</f>
        <v>20.236940383911101</v>
      </c>
      <c r="BY360" s="782">
        <f>VLOOKUP(WWWW[[#This Row],[Village  Name]],SiteDB6[[Site Name]:[Long]],13,FALSE)</f>
        <v>92.833259582519503</v>
      </c>
      <c r="BZ360" s="782">
        <f>VLOOKUP(WWWW[[#This Row],[Village  Name]],SiteDB6[[Site Name]:[Pcode]],3,FALSE)</f>
        <v>196130</v>
      </c>
      <c r="CA360" s="782" t="str">
        <f t="shared" si="22"/>
        <v>Covered</v>
      </c>
      <c r="CB360" s="783"/>
    </row>
    <row r="361" spans="1:80">
      <c r="A361" s="727" t="s">
        <v>3199</v>
      </c>
      <c r="B361" s="727" t="s">
        <v>3152</v>
      </c>
      <c r="C361" s="728" t="s">
        <v>3152</v>
      </c>
      <c r="D361" s="728" t="s">
        <v>3153</v>
      </c>
      <c r="E361" s="728" t="s">
        <v>2648</v>
      </c>
      <c r="F361" s="728" t="s">
        <v>295</v>
      </c>
      <c r="G361" s="644" t="str">
        <f>VLOOKUP(WWWW[[#This Row],[Village  Name]],SiteDB6[[Site Name]:[Location Type]],8,FALSE)</f>
        <v>Village</v>
      </c>
      <c r="H361" s="728" t="s">
        <v>2007</v>
      </c>
      <c r="I361" s="775">
        <v>119</v>
      </c>
      <c r="J361" s="775">
        <v>546</v>
      </c>
      <c r="K361" s="784">
        <v>43922</v>
      </c>
      <c r="L361" s="785">
        <v>44073</v>
      </c>
      <c r="M361" s="775"/>
      <c r="N361" s="775"/>
      <c r="O361" s="773"/>
      <c r="P361" s="775"/>
      <c r="Q361" s="775"/>
      <c r="R361" s="775"/>
      <c r="S361" s="775"/>
      <c r="T361" s="775"/>
      <c r="U361" s="776"/>
      <c r="V361" s="775"/>
      <c r="W361" s="773" t="s">
        <v>130</v>
      </c>
      <c r="X361" s="775"/>
      <c r="Y361" s="775">
        <v>45</v>
      </c>
      <c r="Z361" s="775">
        <v>45</v>
      </c>
      <c r="AA361" s="775"/>
      <c r="AB361" s="775"/>
      <c r="AC361" s="776"/>
      <c r="AD361" s="775">
        <v>121</v>
      </c>
      <c r="AE361" s="775">
        <v>146</v>
      </c>
      <c r="AF361" s="775">
        <v>135</v>
      </c>
      <c r="AG361" s="775">
        <v>133</v>
      </c>
      <c r="AH361" s="775">
        <v>135</v>
      </c>
      <c r="AI361" s="775">
        <v>133</v>
      </c>
      <c r="AJ361" s="773"/>
      <c r="AK361" s="775"/>
      <c r="AL361" s="773">
        <v>119</v>
      </c>
      <c r="AM361" s="773"/>
      <c r="AN361" s="776"/>
      <c r="AO361" s="769">
        <v>0.5</v>
      </c>
      <c r="AP361" s="769">
        <v>0.1681</v>
      </c>
      <c r="AQ361" s="773"/>
      <c r="AR361" s="773"/>
      <c r="AS361" s="773"/>
      <c r="AT361"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61" s="779">
        <f>WWWW[[#This Row],[%Equitable and continuous access to sufficient quantity of safe drinking water]]*WWWW[[#This Row],[Total PoP ]]</f>
        <v>0</v>
      </c>
      <c r="AV361"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1" s="779">
        <f>WWWW[[#This Row],[% Access to unimproved water points]]*WWWW[[#This Row],[Total PoP ]]</f>
        <v>0</v>
      </c>
      <c r="AX361"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61"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61" s="779">
        <f>WWWW[[#This Row],[HRP1]]/250</f>
        <v>0</v>
      </c>
      <c r="BA361" s="780">
        <f>1-WWWW[[#This Row],[% Equitable and continuous access to sufficient quantity of domestic water]]</f>
        <v>1</v>
      </c>
      <c r="BB361" s="779">
        <f>WWWW[[#This Row],[%equitable and continuous access to sufficient quantity of safe drinking and domestic water''s GAP]]*WWWW[[#This Row],[Total PoP ]]</f>
        <v>546</v>
      </c>
      <c r="BC361" s="781">
        <f>IF(WWWW[[#This Row],[Total required water points]]-WWWW[[#This Row],['#Water points coverage]]&lt;0,0,WWWW[[#This Row],[Total required water points]]-WWWW[[#This Row],['#Water points coverage]])</f>
        <v>2</v>
      </c>
      <c r="BD361" s="781">
        <f>ROUND(IF(WWWW[[#This Row],[Total PoP ]]&lt;250,1,WWWW[[#This Row],[Total PoP ]]/250),0)</f>
        <v>2</v>
      </c>
      <c r="BE36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8.2417582417582416E-2</v>
      </c>
      <c r="BF361" s="779">
        <f>WWWW[[#This Row],[% people access to functioning Latrine]]*WWWW[[#This Row],[Total PoP ]]</f>
        <v>45</v>
      </c>
      <c r="BG361" s="781">
        <f>WWWW[[#This Row],['#_of_Functioning_latrines_in_school]]*50</f>
        <v>0</v>
      </c>
      <c r="BH361" s="781">
        <f>ROUND((WWWW[[#This Row],[Total PoP ]]/6),0)</f>
        <v>91</v>
      </c>
      <c r="BI361" s="781">
        <f>IF(WWWW[[#This Row],[Total required Latrines]]-(WWWW[[#This Row],['#_of_sanitary_fly-proof_HH_latrines]])&lt;0,0,WWWW[[#This Row],[Total required Latrines]]-(WWWW[[#This Row],['#_of_sanitary_fly-proof_HH_latrines]]))</f>
        <v>91</v>
      </c>
      <c r="BJ361" s="778">
        <f>1-WWWW[[#This Row],[% people access to functioning Latrine]]</f>
        <v>0.91758241758241754</v>
      </c>
      <c r="BK361"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546</v>
      </c>
      <c r="BL361" s="772">
        <f>IF(WWWW[[#This Row],['#_of_functional_handwashing_facilities_at_HH_level]]*6&gt;WWWW[[#This Row],[Total PoP ]],WWWW[[#This Row],[Total PoP ]],WWWW[[#This Row],['#_of_functional_handwashing_facilities_at_HH_level]]*6)</f>
        <v>0</v>
      </c>
      <c r="BM361" s="781">
        <f>IF(WWWW[[#This Row],['# people reached by regular dedicated hygiene promotion]]&gt;WWWW[[#This Row],['# People received regular supply of hygiene items]],WWWW[[#This Row],['# people reached by regular dedicated hygiene promotion]],WWWW[[#This Row],['# People received regular supply of hygiene items]])</f>
        <v>546</v>
      </c>
      <c r="BN361" s="780">
        <f>IF(WWWW[[#This Row],[HRP3]]/WWWW[[#This Row],[Total PoP ]]&gt;100%,100%,WWWW[[#This Row],[HRP3]]/WWWW[[#This Row],[Total PoP ]])</f>
        <v>1</v>
      </c>
      <c r="BO361" s="778">
        <f>1-WWWW[[#This Row],[Hygiene Coverage%]]</f>
        <v>0</v>
      </c>
      <c r="BP361" s="777">
        <f>WWWW[[#This Row],['# people reached by regular dedicated hygiene promotion]]/WWWW[[#This Row],[Total PoP ]]</f>
        <v>1</v>
      </c>
      <c r="BQ36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546</v>
      </c>
      <c r="BR361" s="770">
        <f>WWWW[[#This Row],['#_of_affected_women_and_girls_receiving_a_sufficient_quantity_of_sanitary_pads]]</f>
        <v>0</v>
      </c>
      <c r="BS361" s="773">
        <f>IF(WWWW[[#This Row],['# People with access to soap]]&gt;WWWW[[#This Row],['# People with access to Sanity Pads]],WWWW[[#This Row],['# People with access to soap]],WWWW[[#This Row],['# People with access to Sanity Pads]])</f>
        <v>546</v>
      </c>
      <c r="BT361" s="772" t="str">
        <f>IF(OR(WWWW[[#This Row],['#of students in school]]="",WWWW[[#This Row],['#of students in school]]=0),"No","Yes")</f>
        <v>No</v>
      </c>
      <c r="BU361" s="782" t="str">
        <f>VLOOKUP(WWWW[[#This Row],[Village  Name]],SiteDB6[[Site Name]:[Location Type 1]],9,FALSE)</f>
        <v>Village</v>
      </c>
      <c r="BV361" s="782" t="str">
        <f>VLOOKUP(WWWW[[#This Row],[Village  Name]],SiteDB6[[Site Name]:[Type of Accommodation]],10,FALSE)</f>
        <v>Village</v>
      </c>
      <c r="BW361" s="782" t="str">
        <f>VLOOKUP(WWWW[[#This Row],[Village  Name]],SiteDB6[[Site Name]:[Ethnic or GCA/NGCA]],11,FALSE)</f>
        <v>Muslim</v>
      </c>
      <c r="BX361" s="782">
        <f>VLOOKUP(WWWW[[#This Row],[Village  Name]],SiteDB6[[Site Name]:[Lat]],12,FALSE)</f>
        <v>20.239929199999999</v>
      </c>
      <c r="BY361" s="782">
        <f>VLOOKUP(WWWW[[#This Row],[Village  Name]],SiteDB6[[Site Name]:[Long]],13,FALSE)</f>
        <v>92.827529909999996</v>
      </c>
      <c r="BZ361" s="782">
        <f>VLOOKUP(WWWW[[#This Row],[Village  Name]],SiteDB6[[Site Name]:[Pcode]],3,FALSE)</f>
        <v>196162</v>
      </c>
      <c r="CA361" s="782" t="str">
        <f t="shared" si="22"/>
        <v>Covered</v>
      </c>
      <c r="CB361" s="783"/>
    </row>
    <row r="362" spans="1:80">
      <c r="A362" s="727" t="s">
        <v>3199</v>
      </c>
      <c r="B362" s="727" t="s">
        <v>3152</v>
      </c>
      <c r="C362" s="728" t="s">
        <v>3152</v>
      </c>
      <c r="D362" s="728" t="s">
        <v>3297</v>
      </c>
      <c r="E362" s="728" t="s">
        <v>2648</v>
      </c>
      <c r="F362" s="728" t="s">
        <v>295</v>
      </c>
      <c r="G362" s="644" t="str">
        <f>VLOOKUP(WWWW[[#This Row],[Village  Name]],SiteDB6[[Site Name]:[Location Type]],8,FALSE)</f>
        <v>Village</v>
      </c>
      <c r="H362" s="728" t="s">
        <v>446</v>
      </c>
      <c r="I362" s="775">
        <v>175</v>
      </c>
      <c r="J362" s="775">
        <v>723</v>
      </c>
      <c r="K362" s="784">
        <v>43952</v>
      </c>
      <c r="L362" s="785">
        <v>44073</v>
      </c>
      <c r="M362" s="775"/>
      <c r="N362" s="775"/>
      <c r="O362" s="773"/>
      <c r="P362" s="775"/>
      <c r="Q362" s="775"/>
      <c r="R362" s="775"/>
      <c r="S362" s="775"/>
      <c r="T362" s="775"/>
      <c r="U362" s="776"/>
      <c r="V362" s="775"/>
      <c r="W362" s="773" t="s">
        <v>130</v>
      </c>
      <c r="X362" s="775"/>
      <c r="Y362" s="775">
        <v>1</v>
      </c>
      <c r="Z362" s="775">
        <v>1</v>
      </c>
      <c r="AA362" s="775"/>
      <c r="AB362" s="775"/>
      <c r="AC362" s="776"/>
      <c r="AD362" s="775">
        <v>213</v>
      </c>
      <c r="AE362" s="775">
        <v>285</v>
      </c>
      <c r="AF362" s="775">
        <v>116</v>
      </c>
      <c r="AG362" s="775">
        <v>109</v>
      </c>
      <c r="AH362" s="775">
        <v>116</v>
      </c>
      <c r="AI362" s="775">
        <v>109</v>
      </c>
      <c r="AJ362" s="773"/>
      <c r="AK362" s="775"/>
      <c r="AL362" s="773">
        <v>175</v>
      </c>
      <c r="AM362" s="773"/>
      <c r="AN362" s="776"/>
      <c r="AO362" s="769"/>
      <c r="AP362" s="769"/>
      <c r="AQ362" s="773"/>
      <c r="AR362" s="773"/>
      <c r="AS362" s="773"/>
      <c r="AT362"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62" s="779">
        <f>WWWW[[#This Row],[%Equitable and continuous access to sufficient quantity of safe drinking water]]*WWWW[[#This Row],[Total PoP ]]</f>
        <v>0</v>
      </c>
      <c r="AV362"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2" s="779">
        <f>WWWW[[#This Row],[% Access to unimproved water points]]*WWWW[[#This Row],[Total PoP ]]</f>
        <v>0</v>
      </c>
      <c r="AX362"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62"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62" s="779">
        <f>WWWW[[#This Row],[HRP1]]/250</f>
        <v>0</v>
      </c>
      <c r="BA362" s="780">
        <f>1-WWWW[[#This Row],[% Equitable and continuous access to sufficient quantity of domestic water]]</f>
        <v>1</v>
      </c>
      <c r="BB362" s="779">
        <f>WWWW[[#This Row],[%equitable and continuous access to sufficient quantity of safe drinking and domestic water''s GAP]]*WWWW[[#This Row],[Total PoP ]]</f>
        <v>723</v>
      </c>
      <c r="BC362" s="781">
        <f>IF(WWWW[[#This Row],[Total required water points]]-WWWW[[#This Row],['#Water points coverage]]&lt;0,0,WWWW[[#This Row],[Total required water points]]-WWWW[[#This Row],['#Water points coverage]])</f>
        <v>3</v>
      </c>
      <c r="BD362" s="781">
        <f>ROUND(IF(WWWW[[#This Row],[Total PoP ]]&lt;250,1,WWWW[[#This Row],[Total PoP ]]/250),0)</f>
        <v>3</v>
      </c>
      <c r="BE36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1.3831258644536654E-3</v>
      </c>
      <c r="BF362" s="779">
        <f>WWWW[[#This Row],[% people access to functioning Latrine]]*WWWW[[#This Row],[Total PoP ]]</f>
        <v>1</v>
      </c>
      <c r="BG362" s="781">
        <f>WWWW[[#This Row],['#_of_Functioning_latrines_in_school]]*50</f>
        <v>0</v>
      </c>
      <c r="BH362" s="781">
        <f>ROUND((WWWW[[#This Row],[Total PoP ]]/6),0)</f>
        <v>121</v>
      </c>
      <c r="BI362" s="781">
        <f>IF(WWWW[[#This Row],[Total required Latrines]]-(WWWW[[#This Row],['#_of_sanitary_fly-proof_HH_latrines]])&lt;0,0,WWWW[[#This Row],[Total required Latrines]]-(WWWW[[#This Row],['#_of_sanitary_fly-proof_HH_latrines]]))</f>
        <v>121</v>
      </c>
      <c r="BJ362" s="778">
        <f>1-WWWW[[#This Row],[% people access to functioning Latrine]]</f>
        <v>0.99861687413554634</v>
      </c>
      <c r="BK362"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723</v>
      </c>
      <c r="BL362" s="772">
        <f>IF(WWWW[[#This Row],['#_of_functional_handwashing_facilities_at_HH_level]]*6&gt;WWWW[[#This Row],[Total PoP ]],WWWW[[#This Row],[Total PoP ]],WWWW[[#This Row],['#_of_functional_handwashing_facilities_at_HH_level]]*6)</f>
        <v>0</v>
      </c>
      <c r="BM362" s="781">
        <f>IF(WWWW[[#This Row],['# people reached by regular dedicated hygiene promotion]]&gt;WWWW[[#This Row],['# People received regular supply of hygiene items]],WWWW[[#This Row],['# people reached by regular dedicated hygiene promotion]],WWWW[[#This Row],['# People received regular supply of hygiene items]])</f>
        <v>723</v>
      </c>
      <c r="BN362" s="780">
        <f>IF(WWWW[[#This Row],[HRP3]]/WWWW[[#This Row],[Total PoP ]]&gt;100%,100%,WWWW[[#This Row],[HRP3]]/WWWW[[#This Row],[Total PoP ]])</f>
        <v>1</v>
      </c>
      <c r="BO362" s="778">
        <f>1-WWWW[[#This Row],[Hygiene Coverage%]]</f>
        <v>0</v>
      </c>
      <c r="BP362" s="777">
        <f>WWWW[[#This Row],['# people reached by regular dedicated hygiene promotion]]/WWWW[[#This Row],[Total PoP ]]</f>
        <v>1</v>
      </c>
      <c r="BQ36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723</v>
      </c>
      <c r="BR362" s="770">
        <f>WWWW[[#This Row],['#_of_affected_women_and_girls_receiving_a_sufficient_quantity_of_sanitary_pads]]</f>
        <v>0</v>
      </c>
      <c r="BS362" s="773">
        <f>IF(WWWW[[#This Row],['# People with access to soap]]&gt;WWWW[[#This Row],['# People with access to Sanity Pads]],WWWW[[#This Row],['# People with access to soap]],WWWW[[#This Row],['# People with access to Sanity Pads]])</f>
        <v>723</v>
      </c>
      <c r="BT362" s="772" t="str">
        <f>IF(OR(WWWW[[#This Row],['#of students in school]]="",WWWW[[#This Row],['#of students in school]]=0),"No","Yes")</f>
        <v>No</v>
      </c>
      <c r="BU362" s="782" t="str">
        <f>VLOOKUP(WWWW[[#This Row],[Village  Name]],SiteDB6[[Site Name]:[Location Type 1]],9,FALSE)</f>
        <v>Village</v>
      </c>
      <c r="BV362" s="782" t="str">
        <f>VLOOKUP(WWWW[[#This Row],[Village  Name]],SiteDB6[[Site Name]:[Type of Accommodation]],10,FALSE)</f>
        <v>Village</v>
      </c>
      <c r="BW362" s="782" t="str">
        <f>VLOOKUP(WWWW[[#This Row],[Village  Name]],SiteDB6[[Site Name]:[Ethnic or GCA/NGCA]],11,FALSE)</f>
        <v>Rakhine</v>
      </c>
      <c r="BX362" s="782">
        <f>VLOOKUP(WWWW[[#This Row],[Village  Name]],SiteDB6[[Site Name]:[Lat]],12,FALSE)</f>
        <v>20.22929001</v>
      </c>
      <c r="BY362" s="782">
        <f>VLOOKUP(WWWW[[#This Row],[Village  Name]],SiteDB6[[Site Name]:[Long]],13,FALSE)</f>
        <v>92.864669800000001</v>
      </c>
      <c r="BZ362" s="782">
        <f>VLOOKUP(WWWW[[#This Row],[Village  Name]],SiteDB6[[Site Name]:[Pcode]],3,FALSE)</f>
        <v>196167</v>
      </c>
      <c r="CA362" s="782" t="str">
        <f t="shared" si="22"/>
        <v>Covered</v>
      </c>
      <c r="CB362" s="783"/>
    </row>
    <row r="363" spans="1:80">
      <c r="A363" s="727" t="s">
        <v>3199</v>
      </c>
      <c r="B363" s="727" t="s">
        <v>3152</v>
      </c>
      <c r="C363" s="728" t="s">
        <v>3152</v>
      </c>
      <c r="D363" s="728" t="s">
        <v>3153</v>
      </c>
      <c r="E363" s="728" t="s">
        <v>2648</v>
      </c>
      <c r="F363" s="728" t="s">
        <v>295</v>
      </c>
      <c r="G363" s="644" t="str">
        <f>VLOOKUP(WWWW[[#This Row],[Village  Name]],SiteDB6[[Site Name]:[Location Type]],8,FALSE)</f>
        <v>Village</v>
      </c>
      <c r="H363" s="728" t="s">
        <v>3302</v>
      </c>
      <c r="I363" s="775">
        <v>545</v>
      </c>
      <c r="J363" s="775">
        <v>3007</v>
      </c>
      <c r="K363" s="784">
        <v>43922</v>
      </c>
      <c r="L363" s="785">
        <v>44073</v>
      </c>
      <c r="M363" s="775"/>
      <c r="N363" s="775"/>
      <c r="O363" s="773"/>
      <c r="P363" s="775"/>
      <c r="Q363" s="775"/>
      <c r="R363" s="775"/>
      <c r="S363" s="775"/>
      <c r="T363" s="775"/>
      <c r="U363" s="776"/>
      <c r="V363" s="775"/>
      <c r="W363" s="773" t="s">
        <v>130</v>
      </c>
      <c r="X363" s="775"/>
      <c r="Y363" s="775">
        <v>47</v>
      </c>
      <c r="Z363" s="775">
        <v>47</v>
      </c>
      <c r="AA363" s="775"/>
      <c r="AB363" s="775"/>
      <c r="AC363" s="776"/>
      <c r="AD363" s="775">
        <v>744</v>
      </c>
      <c r="AE363" s="775">
        <v>793</v>
      </c>
      <c r="AF363" s="775">
        <v>743</v>
      </c>
      <c r="AG363" s="775">
        <v>727</v>
      </c>
      <c r="AH363" s="775">
        <v>743</v>
      </c>
      <c r="AI363" s="775">
        <v>727</v>
      </c>
      <c r="AJ363" s="773"/>
      <c r="AK363" s="775"/>
      <c r="AL363" s="773">
        <v>545</v>
      </c>
      <c r="AM363" s="773"/>
      <c r="AN363" s="776"/>
      <c r="AO363" s="769">
        <v>0.1</v>
      </c>
      <c r="AP363" s="769">
        <v>1.3599999999999999E-2</v>
      </c>
      <c r="AQ363" s="773"/>
      <c r="AR363" s="773"/>
      <c r="AS363" s="773"/>
      <c r="AT363"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63" s="779">
        <f>WWWW[[#This Row],[%Equitable and continuous access to sufficient quantity of safe drinking water]]*WWWW[[#This Row],[Total PoP ]]</f>
        <v>0</v>
      </c>
      <c r="AV363"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3" s="779">
        <f>WWWW[[#This Row],[% Access to unimproved water points]]*WWWW[[#This Row],[Total PoP ]]</f>
        <v>0</v>
      </c>
      <c r="AX363"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63"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63" s="779">
        <f>WWWW[[#This Row],[HRP1]]/250</f>
        <v>0</v>
      </c>
      <c r="BA363" s="780">
        <f>1-WWWW[[#This Row],[% Equitable and continuous access to sufficient quantity of domestic water]]</f>
        <v>1</v>
      </c>
      <c r="BB363" s="779">
        <f>WWWW[[#This Row],[%equitable and continuous access to sufficient quantity of safe drinking and domestic water''s GAP]]*WWWW[[#This Row],[Total PoP ]]</f>
        <v>3007</v>
      </c>
      <c r="BC363" s="781">
        <f>IF(WWWW[[#This Row],[Total required water points]]-WWWW[[#This Row],['#Water points coverage]]&lt;0,0,WWWW[[#This Row],[Total required water points]]-WWWW[[#This Row],['#Water points coverage]])</f>
        <v>12</v>
      </c>
      <c r="BD363" s="781">
        <f>ROUND(IF(WWWW[[#This Row],[Total PoP ]]&lt;250,1,WWWW[[#This Row],[Total PoP ]]/250),0)</f>
        <v>12</v>
      </c>
      <c r="BE36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1.5630196208846026E-2</v>
      </c>
      <c r="BF363" s="779">
        <f>WWWW[[#This Row],[% people access to functioning Latrine]]*WWWW[[#This Row],[Total PoP ]]</f>
        <v>47</v>
      </c>
      <c r="BG363" s="781">
        <f>WWWW[[#This Row],['#_of_Functioning_latrines_in_school]]*50</f>
        <v>0</v>
      </c>
      <c r="BH363" s="781">
        <f>ROUND((WWWW[[#This Row],[Total PoP ]]/6),0)</f>
        <v>501</v>
      </c>
      <c r="BI363" s="781">
        <f>IF(WWWW[[#This Row],[Total required Latrines]]-(WWWW[[#This Row],['#_of_sanitary_fly-proof_HH_latrines]])&lt;0,0,WWWW[[#This Row],[Total required Latrines]]-(WWWW[[#This Row],['#_of_sanitary_fly-proof_HH_latrines]]))</f>
        <v>501</v>
      </c>
      <c r="BJ363" s="778">
        <f>1-WWWW[[#This Row],[% people access to functioning Latrine]]</f>
        <v>0.98436980379115402</v>
      </c>
      <c r="BK363"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3007</v>
      </c>
      <c r="BL363" s="772">
        <f>IF(WWWW[[#This Row],['#_of_functional_handwashing_facilities_at_HH_level]]*6&gt;WWWW[[#This Row],[Total PoP ]],WWWW[[#This Row],[Total PoP ]],WWWW[[#This Row],['#_of_functional_handwashing_facilities_at_HH_level]]*6)</f>
        <v>0</v>
      </c>
      <c r="BM363" s="781">
        <f>IF(WWWW[[#This Row],['# people reached by regular dedicated hygiene promotion]]&gt;WWWW[[#This Row],['# People received regular supply of hygiene items]],WWWW[[#This Row],['# people reached by regular dedicated hygiene promotion]],WWWW[[#This Row],['# People received regular supply of hygiene items]])</f>
        <v>3007</v>
      </c>
      <c r="BN363" s="780">
        <f>IF(WWWW[[#This Row],[HRP3]]/WWWW[[#This Row],[Total PoP ]]&gt;100%,100%,WWWW[[#This Row],[HRP3]]/WWWW[[#This Row],[Total PoP ]])</f>
        <v>1</v>
      </c>
      <c r="BO363" s="778">
        <f>1-WWWW[[#This Row],[Hygiene Coverage%]]</f>
        <v>0</v>
      </c>
      <c r="BP363" s="777">
        <f>WWWW[[#This Row],['# people reached by regular dedicated hygiene promotion]]/WWWW[[#This Row],[Total PoP ]]</f>
        <v>1</v>
      </c>
      <c r="BQ36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3007</v>
      </c>
      <c r="BR363" s="770">
        <f>WWWW[[#This Row],['#_of_affected_women_and_girls_receiving_a_sufficient_quantity_of_sanitary_pads]]</f>
        <v>0</v>
      </c>
      <c r="BS363" s="773">
        <f>IF(WWWW[[#This Row],['# People with access to soap]]&gt;WWWW[[#This Row],['# People with access to Sanity Pads]],WWWW[[#This Row],['# People with access to soap]],WWWW[[#This Row],['# People with access to Sanity Pads]])</f>
        <v>3007</v>
      </c>
      <c r="BT363" s="772" t="str">
        <f>IF(OR(WWWW[[#This Row],['#of students in school]]="",WWWW[[#This Row],['#of students in school]]=0),"No","Yes")</f>
        <v>No</v>
      </c>
      <c r="BU363" s="782" t="str">
        <f>VLOOKUP(WWWW[[#This Row],[Village  Name]],SiteDB6[[Site Name]:[Location Type 1]],9,FALSE)</f>
        <v>Village</v>
      </c>
      <c r="BV363" s="782" t="str">
        <f>VLOOKUP(WWWW[[#This Row],[Village  Name]],SiteDB6[[Site Name]:[Type of Accommodation]],10,FALSE)</f>
        <v>Village</v>
      </c>
      <c r="BW363" s="782">
        <f>VLOOKUP(WWWW[[#This Row],[Village  Name]],SiteDB6[[Site Name]:[Ethnic or GCA/NGCA]],11,FALSE)</f>
        <v>0</v>
      </c>
      <c r="BX363" s="782">
        <f>VLOOKUP(WWWW[[#This Row],[Village  Name]],SiteDB6[[Site Name]:[Lat]],12,FALSE)</f>
        <v>0</v>
      </c>
      <c r="BY363" s="782">
        <f>VLOOKUP(WWWW[[#This Row],[Village  Name]],SiteDB6[[Site Name]:[Long]],13,FALSE)</f>
        <v>0</v>
      </c>
      <c r="BZ363" s="782">
        <f>VLOOKUP(WWWW[[#This Row],[Village  Name]],SiteDB6[[Site Name]:[Pcode]],3,FALSE)</f>
        <v>0</v>
      </c>
      <c r="CA363" s="782" t="str">
        <f t="shared" si="22"/>
        <v>Covered</v>
      </c>
      <c r="CB363" s="783"/>
    </row>
    <row r="364" spans="1:80">
      <c r="A364" s="727" t="s">
        <v>3199</v>
      </c>
      <c r="B364" s="727" t="s">
        <v>3152</v>
      </c>
      <c r="C364" s="728" t="s">
        <v>3152</v>
      </c>
      <c r="D364" s="728" t="s">
        <v>3153</v>
      </c>
      <c r="E364" s="728" t="s">
        <v>2648</v>
      </c>
      <c r="F364" s="728" t="s">
        <v>295</v>
      </c>
      <c r="G364" s="644" t="str">
        <f>VLOOKUP(WWWW[[#This Row],[Village  Name]],SiteDB6[[Site Name]:[Location Type]],8,FALSE)</f>
        <v>Village</v>
      </c>
      <c r="H364" s="728" t="s">
        <v>3306</v>
      </c>
      <c r="I364" s="775">
        <v>241</v>
      </c>
      <c r="J364" s="775">
        <v>667</v>
      </c>
      <c r="K364" s="784">
        <v>43922</v>
      </c>
      <c r="L364" s="785">
        <v>44073</v>
      </c>
      <c r="M364" s="775"/>
      <c r="N364" s="775"/>
      <c r="O364" s="773"/>
      <c r="P364" s="775"/>
      <c r="Q364" s="775"/>
      <c r="R364" s="775"/>
      <c r="S364" s="775"/>
      <c r="T364" s="775"/>
      <c r="U364" s="776"/>
      <c r="V364" s="775"/>
      <c r="W364" s="773" t="s">
        <v>130</v>
      </c>
      <c r="X364" s="775"/>
      <c r="Y364" s="775">
        <v>7</v>
      </c>
      <c r="Z364" s="775">
        <v>7</v>
      </c>
      <c r="AA364" s="775"/>
      <c r="AB364" s="775"/>
      <c r="AC364" s="776"/>
      <c r="AD364" s="775">
        <v>188</v>
      </c>
      <c r="AE364" s="775">
        <v>304</v>
      </c>
      <c r="AF364" s="775">
        <v>117</v>
      </c>
      <c r="AG364" s="775">
        <v>81</v>
      </c>
      <c r="AH364" s="775">
        <v>117</v>
      </c>
      <c r="AI364" s="775">
        <v>81</v>
      </c>
      <c r="AJ364" s="773"/>
      <c r="AK364" s="775"/>
      <c r="AL364" s="773">
        <v>169</v>
      </c>
      <c r="AM364" s="773"/>
      <c r="AN364" s="776"/>
      <c r="AO364" s="769">
        <v>0.3</v>
      </c>
      <c r="AP364" s="769">
        <v>3.39E-2</v>
      </c>
      <c r="AQ364" s="773"/>
      <c r="AR364" s="773"/>
      <c r="AS364" s="773"/>
      <c r="AT364"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64" s="779">
        <f>WWWW[[#This Row],[%Equitable and continuous access to sufficient quantity of safe drinking water]]*WWWW[[#This Row],[Total PoP ]]</f>
        <v>0</v>
      </c>
      <c r="AV364"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4" s="779">
        <f>WWWW[[#This Row],[% Access to unimproved water points]]*WWWW[[#This Row],[Total PoP ]]</f>
        <v>0</v>
      </c>
      <c r="AX364"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64"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64" s="779">
        <f>WWWW[[#This Row],[HRP1]]/250</f>
        <v>0</v>
      </c>
      <c r="BA364" s="780">
        <f>1-WWWW[[#This Row],[% Equitable and continuous access to sufficient quantity of domestic water]]</f>
        <v>1</v>
      </c>
      <c r="BB364" s="779">
        <f>WWWW[[#This Row],[%equitable and continuous access to sufficient quantity of safe drinking and domestic water''s GAP]]*WWWW[[#This Row],[Total PoP ]]</f>
        <v>667</v>
      </c>
      <c r="BC364" s="781">
        <f>IF(WWWW[[#This Row],[Total required water points]]-WWWW[[#This Row],['#Water points coverage]]&lt;0,0,WWWW[[#This Row],[Total required water points]]-WWWW[[#This Row],['#Water points coverage]])</f>
        <v>3</v>
      </c>
      <c r="BD364" s="781">
        <f>ROUND(IF(WWWW[[#This Row],[Total PoP ]]&lt;250,1,WWWW[[#This Row],[Total PoP ]]/250),0)</f>
        <v>3</v>
      </c>
      <c r="BE36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1.0494752623688156E-2</v>
      </c>
      <c r="BF364" s="779">
        <f>WWWW[[#This Row],[% people access to functioning Latrine]]*WWWW[[#This Row],[Total PoP ]]</f>
        <v>7</v>
      </c>
      <c r="BG364" s="781">
        <f>WWWW[[#This Row],['#_of_Functioning_latrines_in_school]]*50</f>
        <v>0</v>
      </c>
      <c r="BH364" s="781">
        <f>ROUND((WWWW[[#This Row],[Total PoP ]]/6),0)</f>
        <v>111</v>
      </c>
      <c r="BI364" s="781">
        <f>IF(WWWW[[#This Row],[Total required Latrines]]-(WWWW[[#This Row],['#_of_sanitary_fly-proof_HH_latrines]])&lt;0,0,WWWW[[#This Row],[Total required Latrines]]-(WWWW[[#This Row],['#_of_sanitary_fly-proof_HH_latrines]]))</f>
        <v>111</v>
      </c>
      <c r="BJ364" s="778">
        <f>1-WWWW[[#This Row],[% people access to functioning Latrine]]</f>
        <v>0.98950524737631185</v>
      </c>
      <c r="BK364"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667</v>
      </c>
      <c r="BL364" s="772">
        <f>IF(WWWW[[#This Row],['#_of_functional_handwashing_facilities_at_HH_level]]*6&gt;WWWW[[#This Row],[Total PoP ]],WWWW[[#This Row],[Total PoP ]],WWWW[[#This Row],['#_of_functional_handwashing_facilities_at_HH_level]]*6)</f>
        <v>0</v>
      </c>
      <c r="BM364" s="781">
        <f>IF(WWWW[[#This Row],['# people reached by regular dedicated hygiene promotion]]&gt;WWWW[[#This Row],['# People received regular supply of hygiene items]],WWWW[[#This Row],['# people reached by regular dedicated hygiene promotion]],WWWW[[#This Row],['# People received regular supply of hygiene items]])</f>
        <v>667</v>
      </c>
      <c r="BN364" s="780">
        <f>IF(WWWW[[#This Row],[HRP3]]/WWWW[[#This Row],[Total PoP ]]&gt;100%,100%,WWWW[[#This Row],[HRP3]]/WWWW[[#This Row],[Total PoP ]])</f>
        <v>1</v>
      </c>
      <c r="BO364" s="778">
        <f>1-WWWW[[#This Row],[Hygiene Coverage%]]</f>
        <v>0</v>
      </c>
      <c r="BP364" s="777">
        <f>WWWW[[#This Row],['# people reached by regular dedicated hygiene promotion]]/WWWW[[#This Row],[Total PoP ]]</f>
        <v>1</v>
      </c>
      <c r="BQ36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667</v>
      </c>
      <c r="BR364" s="770">
        <f>WWWW[[#This Row],['#_of_affected_women_and_girls_receiving_a_sufficient_quantity_of_sanitary_pads]]</f>
        <v>0</v>
      </c>
      <c r="BS364" s="773">
        <f>IF(WWWW[[#This Row],['# People with access to soap]]&gt;WWWW[[#This Row],['# People with access to Sanity Pads]],WWWW[[#This Row],['# People with access to soap]],WWWW[[#This Row],['# People with access to Sanity Pads]])</f>
        <v>667</v>
      </c>
      <c r="BT364" s="772" t="str">
        <f>IF(OR(WWWW[[#This Row],['#of students in school]]="",WWWW[[#This Row],['#of students in school]]=0),"No","Yes")</f>
        <v>No</v>
      </c>
      <c r="BU364" s="782" t="str">
        <f>VLOOKUP(WWWW[[#This Row],[Village  Name]],SiteDB6[[Site Name]:[Location Type 1]],9,FALSE)</f>
        <v>Village</v>
      </c>
      <c r="BV364" s="782" t="str">
        <f>VLOOKUP(WWWW[[#This Row],[Village  Name]],SiteDB6[[Site Name]:[Type of Accommodation]],10,FALSE)</f>
        <v>Village</v>
      </c>
      <c r="BW364" s="782">
        <f>VLOOKUP(WWWW[[#This Row],[Village  Name]],SiteDB6[[Site Name]:[Ethnic or GCA/NGCA]],11,FALSE)</f>
        <v>0</v>
      </c>
      <c r="BX364" s="782">
        <f>VLOOKUP(WWWW[[#This Row],[Village  Name]],SiteDB6[[Site Name]:[Lat]],12,FALSE)</f>
        <v>20.176319122314499</v>
      </c>
      <c r="BY364" s="782">
        <f>VLOOKUP(WWWW[[#This Row],[Village  Name]],SiteDB6[[Site Name]:[Long]],13,FALSE)</f>
        <v>92.875183105468807</v>
      </c>
      <c r="BZ364" s="782">
        <f>VLOOKUP(WWWW[[#This Row],[Village  Name]],SiteDB6[[Site Name]:[Pcode]],3,FALSE)</f>
        <v>196196</v>
      </c>
      <c r="CA364" s="782" t="str">
        <f t="shared" si="22"/>
        <v>Covered</v>
      </c>
      <c r="CB364" s="783"/>
    </row>
    <row r="365" spans="1:80">
      <c r="A365" s="727" t="s">
        <v>3199</v>
      </c>
      <c r="B365" s="727" t="s">
        <v>3152</v>
      </c>
      <c r="C365" s="728" t="s">
        <v>3152</v>
      </c>
      <c r="D365" s="728" t="s">
        <v>3153</v>
      </c>
      <c r="E365" s="728" t="s">
        <v>2648</v>
      </c>
      <c r="F365" s="728" t="s">
        <v>295</v>
      </c>
      <c r="G365" s="644" t="str">
        <f>VLOOKUP(WWWW[[#This Row],[Village  Name]],SiteDB6[[Site Name]:[Location Type]],8,FALSE)</f>
        <v>Village</v>
      </c>
      <c r="H365" s="728" t="s">
        <v>2688</v>
      </c>
      <c r="I365" s="775">
        <v>118</v>
      </c>
      <c r="J365" s="775">
        <v>432</v>
      </c>
      <c r="K365" s="784">
        <v>43922</v>
      </c>
      <c r="L365" s="785">
        <v>44073</v>
      </c>
      <c r="M365" s="775"/>
      <c r="N365" s="775"/>
      <c r="O365" s="773"/>
      <c r="P365" s="775"/>
      <c r="Q365" s="775"/>
      <c r="R365" s="775"/>
      <c r="S365" s="775"/>
      <c r="T365" s="775"/>
      <c r="U365" s="776"/>
      <c r="V365" s="775"/>
      <c r="W365" s="773" t="s">
        <v>130</v>
      </c>
      <c r="X365" s="775"/>
      <c r="Y365" s="775">
        <v>7</v>
      </c>
      <c r="Z365" s="775">
        <v>7</v>
      </c>
      <c r="AA365" s="775"/>
      <c r="AB365" s="775"/>
      <c r="AC365" s="776"/>
      <c r="AD365" s="775">
        <v>144</v>
      </c>
      <c r="AE365" s="775">
        <v>157</v>
      </c>
      <c r="AF365" s="775">
        <v>60</v>
      </c>
      <c r="AG365" s="775">
        <v>61</v>
      </c>
      <c r="AH365" s="775">
        <v>60</v>
      </c>
      <c r="AI365" s="775">
        <v>61</v>
      </c>
      <c r="AJ365" s="773"/>
      <c r="AK365" s="775"/>
      <c r="AL365" s="773">
        <v>118</v>
      </c>
      <c r="AM365" s="773"/>
      <c r="AN365" s="776"/>
      <c r="AO365" s="769">
        <v>0.5</v>
      </c>
      <c r="AP365" s="769">
        <v>6.1600000000000002E-2</v>
      </c>
      <c r="AQ365" s="773"/>
      <c r="AR365" s="773"/>
      <c r="AS365" s="773"/>
      <c r="AT365"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65" s="779">
        <f>WWWW[[#This Row],[%Equitable and continuous access to sufficient quantity of safe drinking water]]*WWWW[[#This Row],[Total PoP ]]</f>
        <v>0</v>
      </c>
      <c r="AV365"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5" s="779">
        <f>WWWW[[#This Row],[% Access to unimproved water points]]*WWWW[[#This Row],[Total PoP ]]</f>
        <v>0</v>
      </c>
      <c r="AX365"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65"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65" s="779">
        <f>WWWW[[#This Row],[HRP1]]/250</f>
        <v>0</v>
      </c>
      <c r="BA365" s="780">
        <f>1-WWWW[[#This Row],[% Equitable and continuous access to sufficient quantity of domestic water]]</f>
        <v>1</v>
      </c>
      <c r="BB365" s="779">
        <f>WWWW[[#This Row],[%equitable and continuous access to sufficient quantity of safe drinking and domestic water''s GAP]]*WWWW[[#This Row],[Total PoP ]]</f>
        <v>432</v>
      </c>
      <c r="BC365" s="781">
        <f>IF(WWWW[[#This Row],[Total required water points]]-WWWW[[#This Row],['#Water points coverage]]&lt;0,0,WWWW[[#This Row],[Total required water points]]-WWWW[[#This Row],['#Water points coverage]])</f>
        <v>2</v>
      </c>
      <c r="BD365" s="781">
        <f>ROUND(IF(WWWW[[#This Row],[Total PoP ]]&lt;250,1,WWWW[[#This Row],[Total PoP ]]/250),0)</f>
        <v>2</v>
      </c>
      <c r="BE36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1.6203703703703703E-2</v>
      </c>
      <c r="BF365" s="779">
        <f>WWWW[[#This Row],[% people access to functioning Latrine]]*WWWW[[#This Row],[Total PoP ]]</f>
        <v>7</v>
      </c>
      <c r="BG365" s="781">
        <f>WWWW[[#This Row],['#_of_Functioning_latrines_in_school]]*50</f>
        <v>0</v>
      </c>
      <c r="BH365" s="781">
        <f>ROUND((WWWW[[#This Row],[Total PoP ]]/6),0)</f>
        <v>72</v>
      </c>
      <c r="BI365" s="781">
        <f>IF(WWWW[[#This Row],[Total required Latrines]]-(WWWW[[#This Row],['#_of_sanitary_fly-proof_HH_latrines]])&lt;0,0,WWWW[[#This Row],[Total required Latrines]]-(WWWW[[#This Row],['#_of_sanitary_fly-proof_HH_latrines]]))</f>
        <v>72</v>
      </c>
      <c r="BJ365" s="778">
        <f>1-WWWW[[#This Row],[% people access to functioning Latrine]]</f>
        <v>0.98379629629629628</v>
      </c>
      <c r="BK365"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432</v>
      </c>
      <c r="BL365" s="772">
        <f>IF(WWWW[[#This Row],['#_of_functional_handwashing_facilities_at_HH_level]]*6&gt;WWWW[[#This Row],[Total PoP ]],WWWW[[#This Row],[Total PoP ]],WWWW[[#This Row],['#_of_functional_handwashing_facilities_at_HH_level]]*6)</f>
        <v>0</v>
      </c>
      <c r="BM365" s="781">
        <f>IF(WWWW[[#This Row],['# people reached by regular dedicated hygiene promotion]]&gt;WWWW[[#This Row],['# People received regular supply of hygiene items]],WWWW[[#This Row],['# people reached by regular dedicated hygiene promotion]],WWWW[[#This Row],['# People received regular supply of hygiene items]])</f>
        <v>432</v>
      </c>
      <c r="BN365" s="780">
        <f>IF(WWWW[[#This Row],[HRP3]]/WWWW[[#This Row],[Total PoP ]]&gt;100%,100%,WWWW[[#This Row],[HRP3]]/WWWW[[#This Row],[Total PoP ]])</f>
        <v>1</v>
      </c>
      <c r="BO365" s="778">
        <f>1-WWWW[[#This Row],[Hygiene Coverage%]]</f>
        <v>0</v>
      </c>
      <c r="BP365" s="777">
        <f>WWWW[[#This Row],['# people reached by regular dedicated hygiene promotion]]/WWWW[[#This Row],[Total PoP ]]</f>
        <v>1</v>
      </c>
      <c r="BQ36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432</v>
      </c>
      <c r="BR365" s="770">
        <f>WWWW[[#This Row],['#_of_affected_women_and_girls_receiving_a_sufficient_quantity_of_sanitary_pads]]</f>
        <v>0</v>
      </c>
      <c r="BS365" s="773">
        <f>IF(WWWW[[#This Row],['# People with access to soap]]&gt;WWWW[[#This Row],['# People with access to Sanity Pads]],WWWW[[#This Row],['# People with access to soap]],WWWW[[#This Row],['# People with access to Sanity Pads]])</f>
        <v>432</v>
      </c>
      <c r="BT365" s="772" t="str">
        <f>IF(OR(WWWW[[#This Row],['#of students in school]]="",WWWW[[#This Row],['#of students in school]]=0),"No","Yes")</f>
        <v>No</v>
      </c>
      <c r="BU365" s="782" t="str">
        <f>VLOOKUP(WWWW[[#This Row],[Village  Name]],SiteDB6[[Site Name]:[Location Type 1]],9,FALSE)</f>
        <v>Village</v>
      </c>
      <c r="BV365" s="782" t="str">
        <f>VLOOKUP(WWWW[[#This Row],[Village  Name]],SiteDB6[[Site Name]:[Type of Accommodation]],10,FALSE)</f>
        <v>Village</v>
      </c>
      <c r="BW365" s="782" t="str">
        <f>VLOOKUP(WWWW[[#This Row],[Village  Name]],SiteDB6[[Site Name]:[Ethnic or GCA/NGCA]],11,FALSE)</f>
        <v>Rakhine</v>
      </c>
      <c r="BX365" s="782">
        <f>VLOOKUP(WWWW[[#This Row],[Village  Name]],SiteDB6[[Site Name]:[Lat]],12,FALSE)</f>
        <v>21.153581620000001</v>
      </c>
      <c r="BY365" s="782">
        <f>VLOOKUP(WWWW[[#This Row],[Village  Name]],SiteDB6[[Site Name]:[Long]],13,FALSE)</f>
        <v>92.250885010000005</v>
      </c>
      <c r="BZ365" s="782">
        <f>VLOOKUP(WWWW[[#This Row],[Village  Name]],SiteDB6[[Site Name]:[Pcode]],3,FALSE)</f>
        <v>220747</v>
      </c>
      <c r="CA365" s="782" t="str">
        <f t="shared" si="22"/>
        <v>Covered</v>
      </c>
      <c r="CB365" s="783"/>
    </row>
    <row r="366" spans="1:80">
      <c r="A366" s="727" t="s">
        <v>3199</v>
      </c>
      <c r="B366" s="727" t="s">
        <v>3152</v>
      </c>
      <c r="C366" s="728" t="s">
        <v>3152</v>
      </c>
      <c r="D366" s="728" t="s">
        <v>3153</v>
      </c>
      <c r="E366" s="728" t="s">
        <v>2648</v>
      </c>
      <c r="F366" s="728" t="s">
        <v>295</v>
      </c>
      <c r="G366" s="644" t="str">
        <f>VLOOKUP(WWWW[[#This Row],[Village  Name]],SiteDB6[[Site Name]:[Location Type]],8,FALSE)</f>
        <v>village</v>
      </c>
      <c r="H366" s="728" t="s">
        <v>874</v>
      </c>
      <c r="I366" s="775">
        <v>354</v>
      </c>
      <c r="J366" s="775">
        <v>1546</v>
      </c>
      <c r="K366" s="784">
        <v>43922</v>
      </c>
      <c r="L366" s="785">
        <v>44073</v>
      </c>
      <c r="M366" s="775"/>
      <c r="N366" s="775"/>
      <c r="O366" s="773"/>
      <c r="P366" s="775"/>
      <c r="Q366" s="775"/>
      <c r="R366" s="775"/>
      <c r="S366" s="775"/>
      <c r="T366" s="775"/>
      <c r="U366" s="776"/>
      <c r="V366" s="775"/>
      <c r="W366" s="773" t="s">
        <v>130</v>
      </c>
      <c r="X366" s="775"/>
      <c r="Y366" s="775">
        <v>15</v>
      </c>
      <c r="Z366" s="775">
        <v>15</v>
      </c>
      <c r="AA366" s="775"/>
      <c r="AB366" s="775"/>
      <c r="AC366" s="776"/>
      <c r="AD366" s="775">
        <v>557</v>
      </c>
      <c r="AE366" s="775">
        <v>501</v>
      </c>
      <c r="AF366" s="775">
        <v>225</v>
      </c>
      <c r="AG366" s="775">
        <v>248</v>
      </c>
      <c r="AH366" s="775">
        <v>225</v>
      </c>
      <c r="AI366" s="775">
        <v>248</v>
      </c>
      <c r="AJ366" s="773"/>
      <c r="AK366" s="775"/>
      <c r="AL366" s="773">
        <v>354</v>
      </c>
      <c r="AM366" s="773"/>
      <c r="AN366" s="776"/>
      <c r="AO366" s="769">
        <v>0.2</v>
      </c>
      <c r="AP366" s="769">
        <v>1.03E-2</v>
      </c>
      <c r="AQ366" s="773"/>
      <c r="AR366" s="773"/>
      <c r="AS366" s="773"/>
      <c r="AT366"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66" s="779">
        <f>WWWW[[#This Row],[%Equitable and continuous access to sufficient quantity of safe drinking water]]*WWWW[[#This Row],[Total PoP ]]</f>
        <v>0</v>
      </c>
      <c r="AV366"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6" s="779">
        <f>WWWW[[#This Row],[% Access to unimproved water points]]*WWWW[[#This Row],[Total PoP ]]</f>
        <v>0</v>
      </c>
      <c r="AX366"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66"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66" s="779">
        <f>WWWW[[#This Row],[HRP1]]/250</f>
        <v>0</v>
      </c>
      <c r="BA366" s="780">
        <f>1-WWWW[[#This Row],[% Equitable and continuous access to sufficient quantity of domestic water]]</f>
        <v>1</v>
      </c>
      <c r="BB366" s="779">
        <f>WWWW[[#This Row],[%equitable and continuous access to sufficient quantity of safe drinking and domestic water''s GAP]]*WWWW[[#This Row],[Total PoP ]]</f>
        <v>1546</v>
      </c>
      <c r="BC366" s="781">
        <f>IF(WWWW[[#This Row],[Total required water points]]-WWWW[[#This Row],['#Water points coverage]]&lt;0,0,WWWW[[#This Row],[Total required water points]]-WWWW[[#This Row],['#Water points coverage]])</f>
        <v>6</v>
      </c>
      <c r="BD366" s="781">
        <f>ROUND(IF(WWWW[[#This Row],[Total PoP ]]&lt;250,1,WWWW[[#This Row],[Total PoP ]]/250),0)</f>
        <v>6</v>
      </c>
      <c r="BE36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9.7024579560155231E-3</v>
      </c>
      <c r="BF366" s="779">
        <f>WWWW[[#This Row],[% people access to functioning Latrine]]*WWWW[[#This Row],[Total PoP ]]</f>
        <v>14.999999999999998</v>
      </c>
      <c r="BG366" s="781">
        <f>WWWW[[#This Row],['#_of_Functioning_latrines_in_school]]*50</f>
        <v>0</v>
      </c>
      <c r="BH366" s="781">
        <f>ROUND((WWWW[[#This Row],[Total PoP ]]/6),0)</f>
        <v>258</v>
      </c>
      <c r="BI366" s="781">
        <f>IF(WWWW[[#This Row],[Total required Latrines]]-(WWWW[[#This Row],['#_of_sanitary_fly-proof_HH_latrines]])&lt;0,0,WWWW[[#This Row],[Total required Latrines]]-(WWWW[[#This Row],['#_of_sanitary_fly-proof_HH_latrines]]))</f>
        <v>258</v>
      </c>
      <c r="BJ366" s="778">
        <f>1-WWWW[[#This Row],[% people access to functioning Latrine]]</f>
        <v>0.99029754204398446</v>
      </c>
      <c r="BK366"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1546</v>
      </c>
      <c r="BL366" s="772">
        <f>IF(WWWW[[#This Row],['#_of_functional_handwashing_facilities_at_HH_level]]*6&gt;WWWW[[#This Row],[Total PoP ]],WWWW[[#This Row],[Total PoP ]],WWWW[[#This Row],['#_of_functional_handwashing_facilities_at_HH_level]]*6)</f>
        <v>0</v>
      </c>
      <c r="BM366" s="781">
        <f>IF(WWWW[[#This Row],['# people reached by regular dedicated hygiene promotion]]&gt;WWWW[[#This Row],['# People received regular supply of hygiene items]],WWWW[[#This Row],['# people reached by regular dedicated hygiene promotion]],WWWW[[#This Row],['# People received regular supply of hygiene items]])</f>
        <v>1546</v>
      </c>
      <c r="BN366" s="780">
        <f>IF(WWWW[[#This Row],[HRP3]]/WWWW[[#This Row],[Total PoP ]]&gt;100%,100%,WWWW[[#This Row],[HRP3]]/WWWW[[#This Row],[Total PoP ]])</f>
        <v>1</v>
      </c>
      <c r="BO366" s="778">
        <f>1-WWWW[[#This Row],[Hygiene Coverage%]]</f>
        <v>0</v>
      </c>
      <c r="BP366" s="777">
        <f>WWWW[[#This Row],['# people reached by regular dedicated hygiene promotion]]/WWWW[[#This Row],[Total PoP ]]</f>
        <v>1</v>
      </c>
      <c r="BQ36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1546</v>
      </c>
      <c r="BR366" s="770">
        <f>WWWW[[#This Row],['#_of_affected_women_and_girls_receiving_a_sufficient_quantity_of_sanitary_pads]]</f>
        <v>0</v>
      </c>
      <c r="BS366" s="773">
        <f>IF(WWWW[[#This Row],['# People with access to soap]]&gt;WWWW[[#This Row],['# People with access to Sanity Pads]],WWWW[[#This Row],['# People with access to soap]],WWWW[[#This Row],['# People with access to Sanity Pads]])</f>
        <v>1546</v>
      </c>
      <c r="BT366" s="772" t="str">
        <f>IF(OR(WWWW[[#This Row],['#of students in school]]="",WWWW[[#This Row],['#of students in school]]=0),"No","Yes")</f>
        <v>No</v>
      </c>
      <c r="BU366" s="782" t="str">
        <f>VLOOKUP(WWWW[[#This Row],[Village  Name]],SiteDB6[[Site Name]:[Location Type 1]],9,FALSE)</f>
        <v>Village</v>
      </c>
      <c r="BV366" s="782" t="str">
        <f>VLOOKUP(WWWW[[#This Row],[Village  Name]],SiteDB6[[Site Name]:[Type of Accommodation]],10,FALSE)</f>
        <v>village</v>
      </c>
      <c r="BW366" s="782" t="str">
        <f>VLOOKUP(WWWW[[#This Row],[Village  Name]],SiteDB6[[Site Name]:[Ethnic or GCA/NGCA]],11,FALSE)</f>
        <v>Rakhine</v>
      </c>
      <c r="BX366" s="782">
        <f>VLOOKUP(WWWW[[#This Row],[Village  Name]],SiteDB6[[Site Name]:[Lat]],12,FALSE)</f>
        <v>20.226730346679702</v>
      </c>
      <c r="BY366" s="782">
        <f>VLOOKUP(WWWW[[#This Row],[Village  Name]],SiteDB6[[Site Name]:[Long]],13,FALSE)</f>
        <v>92.836929321289105</v>
      </c>
      <c r="BZ366" s="782">
        <f>VLOOKUP(WWWW[[#This Row],[Village  Name]],SiteDB6[[Site Name]:[Pcode]],3,FALSE)</f>
        <v>196129</v>
      </c>
      <c r="CA366" s="782" t="str">
        <f t="shared" si="22"/>
        <v>Covered</v>
      </c>
      <c r="CB366" s="783"/>
    </row>
    <row r="367" spans="1:80">
      <c r="A367" s="727" t="s">
        <v>3199</v>
      </c>
      <c r="B367" s="727" t="s">
        <v>3152</v>
      </c>
      <c r="C367" s="728" t="s">
        <v>3152</v>
      </c>
      <c r="D367" s="728" t="s">
        <v>3297</v>
      </c>
      <c r="E367" s="728" t="s">
        <v>2648</v>
      </c>
      <c r="F367" s="728" t="s">
        <v>295</v>
      </c>
      <c r="G367" s="644" t="str">
        <f>VLOOKUP(WWWW[[#This Row],[Village  Name]],SiteDB6[[Site Name]:[Location Type]],8,FALSE)</f>
        <v>Village</v>
      </c>
      <c r="H367" s="728" t="s">
        <v>2226</v>
      </c>
      <c r="I367" s="775">
        <v>410</v>
      </c>
      <c r="J367" s="775">
        <v>1421</v>
      </c>
      <c r="K367" s="784">
        <v>43952</v>
      </c>
      <c r="L367" s="785">
        <v>44073</v>
      </c>
      <c r="M367" s="775"/>
      <c r="N367" s="775"/>
      <c r="O367" s="773"/>
      <c r="P367" s="775"/>
      <c r="Q367" s="775"/>
      <c r="R367" s="775"/>
      <c r="S367" s="775"/>
      <c r="T367" s="775"/>
      <c r="U367" s="776"/>
      <c r="V367" s="775"/>
      <c r="W367" s="773" t="s">
        <v>130</v>
      </c>
      <c r="X367" s="775"/>
      <c r="Y367" s="775">
        <v>30</v>
      </c>
      <c r="Z367" s="775">
        <v>30</v>
      </c>
      <c r="AA367" s="775"/>
      <c r="AB367" s="775"/>
      <c r="AC367" s="776"/>
      <c r="AD367" s="775">
        <v>401</v>
      </c>
      <c r="AE367" s="775">
        <v>465</v>
      </c>
      <c r="AF367" s="775">
        <v>265</v>
      </c>
      <c r="AG367" s="775">
        <v>290</v>
      </c>
      <c r="AH367" s="775">
        <v>265</v>
      </c>
      <c r="AI367" s="775">
        <v>290</v>
      </c>
      <c r="AJ367" s="773"/>
      <c r="AK367" s="775"/>
      <c r="AL367" s="773">
        <v>410</v>
      </c>
      <c r="AM367" s="773"/>
      <c r="AN367" s="776"/>
      <c r="AO367" s="769"/>
      <c r="AP367" s="769"/>
      <c r="AQ367" s="773"/>
      <c r="AR367" s="773"/>
      <c r="AS367" s="773"/>
      <c r="AT367"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67" s="779">
        <f>WWWW[[#This Row],[%Equitable and continuous access to sufficient quantity of safe drinking water]]*WWWW[[#This Row],[Total PoP ]]</f>
        <v>0</v>
      </c>
      <c r="AV367"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7" s="779">
        <f>WWWW[[#This Row],[% Access to unimproved water points]]*WWWW[[#This Row],[Total PoP ]]</f>
        <v>0</v>
      </c>
      <c r="AX367"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67"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67" s="779">
        <f>WWWW[[#This Row],[HRP1]]/250</f>
        <v>0</v>
      </c>
      <c r="BA367" s="780">
        <f>1-WWWW[[#This Row],[% Equitable and continuous access to sufficient quantity of domestic water]]</f>
        <v>1</v>
      </c>
      <c r="BB367" s="779">
        <f>WWWW[[#This Row],[%equitable and continuous access to sufficient quantity of safe drinking and domestic water''s GAP]]*WWWW[[#This Row],[Total PoP ]]</f>
        <v>1421</v>
      </c>
      <c r="BC367" s="781">
        <f>IF(WWWW[[#This Row],[Total required water points]]-WWWW[[#This Row],['#Water points coverage]]&lt;0,0,WWWW[[#This Row],[Total required water points]]-WWWW[[#This Row],['#Water points coverage]])</f>
        <v>6</v>
      </c>
      <c r="BD367" s="781">
        <f>ROUND(IF(WWWW[[#This Row],[Total PoP ]]&lt;250,1,WWWW[[#This Row],[Total PoP ]]/250),0)</f>
        <v>6</v>
      </c>
      <c r="BE36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2.1111893033075299E-2</v>
      </c>
      <c r="BF367" s="779">
        <f>WWWW[[#This Row],[% people access to functioning Latrine]]*WWWW[[#This Row],[Total PoP ]]</f>
        <v>30</v>
      </c>
      <c r="BG367" s="781">
        <f>WWWW[[#This Row],['#_of_Functioning_latrines_in_school]]*50</f>
        <v>0</v>
      </c>
      <c r="BH367" s="781">
        <f>ROUND((WWWW[[#This Row],[Total PoP ]]/6),0)</f>
        <v>237</v>
      </c>
      <c r="BI367" s="781">
        <f>IF(WWWW[[#This Row],[Total required Latrines]]-(WWWW[[#This Row],['#_of_sanitary_fly-proof_HH_latrines]])&lt;0,0,WWWW[[#This Row],[Total required Latrines]]-(WWWW[[#This Row],['#_of_sanitary_fly-proof_HH_latrines]]))</f>
        <v>237</v>
      </c>
      <c r="BJ367" s="778">
        <f>1-WWWW[[#This Row],[% people access to functioning Latrine]]</f>
        <v>0.97888810696692474</v>
      </c>
      <c r="BK367"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1421</v>
      </c>
      <c r="BL367" s="772">
        <f>IF(WWWW[[#This Row],['#_of_functional_handwashing_facilities_at_HH_level]]*6&gt;WWWW[[#This Row],[Total PoP ]],WWWW[[#This Row],[Total PoP ]],WWWW[[#This Row],['#_of_functional_handwashing_facilities_at_HH_level]]*6)</f>
        <v>0</v>
      </c>
      <c r="BM367" s="781">
        <f>IF(WWWW[[#This Row],['# people reached by regular dedicated hygiene promotion]]&gt;WWWW[[#This Row],['# People received regular supply of hygiene items]],WWWW[[#This Row],['# people reached by regular dedicated hygiene promotion]],WWWW[[#This Row],['# People received regular supply of hygiene items]])</f>
        <v>1421</v>
      </c>
      <c r="BN367" s="780">
        <f>IF(WWWW[[#This Row],[HRP3]]/WWWW[[#This Row],[Total PoP ]]&gt;100%,100%,WWWW[[#This Row],[HRP3]]/WWWW[[#This Row],[Total PoP ]])</f>
        <v>1</v>
      </c>
      <c r="BO367" s="778">
        <f>1-WWWW[[#This Row],[Hygiene Coverage%]]</f>
        <v>0</v>
      </c>
      <c r="BP367" s="777">
        <f>WWWW[[#This Row],['# people reached by regular dedicated hygiene promotion]]/WWWW[[#This Row],[Total PoP ]]</f>
        <v>1</v>
      </c>
      <c r="BQ36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1421</v>
      </c>
      <c r="BR367" s="770">
        <f>WWWW[[#This Row],['#_of_affected_women_and_girls_receiving_a_sufficient_quantity_of_sanitary_pads]]</f>
        <v>0</v>
      </c>
      <c r="BS367" s="773">
        <f>IF(WWWW[[#This Row],['# People with access to soap]]&gt;WWWW[[#This Row],['# People with access to Sanity Pads]],WWWW[[#This Row],['# People with access to soap]],WWWW[[#This Row],['# People with access to Sanity Pads]])</f>
        <v>1421</v>
      </c>
      <c r="BT367" s="772" t="str">
        <f>IF(OR(WWWW[[#This Row],['#of students in school]]="",WWWW[[#This Row],['#of students in school]]=0),"No","Yes")</f>
        <v>No</v>
      </c>
      <c r="BU367" s="782" t="str">
        <f>VLOOKUP(WWWW[[#This Row],[Village  Name]],SiteDB6[[Site Name]:[Location Type 1]],9,FALSE)</f>
        <v>Village</v>
      </c>
      <c r="BV367" s="782" t="str">
        <f>VLOOKUP(WWWW[[#This Row],[Village  Name]],SiteDB6[[Site Name]:[Type of Accommodation]],10,FALSE)</f>
        <v>Village</v>
      </c>
      <c r="BW367" s="782">
        <f>VLOOKUP(WWWW[[#This Row],[Village  Name]],SiteDB6[[Site Name]:[Ethnic or GCA/NGCA]],11,FALSE)</f>
        <v>0</v>
      </c>
      <c r="BX367" s="782">
        <f>VLOOKUP(WWWW[[#This Row],[Village  Name]],SiteDB6[[Site Name]:[Lat]],12,FALSE)</f>
        <v>20.760820389999999</v>
      </c>
      <c r="BY367" s="782">
        <f>VLOOKUP(WWWW[[#This Row],[Village  Name]],SiteDB6[[Site Name]:[Long]],13,FALSE)</f>
        <v>92.960083010000005</v>
      </c>
      <c r="BZ367" s="782">
        <f>VLOOKUP(WWWW[[#This Row],[Village  Name]],SiteDB6[[Site Name]:[Pcode]],3,FALSE)</f>
        <v>196893</v>
      </c>
      <c r="CA367" s="782" t="str">
        <f t="shared" si="22"/>
        <v>Covered</v>
      </c>
      <c r="CB367" s="783"/>
    </row>
    <row r="368" spans="1:80">
      <c r="A368" s="727" t="s">
        <v>3199</v>
      </c>
      <c r="B368" s="727" t="s">
        <v>3152</v>
      </c>
      <c r="C368" s="728" t="s">
        <v>3152</v>
      </c>
      <c r="D368" s="728" t="s">
        <v>3153</v>
      </c>
      <c r="E368" s="728" t="s">
        <v>2648</v>
      </c>
      <c r="F368" s="728" t="s">
        <v>295</v>
      </c>
      <c r="G368" s="644" t="str">
        <f>VLOOKUP(WWWW[[#This Row],[Village  Name]],SiteDB6[[Site Name]:[Location Type]],8,FALSE)</f>
        <v>Village</v>
      </c>
      <c r="H368" s="728" t="s">
        <v>2005</v>
      </c>
      <c r="I368" s="775">
        <v>310</v>
      </c>
      <c r="J368" s="775">
        <v>1490</v>
      </c>
      <c r="K368" s="784">
        <v>43922</v>
      </c>
      <c r="L368" s="785">
        <v>44073</v>
      </c>
      <c r="M368" s="775"/>
      <c r="N368" s="775"/>
      <c r="O368" s="773"/>
      <c r="P368" s="775"/>
      <c r="Q368" s="775"/>
      <c r="R368" s="775"/>
      <c r="S368" s="775"/>
      <c r="T368" s="775"/>
      <c r="U368" s="776"/>
      <c r="V368" s="775"/>
      <c r="W368" s="773" t="s">
        <v>130</v>
      </c>
      <c r="X368" s="775"/>
      <c r="Y368" s="775">
        <v>20</v>
      </c>
      <c r="Z368" s="775">
        <v>20</v>
      </c>
      <c r="AA368" s="775"/>
      <c r="AB368" s="775"/>
      <c r="AC368" s="776"/>
      <c r="AD368" s="775">
        <v>487</v>
      </c>
      <c r="AE368" s="775">
        <v>541</v>
      </c>
      <c r="AF368" s="775">
        <v>265</v>
      </c>
      <c r="AG368" s="775">
        <v>215</v>
      </c>
      <c r="AH368" s="775">
        <v>265</v>
      </c>
      <c r="AI368" s="775">
        <v>215</v>
      </c>
      <c r="AJ368" s="773"/>
      <c r="AK368" s="775"/>
      <c r="AL368" s="773">
        <v>310</v>
      </c>
      <c r="AM368" s="773"/>
      <c r="AN368" s="776"/>
      <c r="AO368" s="769">
        <v>0.2</v>
      </c>
      <c r="AP368" s="769">
        <v>3.15E-2</v>
      </c>
      <c r="AQ368" s="773"/>
      <c r="AR368" s="773"/>
      <c r="AS368" s="773"/>
      <c r="AT368" s="778">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68" s="779">
        <f>WWWW[[#This Row],[%Equitable and continuous access to sufficient quantity of safe drinking water]]*WWWW[[#This Row],[Total PoP ]]</f>
        <v>0</v>
      </c>
      <c r="AV368" s="778">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8" s="779">
        <f>WWWW[[#This Row],[% Access to unimproved water points]]*WWWW[[#This Row],[Total PoP ]]</f>
        <v>0</v>
      </c>
      <c r="AX368" s="777">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68" s="779">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68" s="779">
        <f>WWWW[[#This Row],[HRP1]]/250</f>
        <v>0</v>
      </c>
      <c r="BA368" s="780">
        <f>1-WWWW[[#This Row],[% Equitable and continuous access to sufficient quantity of domestic water]]</f>
        <v>1</v>
      </c>
      <c r="BB368" s="779">
        <f>WWWW[[#This Row],[%equitable and continuous access to sufficient quantity of safe drinking and domestic water''s GAP]]*WWWW[[#This Row],[Total PoP ]]</f>
        <v>1490</v>
      </c>
      <c r="BC368" s="781">
        <f>IF(WWWW[[#This Row],[Total required water points]]-WWWW[[#This Row],['#Water points coverage]]&lt;0,0,WWWW[[#This Row],[Total required water points]]-WWWW[[#This Row],['#Water points coverage]])</f>
        <v>6</v>
      </c>
      <c r="BD368" s="781">
        <f>ROUND(IF(WWWW[[#This Row],[Total PoP ]]&lt;250,1,WWWW[[#This Row],[Total PoP ]]/250),0)</f>
        <v>6</v>
      </c>
      <c r="BE36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1.3422818791946308E-2</v>
      </c>
      <c r="BF368" s="779">
        <f>WWWW[[#This Row],[% people access to functioning Latrine]]*WWWW[[#This Row],[Total PoP ]]</f>
        <v>20</v>
      </c>
      <c r="BG368" s="781">
        <f>WWWW[[#This Row],['#_of_Functioning_latrines_in_school]]*50</f>
        <v>0</v>
      </c>
      <c r="BH368" s="781">
        <f>ROUND((WWWW[[#This Row],[Total PoP ]]/6),0)</f>
        <v>248</v>
      </c>
      <c r="BI368" s="781">
        <f>IF(WWWW[[#This Row],[Total required Latrines]]-(WWWW[[#This Row],['#_of_sanitary_fly-proof_HH_latrines]])&lt;0,0,WWWW[[#This Row],[Total required Latrines]]-(WWWW[[#This Row],['#_of_sanitary_fly-proof_HH_latrines]]))</f>
        <v>248</v>
      </c>
      <c r="BJ368" s="778">
        <f>1-WWWW[[#This Row],[% people access to functioning Latrine]]</f>
        <v>0.98657718120805371</v>
      </c>
      <c r="BK368" s="779">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1490</v>
      </c>
      <c r="BL368" s="772">
        <f>IF(WWWW[[#This Row],['#_of_functional_handwashing_facilities_at_HH_level]]*6&gt;WWWW[[#This Row],[Total PoP ]],WWWW[[#This Row],[Total PoP ]],WWWW[[#This Row],['#_of_functional_handwashing_facilities_at_HH_level]]*6)</f>
        <v>0</v>
      </c>
      <c r="BM368" s="781">
        <f>IF(WWWW[[#This Row],['# people reached by regular dedicated hygiene promotion]]&gt;WWWW[[#This Row],['# People received regular supply of hygiene items]],WWWW[[#This Row],['# people reached by regular dedicated hygiene promotion]],WWWW[[#This Row],['# People received regular supply of hygiene items]])</f>
        <v>1490</v>
      </c>
      <c r="BN368" s="780">
        <f>IF(WWWW[[#This Row],[HRP3]]/WWWW[[#This Row],[Total PoP ]]&gt;100%,100%,WWWW[[#This Row],[HRP3]]/WWWW[[#This Row],[Total PoP ]])</f>
        <v>1</v>
      </c>
      <c r="BO368" s="778">
        <f>1-WWWW[[#This Row],[Hygiene Coverage%]]</f>
        <v>0</v>
      </c>
      <c r="BP368" s="777">
        <f>WWWW[[#This Row],['# people reached by regular dedicated hygiene promotion]]/WWWW[[#This Row],[Total PoP ]]</f>
        <v>1</v>
      </c>
      <c r="BQ36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1490</v>
      </c>
      <c r="BR368" s="770">
        <f>WWWW[[#This Row],['#_of_affected_women_and_girls_receiving_a_sufficient_quantity_of_sanitary_pads]]</f>
        <v>0</v>
      </c>
      <c r="BS368" s="773">
        <f>IF(WWWW[[#This Row],['# People with access to soap]]&gt;WWWW[[#This Row],['# People with access to Sanity Pads]],WWWW[[#This Row],['# People with access to soap]],WWWW[[#This Row],['# People with access to Sanity Pads]])</f>
        <v>1490</v>
      </c>
      <c r="BT368" s="772" t="str">
        <f>IF(OR(WWWW[[#This Row],['#of students in school]]="",WWWW[[#This Row],['#of students in school]]=0),"No","Yes")</f>
        <v>No</v>
      </c>
      <c r="BU368" s="782" t="str">
        <f>VLOOKUP(WWWW[[#This Row],[Village  Name]],SiteDB6[[Site Name]:[Location Type 1]],9,FALSE)</f>
        <v>Village</v>
      </c>
      <c r="BV368" s="782" t="str">
        <f>VLOOKUP(WWWW[[#This Row],[Village  Name]],SiteDB6[[Site Name]:[Type of Accommodation]],10,FALSE)</f>
        <v>Village</v>
      </c>
      <c r="BW368" s="782" t="str">
        <f>VLOOKUP(WWWW[[#This Row],[Village  Name]],SiteDB6[[Site Name]:[Ethnic or GCA/NGCA]],11,FALSE)</f>
        <v>Rakhine</v>
      </c>
      <c r="BX368" s="782">
        <f>VLOOKUP(WWWW[[#This Row],[Village  Name]],SiteDB6[[Site Name]:[Lat]],12,FALSE)</f>
        <v>20.257850650000002</v>
      </c>
      <c r="BY368" s="782">
        <f>VLOOKUP(WWWW[[#This Row],[Village  Name]],SiteDB6[[Site Name]:[Long]],13,FALSE)</f>
        <v>92.811126709999996</v>
      </c>
      <c r="BZ368" s="782">
        <f>VLOOKUP(WWWW[[#This Row],[Village  Name]],SiteDB6[[Site Name]:[Pcode]],3,FALSE)</f>
        <v>196161</v>
      </c>
      <c r="CA368" s="782" t="str">
        <f t="shared" si="22"/>
        <v>Covered</v>
      </c>
      <c r="CB368" s="783"/>
    </row>
    <row r="369" spans="1:80">
      <c r="A369" s="774" t="s">
        <v>3199</v>
      </c>
      <c r="B369" s="774" t="s">
        <v>308</v>
      </c>
      <c r="C369" s="415"/>
      <c r="D369" s="415" t="s">
        <v>327</v>
      </c>
      <c r="E369" s="415" t="s">
        <v>3274</v>
      </c>
      <c r="F369" s="415" t="s">
        <v>3275</v>
      </c>
      <c r="G369" s="644" t="str">
        <f>VLOOKUP(WWWW[[#This Row],[Village  Name]],SiteDB6[[Site Name]:[Location Type]],8,FALSE)</f>
        <v>Village</v>
      </c>
      <c r="H369" s="415" t="s">
        <v>3307</v>
      </c>
      <c r="I369" s="773">
        <v>93</v>
      </c>
      <c r="J369" s="773">
        <v>382</v>
      </c>
      <c r="K369" s="418">
        <v>43300</v>
      </c>
      <c r="L369" s="55">
        <v>44377</v>
      </c>
      <c r="M369" s="773">
        <v>0</v>
      </c>
      <c r="N369" s="773">
        <v>0</v>
      </c>
      <c r="O369" s="773">
        <v>52</v>
      </c>
      <c r="P369" s="773">
        <v>0</v>
      </c>
      <c r="Q369" s="773">
        <v>0</v>
      </c>
      <c r="R369" s="773">
        <v>0</v>
      </c>
      <c r="S369" s="773">
        <v>0</v>
      </c>
      <c r="T369" s="773">
        <v>0</v>
      </c>
      <c r="U369" s="551"/>
      <c r="V369" s="773">
        <v>40</v>
      </c>
      <c r="W369" s="773" t="s">
        <v>130</v>
      </c>
      <c r="X369" s="773">
        <v>2</v>
      </c>
      <c r="Y369" s="773">
        <v>0</v>
      </c>
      <c r="Z369" s="773">
        <v>0</v>
      </c>
      <c r="AA369" s="773">
        <v>0</v>
      </c>
      <c r="AB369" s="773">
        <v>0</v>
      </c>
      <c r="AC369" s="551"/>
      <c r="AD369" s="773">
        <v>0</v>
      </c>
      <c r="AE369" s="773">
        <v>0</v>
      </c>
      <c r="AF369" s="773">
        <v>0</v>
      </c>
      <c r="AG369" s="773">
        <v>0</v>
      </c>
      <c r="AH369" s="773">
        <v>0</v>
      </c>
      <c r="AI369" s="773">
        <v>0</v>
      </c>
      <c r="AJ369" s="773">
        <v>0</v>
      </c>
      <c r="AK369" s="773">
        <v>1</v>
      </c>
      <c r="AL369" s="773">
        <v>0</v>
      </c>
      <c r="AM369" s="773">
        <v>0</v>
      </c>
      <c r="AN369" s="551"/>
      <c r="AO369" s="769">
        <v>0</v>
      </c>
      <c r="AP369" s="769">
        <v>0</v>
      </c>
      <c r="AQ369" s="773">
        <v>0</v>
      </c>
      <c r="AR369" s="773">
        <v>0</v>
      </c>
      <c r="AS369" s="773">
        <v>0</v>
      </c>
      <c r="AT369"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69" s="772">
        <f>WWWW[[#This Row],[%Equitable and continuous access to sufficient quantity of safe drinking water]]*WWWW[[#This Row],[Total PoP ]]</f>
        <v>382</v>
      </c>
      <c r="AV369"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69" s="772">
        <f>WWWW[[#This Row],[% Access to unimproved water points]]*WWWW[[#This Row],[Total PoP ]]</f>
        <v>0</v>
      </c>
      <c r="AX369"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69"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382</v>
      </c>
      <c r="AZ369" s="772">
        <f>WWWW[[#This Row],[HRP1]]/250</f>
        <v>1.528</v>
      </c>
      <c r="BA369" s="476">
        <f>1-WWWW[[#This Row],[% Equitable and continuous access to sufficient quantity of domestic water]]</f>
        <v>0</v>
      </c>
      <c r="BB369" s="772">
        <f>WWWW[[#This Row],[%equitable and continuous access to sufficient quantity of safe drinking and domestic water''s GAP]]*WWWW[[#This Row],[Total PoP ]]</f>
        <v>0</v>
      </c>
      <c r="BC369" s="770">
        <f>IF(WWWW[[#This Row],[Total required water points]]-WWWW[[#This Row],['#Water points coverage]]&lt;0,0,WWWW[[#This Row],[Total required water points]]-WWWW[[#This Row],['#Water points coverage]])</f>
        <v>0.47199999999999998</v>
      </c>
      <c r="BD369" s="770">
        <f>ROUND(IF(WWWW[[#This Row],[Total PoP ]]&lt;250,1,WWWW[[#This Row],[Total PoP ]]/250),0)</f>
        <v>2</v>
      </c>
      <c r="BE36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0.62827225130890052</v>
      </c>
      <c r="BF369" s="772">
        <f>WWWW[[#This Row],[% people access to functioning Latrine]]*WWWW[[#This Row],[Total PoP ]]</f>
        <v>240</v>
      </c>
      <c r="BG369" s="770">
        <f>WWWW[[#This Row],['#_of_Functioning_latrines_in_school]]*50</f>
        <v>100</v>
      </c>
      <c r="BH369" s="770">
        <f>ROUND((WWWW[[#This Row],[Total PoP ]]/6),0)</f>
        <v>64</v>
      </c>
      <c r="BI369" s="770">
        <f>IF(WWWW[[#This Row],[Total required Latrines]]-(WWWW[[#This Row],['#_of_sanitary_fly-proof_HH_latrines]])&lt;0,0,WWWW[[#This Row],[Total required Latrines]]-(WWWW[[#This Row],['#_of_sanitary_fly-proof_HH_latrines]]))</f>
        <v>24</v>
      </c>
      <c r="BJ369" s="771">
        <f>1-WWWW[[#This Row],[% people access to functioning Latrine]]</f>
        <v>0.37172774869109948</v>
      </c>
      <c r="BK369"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69" s="772">
        <f>IF(WWWW[[#This Row],['#_of_functional_handwashing_facilities_at_HH_level]]*6&gt;WWWW[[#This Row],[Total PoP ]],WWWW[[#This Row],[Total PoP ]],WWWW[[#This Row],['#_of_functional_handwashing_facilities_at_HH_level]]*6)</f>
        <v>0</v>
      </c>
      <c r="BM369" s="770">
        <f>IF(WWWW[[#This Row],['# people reached by regular dedicated hygiene promotion]]&gt;WWWW[[#This Row],['# People received regular supply of hygiene items]],WWWW[[#This Row],['# people reached by regular dedicated hygiene promotion]],WWWW[[#This Row],['# People received regular supply of hygiene items]])</f>
        <v>0</v>
      </c>
      <c r="BN369" s="476">
        <f>IF(WWWW[[#This Row],[HRP3]]/WWWW[[#This Row],[Total PoP ]]&gt;100%,100%,WWWW[[#This Row],[HRP3]]/WWWW[[#This Row],[Total PoP ]])</f>
        <v>0</v>
      </c>
      <c r="BO369" s="771">
        <f>1-WWWW[[#This Row],[Hygiene Coverage%]]</f>
        <v>1</v>
      </c>
      <c r="BP369" s="769">
        <f>WWWW[[#This Row],['# people reached by regular dedicated hygiene promotion]]/WWWW[[#This Row],[Total PoP ]]</f>
        <v>0</v>
      </c>
      <c r="BQ36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69" s="770">
        <f>WWWW[[#This Row],['#_of_affected_women_and_girls_receiving_a_sufficient_quantity_of_sanitary_pads]]</f>
        <v>0</v>
      </c>
      <c r="BS369" s="773">
        <f>IF(WWWW[[#This Row],['# People with access to soap]]&gt;WWWW[[#This Row],['# People with access to Sanity Pads]],WWWW[[#This Row],['# People with access to soap]],WWWW[[#This Row],['# People with access to Sanity Pads]])</f>
        <v>0</v>
      </c>
      <c r="BT369" s="772" t="str">
        <f>IF(OR(WWWW[[#This Row],['#of students in school]]="",WWWW[[#This Row],['#of students in school]]=0),"No","Yes")</f>
        <v>No</v>
      </c>
      <c r="BU369" s="480" t="str">
        <f>VLOOKUP(WWWW[[#This Row],[Village  Name]],SiteDB6[[Site Name]:[Location Type 1]],9,FALSE)</f>
        <v>Village</v>
      </c>
      <c r="BV369" s="480" t="str">
        <f>VLOOKUP(WWWW[[#This Row],[Village  Name]],SiteDB6[[Site Name]:[Type of Accommodation]],10,FALSE)</f>
        <v>Village</v>
      </c>
      <c r="BW369" s="480">
        <f>VLOOKUP(WWWW[[#This Row],[Village  Name]],SiteDB6[[Site Name]:[Ethnic or GCA/NGCA]],11,FALSE)</f>
        <v>0</v>
      </c>
      <c r="BX369" s="480">
        <f>VLOOKUP(WWWW[[#This Row],[Village  Name]],SiteDB6[[Site Name]:[Lat]],12,FALSE)</f>
        <v>0</v>
      </c>
      <c r="BY369" s="480">
        <f>VLOOKUP(WWWW[[#This Row],[Village  Name]],SiteDB6[[Site Name]:[Long]],13,FALSE)</f>
        <v>0</v>
      </c>
      <c r="BZ369" s="480">
        <f>VLOOKUP(WWWW[[#This Row],[Village  Name]],SiteDB6[[Site Name]:[Pcode]],3,FALSE)</f>
        <v>0</v>
      </c>
      <c r="CA369" s="480" t="str">
        <f t="shared" ref="CA369:CA388" si="23">IF(C369="none","Notcovered","Covered")</f>
        <v>Covered</v>
      </c>
      <c r="CB369" s="505"/>
    </row>
    <row r="370" spans="1:80">
      <c r="A370" s="774" t="s">
        <v>3199</v>
      </c>
      <c r="B370" s="774" t="s">
        <v>308</v>
      </c>
      <c r="C370" s="415"/>
      <c r="D370" s="415" t="s">
        <v>327</v>
      </c>
      <c r="E370" s="415" t="s">
        <v>3274</v>
      </c>
      <c r="F370" s="415" t="s">
        <v>3275</v>
      </c>
      <c r="G370" s="644" t="str">
        <f>VLOOKUP(WWWW[[#This Row],[Village  Name]],SiteDB6[[Site Name]:[Location Type]],8,FALSE)</f>
        <v>Village</v>
      </c>
      <c r="H370" s="415" t="s">
        <v>3308</v>
      </c>
      <c r="I370" s="773">
        <v>63</v>
      </c>
      <c r="J370" s="773">
        <v>265</v>
      </c>
      <c r="K370" s="418">
        <v>43300</v>
      </c>
      <c r="L370" s="55">
        <v>44377</v>
      </c>
      <c r="M370" s="773">
        <v>0</v>
      </c>
      <c r="N370" s="773">
        <v>0</v>
      </c>
      <c r="O370" s="773">
        <v>28</v>
      </c>
      <c r="P370" s="773">
        <v>0</v>
      </c>
      <c r="Q370" s="773">
        <v>0</v>
      </c>
      <c r="R370" s="773">
        <v>0</v>
      </c>
      <c r="S370" s="773">
        <v>0</v>
      </c>
      <c r="T370" s="773">
        <v>0</v>
      </c>
      <c r="U370" s="551"/>
      <c r="V370" s="773">
        <v>30</v>
      </c>
      <c r="W370" s="773" t="s">
        <v>130</v>
      </c>
      <c r="X370" s="773">
        <v>0</v>
      </c>
      <c r="Y370" s="773">
        <v>0</v>
      </c>
      <c r="Z370" s="773">
        <v>0</v>
      </c>
      <c r="AA370" s="773">
        <v>0</v>
      </c>
      <c r="AB370" s="773">
        <v>0</v>
      </c>
      <c r="AC370" s="551"/>
      <c r="AD370" s="773">
        <v>0</v>
      </c>
      <c r="AE370" s="773">
        <v>0</v>
      </c>
      <c r="AF370" s="773">
        <v>0</v>
      </c>
      <c r="AG370" s="773">
        <v>0</v>
      </c>
      <c r="AH370" s="773">
        <v>0</v>
      </c>
      <c r="AI370" s="773">
        <v>0</v>
      </c>
      <c r="AJ370" s="773">
        <v>0</v>
      </c>
      <c r="AK370" s="773">
        <v>0</v>
      </c>
      <c r="AL370" s="773">
        <v>0</v>
      </c>
      <c r="AM370" s="773">
        <v>0</v>
      </c>
      <c r="AN370" s="551"/>
      <c r="AO370" s="769">
        <v>0</v>
      </c>
      <c r="AP370" s="769">
        <v>0</v>
      </c>
      <c r="AQ370" s="773">
        <v>0</v>
      </c>
      <c r="AR370" s="773">
        <v>0</v>
      </c>
      <c r="AS370" s="773">
        <v>0</v>
      </c>
      <c r="AT370"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70" s="772">
        <f>WWWW[[#This Row],[%Equitable and continuous access to sufficient quantity of safe drinking water]]*WWWW[[#This Row],[Total PoP ]]</f>
        <v>265</v>
      </c>
      <c r="AV370"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0" s="772">
        <f>WWWW[[#This Row],[% Access to unimproved water points]]*WWWW[[#This Row],[Total PoP ]]</f>
        <v>0</v>
      </c>
      <c r="AX370"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70"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265</v>
      </c>
      <c r="AZ370" s="772">
        <f>WWWW[[#This Row],[HRP1]]/250</f>
        <v>1.06</v>
      </c>
      <c r="BA370" s="476">
        <f>1-WWWW[[#This Row],[% Equitable and continuous access to sufficient quantity of domestic water]]</f>
        <v>0</v>
      </c>
      <c r="BB370" s="772">
        <f>WWWW[[#This Row],[%equitable and continuous access to sufficient quantity of safe drinking and domestic water''s GAP]]*WWWW[[#This Row],[Total PoP ]]</f>
        <v>0</v>
      </c>
      <c r="BC370" s="770">
        <f>IF(WWWW[[#This Row],[Total required water points]]-WWWW[[#This Row],['#Water points coverage]]&lt;0,0,WWWW[[#This Row],[Total required water points]]-WWWW[[#This Row],['#Water points coverage]])</f>
        <v>0</v>
      </c>
      <c r="BD370" s="770">
        <f>ROUND(IF(WWWW[[#This Row],[Total PoP ]]&lt;250,1,WWWW[[#This Row],[Total PoP ]]/250),0)</f>
        <v>1</v>
      </c>
      <c r="BE37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0.67924528301886788</v>
      </c>
      <c r="BF370" s="772">
        <f>WWWW[[#This Row],[% people access to functioning Latrine]]*WWWW[[#This Row],[Total PoP ]]</f>
        <v>180</v>
      </c>
      <c r="BG370" s="770">
        <f>WWWW[[#This Row],['#_of_Functioning_latrines_in_school]]*50</f>
        <v>0</v>
      </c>
      <c r="BH370" s="770">
        <f>ROUND((WWWW[[#This Row],[Total PoP ]]/6),0)</f>
        <v>44</v>
      </c>
      <c r="BI370" s="770">
        <f>IF(WWWW[[#This Row],[Total required Latrines]]-(WWWW[[#This Row],['#_of_sanitary_fly-proof_HH_latrines]])&lt;0,0,WWWW[[#This Row],[Total required Latrines]]-(WWWW[[#This Row],['#_of_sanitary_fly-proof_HH_latrines]]))</f>
        <v>14</v>
      </c>
      <c r="BJ370" s="771">
        <f>1-WWWW[[#This Row],[% people access to functioning Latrine]]</f>
        <v>0.32075471698113212</v>
      </c>
      <c r="BK370"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0" s="772">
        <f>IF(WWWW[[#This Row],['#_of_functional_handwashing_facilities_at_HH_level]]*6&gt;WWWW[[#This Row],[Total PoP ]],WWWW[[#This Row],[Total PoP ]],WWWW[[#This Row],['#_of_functional_handwashing_facilities_at_HH_level]]*6)</f>
        <v>0</v>
      </c>
      <c r="BM370" s="770">
        <f>IF(WWWW[[#This Row],['# people reached by regular dedicated hygiene promotion]]&gt;WWWW[[#This Row],['# People received regular supply of hygiene items]],WWWW[[#This Row],['# people reached by regular dedicated hygiene promotion]],WWWW[[#This Row],['# People received regular supply of hygiene items]])</f>
        <v>0</v>
      </c>
      <c r="BN370" s="476">
        <f>IF(WWWW[[#This Row],[HRP3]]/WWWW[[#This Row],[Total PoP ]]&gt;100%,100%,WWWW[[#This Row],[HRP3]]/WWWW[[#This Row],[Total PoP ]])</f>
        <v>0</v>
      </c>
      <c r="BO370" s="771">
        <f>1-WWWW[[#This Row],[Hygiene Coverage%]]</f>
        <v>1</v>
      </c>
      <c r="BP370" s="769">
        <f>WWWW[[#This Row],['# people reached by regular dedicated hygiene promotion]]/WWWW[[#This Row],[Total PoP ]]</f>
        <v>0</v>
      </c>
      <c r="BQ37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0" s="770">
        <f>WWWW[[#This Row],['#_of_affected_women_and_girls_receiving_a_sufficient_quantity_of_sanitary_pads]]</f>
        <v>0</v>
      </c>
      <c r="BS370" s="773">
        <f>IF(WWWW[[#This Row],['# People with access to soap]]&gt;WWWW[[#This Row],['# People with access to Sanity Pads]],WWWW[[#This Row],['# People with access to soap]],WWWW[[#This Row],['# People with access to Sanity Pads]])</f>
        <v>0</v>
      </c>
      <c r="BT370" s="772" t="str">
        <f>IF(OR(WWWW[[#This Row],['#of students in school]]="",WWWW[[#This Row],['#of students in school]]=0),"No","Yes")</f>
        <v>No</v>
      </c>
      <c r="BU370" s="480" t="str">
        <f>VLOOKUP(WWWW[[#This Row],[Village  Name]],SiteDB6[[Site Name]:[Location Type 1]],9,FALSE)</f>
        <v>Village</v>
      </c>
      <c r="BV370" s="480" t="str">
        <f>VLOOKUP(WWWW[[#This Row],[Village  Name]],SiteDB6[[Site Name]:[Type of Accommodation]],10,FALSE)</f>
        <v>Village</v>
      </c>
      <c r="BW370" s="480">
        <f>VLOOKUP(WWWW[[#This Row],[Village  Name]],SiteDB6[[Site Name]:[Ethnic or GCA/NGCA]],11,FALSE)</f>
        <v>0</v>
      </c>
      <c r="BX370" s="480">
        <f>VLOOKUP(WWWW[[#This Row],[Village  Name]],SiteDB6[[Site Name]:[Lat]],12,FALSE)</f>
        <v>0</v>
      </c>
      <c r="BY370" s="480">
        <f>VLOOKUP(WWWW[[#This Row],[Village  Name]],SiteDB6[[Site Name]:[Long]],13,FALSE)</f>
        <v>0</v>
      </c>
      <c r="BZ370" s="480">
        <f>VLOOKUP(WWWW[[#This Row],[Village  Name]],SiteDB6[[Site Name]:[Pcode]],3,FALSE)</f>
        <v>0</v>
      </c>
      <c r="CA370" s="480" t="str">
        <f t="shared" si="23"/>
        <v>Covered</v>
      </c>
      <c r="CB370" s="505"/>
    </row>
    <row r="371" spans="1:80">
      <c r="A371" s="774" t="s">
        <v>3199</v>
      </c>
      <c r="B371" s="774" t="s">
        <v>308</v>
      </c>
      <c r="C371" s="415"/>
      <c r="D371" s="415" t="s">
        <v>327</v>
      </c>
      <c r="E371" s="415" t="s">
        <v>3274</v>
      </c>
      <c r="F371" s="415" t="s">
        <v>3275</v>
      </c>
      <c r="G371" s="644" t="str">
        <f>VLOOKUP(WWWW[[#This Row],[Village  Name]],SiteDB6[[Site Name]:[Location Type]],8,FALSE)</f>
        <v>Village</v>
      </c>
      <c r="H371" s="415" t="s">
        <v>3309</v>
      </c>
      <c r="I371" s="773">
        <v>68</v>
      </c>
      <c r="J371" s="773">
        <v>282</v>
      </c>
      <c r="K371" s="418">
        <v>43300</v>
      </c>
      <c r="L371" s="55">
        <v>44377</v>
      </c>
      <c r="M371" s="773">
        <v>0</v>
      </c>
      <c r="N371" s="773">
        <v>0</v>
      </c>
      <c r="O371" s="773">
        <v>32</v>
      </c>
      <c r="P371" s="773">
        <v>0</v>
      </c>
      <c r="Q371" s="773">
        <v>0</v>
      </c>
      <c r="R371" s="773">
        <v>0</v>
      </c>
      <c r="S371" s="773">
        <v>0</v>
      </c>
      <c r="T371" s="773">
        <v>1</v>
      </c>
      <c r="U371" s="551"/>
      <c r="V371" s="773">
        <v>45</v>
      </c>
      <c r="W371" s="773" t="s">
        <v>130</v>
      </c>
      <c r="X371" s="773">
        <v>1</v>
      </c>
      <c r="Y371" s="773">
        <v>0</v>
      </c>
      <c r="Z371" s="773">
        <v>0</v>
      </c>
      <c r="AA371" s="773">
        <v>0</v>
      </c>
      <c r="AB371" s="773">
        <v>0</v>
      </c>
      <c r="AC371" s="551"/>
      <c r="AD371" s="773">
        <v>0</v>
      </c>
      <c r="AE371" s="773">
        <v>0</v>
      </c>
      <c r="AF371" s="773">
        <v>0</v>
      </c>
      <c r="AG371" s="773">
        <v>0</v>
      </c>
      <c r="AH371" s="773">
        <v>0</v>
      </c>
      <c r="AI371" s="773">
        <v>0</v>
      </c>
      <c r="AJ371" s="773">
        <v>0</v>
      </c>
      <c r="AK371" s="773">
        <v>0</v>
      </c>
      <c r="AL371" s="773">
        <v>0</v>
      </c>
      <c r="AM371" s="773">
        <v>0</v>
      </c>
      <c r="AN371" s="551"/>
      <c r="AO371" s="769">
        <v>0</v>
      </c>
      <c r="AP371" s="769">
        <v>0</v>
      </c>
      <c r="AQ371" s="773">
        <v>0</v>
      </c>
      <c r="AR371" s="773">
        <v>0</v>
      </c>
      <c r="AS371" s="773">
        <v>0</v>
      </c>
      <c r="AT371"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71" s="772">
        <f>WWWW[[#This Row],[%Equitable and continuous access to sufficient quantity of safe drinking water]]*WWWW[[#This Row],[Total PoP ]]</f>
        <v>282</v>
      </c>
      <c r="AV371"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1" s="772">
        <f>WWWW[[#This Row],[% Access to unimproved water points]]*WWWW[[#This Row],[Total PoP ]]</f>
        <v>0</v>
      </c>
      <c r="AX371"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71"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282</v>
      </c>
      <c r="AZ371" s="772">
        <f>WWWW[[#This Row],[HRP1]]/250</f>
        <v>1.1279999999999999</v>
      </c>
      <c r="BA371" s="476">
        <f>1-WWWW[[#This Row],[% Equitable and continuous access to sufficient quantity of domestic water]]</f>
        <v>0</v>
      </c>
      <c r="BB371" s="772">
        <f>WWWW[[#This Row],[%equitable and continuous access to sufficient quantity of safe drinking and domestic water''s GAP]]*WWWW[[#This Row],[Total PoP ]]</f>
        <v>0</v>
      </c>
      <c r="BC371" s="770">
        <f>IF(WWWW[[#This Row],[Total required water points]]-WWWW[[#This Row],['#Water points coverage]]&lt;0,0,WWWW[[#This Row],[Total required water points]]-WWWW[[#This Row],['#Water points coverage]])</f>
        <v>0</v>
      </c>
      <c r="BD371" s="770">
        <f>ROUND(IF(WWWW[[#This Row],[Total PoP ]]&lt;250,1,WWWW[[#This Row],[Total PoP ]]/250),0)</f>
        <v>1</v>
      </c>
      <c r="BE37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0.95744680851063835</v>
      </c>
      <c r="BF371" s="772">
        <f>WWWW[[#This Row],[% people access to functioning Latrine]]*WWWW[[#This Row],[Total PoP ]]</f>
        <v>270</v>
      </c>
      <c r="BG371" s="770">
        <f>WWWW[[#This Row],['#_of_Functioning_latrines_in_school]]*50</f>
        <v>50</v>
      </c>
      <c r="BH371" s="770">
        <f>ROUND((WWWW[[#This Row],[Total PoP ]]/6),0)</f>
        <v>47</v>
      </c>
      <c r="BI371" s="770">
        <f>IF(WWWW[[#This Row],[Total required Latrines]]-(WWWW[[#This Row],['#_of_sanitary_fly-proof_HH_latrines]])&lt;0,0,WWWW[[#This Row],[Total required Latrines]]-(WWWW[[#This Row],['#_of_sanitary_fly-proof_HH_latrines]]))</f>
        <v>2</v>
      </c>
      <c r="BJ371" s="771">
        <f>1-WWWW[[#This Row],[% people access to functioning Latrine]]</f>
        <v>4.2553191489361653E-2</v>
      </c>
      <c r="BK371"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1" s="772">
        <f>IF(WWWW[[#This Row],['#_of_functional_handwashing_facilities_at_HH_level]]*6&gt;WWWW[[#This Row],[Total PoP ]],WWWW[[#This Row],[Total PoP ]],WWWW[[#This Row],['#_of_functional_handwashing_facilities_at_HH_level]]*6)</f>
        <v>0</v>
      </c>
      <c r="BM371" s="770">
        <f>IF(WWWW[[#This Row],['# people reached by regular dedicated hygiene promotion]]&gt;WWWW[[#This Row],['# People received regular supply of hygiene items]],WWWW[[#This Row],['# people reached by regular dedicated hygiene promotion]],WWWW[[#This Row],['# People received regular supply of hygiene items]])</f>
        <v>0</v>
      </c>
      <c r="BN371" s="476">
        <f>IF(WWWW[[#This Row],[HRP3]]/WWWW[[#This Row],[Total PoP ]]&gt;100%,100%,WWWW[[#This Row],[HRP3]]/WWWW[[#This Row],[Total PoP ]])</f>
        <v>0</v>
      </c>
      <c r="BO371" s="771">
        <f>1-WWWW[[#This Row],[Hygiene Coverage%]]</f>
        <v>1</v>
      </c>
      <c r="BP371" s="769">
        <f>WWWW[[#This Row],['# people reached by regular dedicated hygiene promotion]]/WWWW[[#This Row],[Total PoP ]]</f>
        <v>0</v>
      </c>
      <c r="BQ37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1" s="770">
        <f>WWWW[[#This Row],['#_of_affected_women_and_girls_receiving_a_sufficient_quantity_of_sanitary_pads]]</f>
        <v>0</v>
      </c>
      <c r="BS371" s="773">
        <f>IF(WWWW[[#This Row],['# People with access to soap]]&gt;WWWW[[#This Row],['# People with access to Sanity Pads]],WWWW[[#This Row],['# People with access to soap]],WWWW[[#This Row],['# People with access to Sanity Pads]])</f>
        <v>0</v>
      </c>
      <c r="BT371" s="772" t="str">
        <f>IF(OR(WWWW[[#This Row],['#of students in school]]="",WWWW[[#This Row],['#of students in school]]=0),"No","Yes")</f>
        <v>No</v>
      </c>
      <c r="BU371" s="480" t="str">
        <f>VLOOKUP(WWWW[[#This Row],[Village  Name]],SiteDB6[[Site Name]:[Location Type 1]],9,FALSE)</f>
        <v>Village</v>
      </c>
      <c r="BV371" s="480" t="str">
        <f>VLOOKUP(WWWW[[#This Row],[Village  Name]],SiteDB6[[Site Name]:[Type of Accommodation]],10,FALSE)</f>
        <v>Village</v>
      </c>
      <c r="BW371" s="480">
        <f>VLOOKUP(WWWW[[#This Row],[Village  Name]],SiteDB6[[Site Name]:[Ethnic or GCA/NGCA]],11,FALSE)</f>
        <v>0</v>
      </c>
      <c r="BX371" s="480">
        <f>VLOOKUP(WWWW[[#This Row],[Village  Name]],SiteDB6[[Site Name]:[Lat]],12,FALSE)</f>
        <v>0</v>
      </c>
      <c r="BY371" s="480">
        <f>VLOOKUP(WWWW[[#This Row],[Village  Name]],SiteDB6[[Site Name]:[Long]],13,FALSE)</f>
        <v>0</v>
      </c>
      <c r="BZ371" s="480">
        <f>VLOOKUP(WWWW[[#This Row],[Village  Name]],SiteDB6[[Site Name]:[Pcode]],3,FALSE)</f>
        <v>0</v>
      </c>
      <c r="CA371" s="480" t="str">
        <f t="shared" si="23"/>
        <v>Covered</v>
      </c>
      <c r="CB371" s="505"/>
    </row>
    <row r="372" spans="1:80">
      <c r="A372" s="774" t="s">
        <v>3199</v>
      </c>
      <c r="B372" s="774" t="s">
        <v>308</v>
      </c>
      <c r="C372" s="415"/>
      <c r="D372" s="415" t="s">
        <v>327</v>
      </c>
      <c r="E372" s="415" t="s">
        <v>3274</v>
      </c>
      <c r="F372" s="415" t="s">
        <v>3275</v>
      </c>
      <c r="G372" s="644" t="str">
        <f>VLOOKUP(WWWW[[#This Row],[Village  Name]],SiteDB6[[Site Name]:[Location Type]],8,FALSE)</f>
        <v>Village</v>
      </c>
      <c r="H372" s="415" t="s">
        <v>3276</v>
      </c>
      <c r="I372" s="773">
        <v>87</v>
      </c>
      <c r="J372" s="773">
        <v>418</v>
      </c>
      <c r="K372" s="418">
        <v>43300</v>
      </c>
      <c r="L372" s="55">
        <v>44377</v>
      </c>
      <c r="M372" s="773">
        <v>0</v>
      </c>
      <c r="N372" s="773">
        <v>0</v>
      </c>
      <c r="O372" s="773">
        <v>31</v>
      </c>
      <c r="P372" s="773">
        <v>0</v>
      </c>
      <c r="Q372" s="773">
        <v>0</v>
      </c>
      <c r="R372" s="773">
        <v>0</v>
      </c>
      <c r="S372" s="773">
        <v>0</v>
      </c>
      <c r="T372" s="773">
        <v>0</v>
      </c>
      <c r="U372" s="551"/>
      <c r="V372" s="773">
        <v>40</v>
      </c>
      <c r="W372" s="773" t="s">
        <v>130</v>
      </c>
      <c r="X372" s="773">
        <v>1</v>
      </c>
      <c r="Y372" s="773">
        <v>0</v>
      </c>
      <c r="Z372" s="773">
        <v>0</v>
      </c>
      <c r="AA372" s="773">
        <v>0</v>
      </c>
      <c r="AB372" s="773">
        <v>0</v>
      </c>
      <c r="AC372" s="551"/>
      <c r="AD372" s="773">
        <v>0</v>
      </c>
      <c r="AE372" s="773">
        <v>0</v>
      </c>
      <c r="AF372" s="773">
        <v>0</v>
      </c>
      <c r="AG372" s="773">
        <v>0</v>
      </c>
      <c r="AH372" s="773">
        <v>0</v>
      </c>
      <c r="AI372" s="773">
        <v>0</v>
      </c>
      <c r="AJ372" s="773">
        <v>0</v>
      </c>
      <c r="AK372" s="773">
        <v>0</v>
      </c>
      <c r="AL372" s="773">
        <v>0</v>
      </c>
      <c r="AM372" s="773">
        <v>0</v>
      </c>
      <c r="AN372" s="551"/>
      <c r="AO372" s="769">
        <v>0</v>
      </c>
      <c r="AP372" s="769">
        <v>0</v>
      </c>
      <c r="AQ372" s="773">
        <v>0</v>
      </c>
      <c r="AR372" s="773">
        <v>0</v>
      </c>
      <c r="AS372" s="773">
        <v>0</v>
      </c>
      <c r="AT372"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72" s="772">
        <f>WWWW[[#This Row],[%Equitable and continuous access to sufficient quantity of safe drinking water]]*WWWW[[#This Row],[Total PoP ]]</f>
        <v>418</v>
      </c>
      <c r="AV372"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2" s="772">
        <f>WWWW[[#This Row],[% Access to unimproved water points]]*WWWW[[#This Row],[Total PoP ]]</f>
        <v>0</v>
      </c>
      <c r="AX372"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72"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418</v>
      </c>
      <c r="AZ372" s="772">
        <f>WWWW[[#This Row],[HRP1]]/250</f>
        <v>1.6719999999999999</v>
      </c>
      <c r="BA372" s="476">
        <f>1-WWWW[[#This Row],[% Equitable and continuous access to sufficient quantity of domestic water]]</f>
        <v>0</v>
      </c>
      <c r="BB372" s="772">
        <f>WWWW[[#This Row],[%equitable and continuous access to sufficient quantity of safe drinking and domestic water''s GAP]]*WWWW[[#This Row],[Total PoP ]]</f>
        <v>0</v>
      </c>
      <c r="BC372" s="770">
        <f>IF(WWWW[[#This Row],[Total required water points]]-WWWW[[#This Row],['#Water points coverage]]&lt;0,0,WWWW[[#This Row],[Total required water points]]-WWWW[[#This Row],['#Water points coverage]])</f>
        <v>0.32800000000000007</v>
      </c>
      <c r="BD372" s="770">
        <f>ROUND(IF(WWWW[[#This Row],[Total PoP ]]&lt;250,1,WWWW[[#This Row],[Total PoP ]]/250),0)</f>
        <v>2</v>
      </c>
      <c r="BE37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0.57416267942583732</v>
      </c>
      <c r="BF372" s="772">
        <f>WWWW[[#This Row],[% people access to functioning Latrine]]*WWWW[[#This Row],[Total PoP ]]</f>
        <v>240</v>
      </c>
      <c r="BG372" s="770">
        <f>WWWW[[#This Row],['#_of_Functioning_latrines_in_school]]*50</f>
        <v>50</v>
      </c>
      <c r="BH372" s="770">
        <f>ROUND((WWWW[[#This Row],[Total PoP ]]/6),0)</f>
        <v>70</v>
      </c>
      <c r="BI372" s="770">
        <f>IF(WWWW[[#This Row],[Total required Latrines]]-(WWWW[[#This Row],['#_of_sanitary_fly-proof_HH_latrines]])&lt;0,0,WWWW[[#This Row],[Total required Latrines]]-(WWWW[[#This Row],['#_of_sanitary_fly-proof_HH_latrines]]))</f>
        <v>30</v>
      </c>
      <c r="BJ372" s="771">
        <f>1-WWWW[[#This Row],[% people access to functioning Latrine]]</f>
        <v>0.42583732057416268</v>
      </c>
      <c r="BK372"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2" s="772">
        <f>IF(WWWW[[#This Row],['#_of_functional_handwashing_facilities_at_HH_level]]*6&gt;WWWW[[#This Row],[Total PoP ]],WWWW[[#This Row],[Total PoP ]],WWWW[[#This Row],['#_of_functional_handwashing_facilities_at_HH_level]]*6)</f>
        <v>0</v>
      </c>
      <c r="BM372" s="770">
        <f>IF(WWWW[[#This Row],['# people reached by regular dedicated hygiene promotion]]&gt;WWWW[[#This Row],['# People received regular supply of hygiene items]],WWWW[[#This Row],['# people reached by regular dedicated hygiene promotion]],WWWW[[#This Row],['# People received regular supply of hygiene items]])</f>
        <v>0</v>
      </c>
      <c r="BN372" s="476">
        <f>IF(WWWW[[#This Row],[HRP3]]/WWWW[[#This Row],[Total PoP ]]&gt;100%,100%,WWWW[[#This Row],[HRP3]]/WWWW[[#This Row],[Total PoP ]])</f>
        <v>0</v>
      </c>
      <c r="BO372" s="771">
        <f>1-WWWW[[#This Row],[Hygiene Coverage%]]</f>
        <v>1</v>
      </c>
      <c r="BP372" s="769">
        <f>WWWW[[#This Row],['# people reached by regular dedicated hygiene promotion]]/WWWW[[#This Row],[Total PoP ]]</f>
        <v>0</v>
      </c>
      <c r="BQ37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2" s="770">
        <f>WWWW[[#This Row],['#_of_affected_women_and_girls_receiving_a_sufficient_quantity_of_sanitary_pads]]</f>
        <v>0</v>
      </c>
      <c r="BS372" s="773">
        <f>IF(WWWW[[#This Row],['# People with access to soap]]&gt;WWWW[[#This Row],['# People with access to Sanity Pads]],WWWW[[#This Row],['# People with access to soap]],WWWW[[#This Row],['# People with access to Sanity Pads]])</f>
        <v>0</v>
      </c>
      <c r="BT372" s="772" t="str">
        <f>IF(OR(WWWW[[#This Row],['#of students in school]]="",WWWW[[#This Row],['#of students in school]]=0),"No","Yes")</f>
        <v>No</v>
      </c>
      <c r="BU372" s="480" t="str">
        <f>VLOOKUP(WWWW[[#This Row],[Village  Name]],SiteDB6[[Site Name]:[Location Type 1]],9,FALSE)</f>
        <v>Village</v>
      </c>
      <c r="BV372" s="480" t="str">
        <f>VLOOKUP(WWWW[[#This Row],[Village  Name]],SiteDB6[[Site Name]:[Type of Accommodation]],10,FALSE)</f>
        <v>Village</v>
      </c>
      <c r="BW372" s="480">
        <f>VLOOKUP(WWWW[[#This Row],[Village  Name]],SiteDB6[[Site Name]:[Ethnic or GCA/NGCA]],11,FALSE)</f>
        <v>0</v>
      </c>
      <c r="BX372" s="480">
        <f>VLOOKUP(WWWW[[#This Row],[Village  Name]],SiteDB6[[Site Name]:[Lat]],12,FALSE)</f>
        <v>0</v>
      </c>
      <c r="BY372" s="480">
        <f>VLOOKUP(WWWW[[#This Row],[Village  Name]],SiteDB6[[Site Name]:[Long]],13,FALSE)</f>
        <v>0</v>
      </c>
      <c r="BZ372" s="480">
        <f>VLOOKUP(WWWW[[#This Row],[Village  Name]],SiteDB6[[Site Name]:[Pcode]],3,FALSE)</f>
        <v>0</v>
      </c>
      <c r="CA372" s="480" t="str">
        <f t="shared" si="23"/>
        <v>Covered</v>
      </c>
      <c r="CB372" s="505"/>
    </row>
    <row r="373" spans="1:80">
      <c r="A373" s="774" t="s">
        <v>3199</v>
      </c>
      <c r="B373" s="774" t="s">
        <v>308</v>
      </c>
      <c r="C373" s="415"/>
      <c r="D373" s="415" t="s">
        <v>327</v>
      </c>
      <c r="E373" s="415" t="s">
        <v>3274</v>
      </c>
      <c r="F373" s="415" t="s">
        <v>3275</v>
      </c>
      <c r="G373" s="644" t="str">
        <f>VLOOKUP(WWWW[[#This Row],[Village  Name]],SiteDB6[[Site Name]:[Location Type]],8,FALSE)</f>
        <v>Village</v>
      </c>
      <c r="H373" s="415" t="s">
        <v>3277</v>
      </c>
      <c r="I373" s="773">
        <v>95</v>
      </c>
      <c r="J373" s="773">
        <v>539</v>
      </c>
      <c r="K373" s="418">
        <v>43300</v>
      </c>
      <c r="L373" s="55">
        <v>44377</v>
      </c>
      <c r="M373" s="773">
        <v>0</v>
      </c>
      <c r="N373" s="773">
        <v>0</v>
      </c>
      <c r="O373" s="773">
        <v>42</v>
      </c>
      <c r="P373" s="773">
        <v>0</v>
      </c>
      <c r="Q373" s="773">
        <v>0</v>
      </c>
      <c r="R373" s="773">
        <v>0</v>
      </c>
      <c r="S373" s="773">
        <v>0</v>
      </c>
      <c r="T373" s="773">
        <v>0</v>
      </c>
      <c r="U373" s="551"/>
      <c r="V373" s="773">
        <v>79</v>
      </c>
      <c r="W373" s="773" t="s">
        <v>130</v>
      </c>
      <c r="X373" s="773">
        <v>1</v>
      </c>
      <c r="Y373" s="773">
        <v>0</v>
      </c>
      <c r="Z373" s="773">
        <v>0</v>
      </c>
      <c r="AA373" s="773">
        <v>0</v>
      </c>
      <c r="AB373" s="773">
        <v>0</v>
      </c>
      <c r="AC373" s="551"/>
      <c r="AD373" s="773">
        <v>0</v>
      </c>
      <c r="AE373" s="773">
        <v>0</v>
      </c>
      <c r="AF373" s="773">
        <v>0</v>
      </c>
      <c r="AG373" s="773">
        <v>0</v>
      </c>
      <c r="AH373" s="773">
        <v>0</v>
      </c>
      <c r="AI373" s="773">
        <v>0</v>
      </c>
      <c r="AJ373" s="773">
        <v>0</v>
      </c>
      <c r="AK373" s="773">
        <v>0</v>
      </c>
      <c r="AL373" s="773">
        <v>0</v>
      </c>
      <c r="AM373" s="773">
        <v>0</v>
      </c>
      <c r="AN373" s="551"/>
      <c r="AO373" s="769">
        <v>0</v>
      </c>
      <c r="AP373" s="769">
        <v>0</v>
      </c>
      <c r="AQ373" s="773">
        <v>0</v>
      </c>
      <c r="AR373" s="773">
        <v>0</v>
      </c>
      <c r="AS373" s="773">
        <v>0</v>
      </c>
      <c r="AT373"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73" s="772">
        <f>WWWW[[#This Row],[%Equitable and continuous access to sufficient quantity of safe drinking water]]*WWWW[[#This Row],[Total PoP ]]</f>
        <v>539</v>
      </c>
      <c r="AV373"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3" s="772">
        <f>WWWW[[#This Row],[% Access to unimproved water points]]*WWWW[[#This Row],[Total PoP ]]</f>
        <v>0</v>
      </c>
      <c r="AX373"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73"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539</v>
      </c>
      <c r="AZ373" s="772">
        <f>WWWW[[#This Row],[HRP1]]/250</f>
        <v>2.1560000000000001</v>
      </c>
      <c r="BA373" s="476">
        <f>1-WWWW[[#This Row],[% Equitable and continuous access to sufficient quantity of domestic water]]</f>
        <v>0</v>
      </c>
      <c r="BB373" s="772">
        <f>WWWW[[#This Row],[%equitable and continuous access to sufficient quantity of safe drinking and domestic water''s GAP]]*WWWW[[#This Row],[Total PoP ]]</f>
        <v>0</v>
      </c>
      <c r="BC373" s="770">
        <f>IF(WWWW[[#This Row],[Total required water points]]-WWWW[[#This Row],['#Water points coverage]]&lt;0,0,WWWW[[#This Row],[Total required water points]]-WWWW[[#This Row],['#Water points coverage]])</f>
        <v>0</v>
      </c>
      <c r="BD373" s="770">
        <f>ROUND(IF(WWWW[[#This Row],[Total PoP ]]&lt;250,1,WWWW[[#This Row],[Total PoP ]]/250),0)</f>
        <v>2</v>
      </c>
      <c r="BE37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0.87940630797773656</v>
      </c>
      <c r="BF373" s="772">
        <f>WWWW[[#This Row],[% people access to functioning Latrine]]*WWWW[[#This Row],[Total PoP ]]</f>
        <v>474</v>
      </c>
      <c r="BG373" s="770">
        <f>WWWW[[#This Row],['#_of_Functioning_latrines_in_school]]*50</f>
        <v>50</v>
      </c>
      <c r="BH373" s="770">
        <f>ROUND((WWWW[[#This Row],[Total PoP ]]/6),0)</f>
        <v>90</v>
      </c>
      <c r="BI373" s="770">
        <f>IF(WWWW[[#This Row],[Total required Latrines]]-(WWWW[[#This Row],['#_of_sanitary_fly-proof_HH_latrines]])&lt;0,0,WWWW[[#This Row],[Total required Latrines]]-(WWWW[[#This Row],['#_of_sanitary_fly-proof_HH_latrines]]))</f>
        <v>11</v>
      </c>
      <c r="BJ373" s="771">
        <f>1-WWWW[[#This Row],[% people access to functioning Latrine]]</f>
        <v>0.12059369202226344</v>
      </c>
      <c r="BK373"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3" s="772">
        <f>IF(WWWW[[#This Row],['#_of_functional_handwashing_facilities_at_HH_level]]*6&gt;WWWW[[#This Row],[Total PoP ]],WWWW[[#This Row],[Total PoP ]],WWWW[[#This Row],['#_of_functional_handwashing_facilities_at_HH_level]]*6)</f>
        <v>0</v>
      </c>
      <c r="BM373" s="770">
        <f>IF(WWWW[[#This Row],['# people reached by regular dedicated hygiene promotion]]&gt;WWWW[[#This Row],['# People received regular supply of hygiene items]],WWWW[[#This Row],['# people reached by regular dedicated hygiene promotion]],WWWW[[#This Row],['# People received regular supply of hygiene items]])</f>
        <v>0</v>
      </c>
      <c r="BN373" s="476">
        <f>IF(WWWW[[#This Row],[HRP3]]/WWWW[[#This Row],[Total PoP ]]&gt;100%,100%,WWWW[[#This Row],[HRP3]]/WWWW[[#This Row],[Total PoP ]])</f>
        <v>0</v>
      </c>
      <c r="BO373" s="771">
        <f>1-WWWW[[#This Row],[Hygiene Coverage%]]</f>
        <v>1</v>
      </c>
      <c r="BP373" s="769">
        <f>WWWW[[#This Row],['# people reached by regular dedicated hygiene promotion]]/WWWW[[#This Row],[Total PoP ]]</f>
        <v>0</v>
      </c>
      <c r="BQ37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3" s="770">
        <f>WWWW[[#This Row],['#_of_affected_women_and_girls_receiving_a_sufficient_quantity_of_sanitary_pads]]</f>
        <v>0</v>
      </c>
      <c r="BS373" s="773">
        <f>IF(WWWW[[#This Row],['# People with access to soap]]&gt;WWWW[[#This Row],['# People with access to Sanity Pads]],WWWW[[#This Row],['# People with access to soap]],WWWW[[#This Row],['# People with access to Sanity Pads]])</f>
        <v>0</v>
      </c>
      <c r="BT373" s="772" t="str">
        <f>IF(OR(WWWW[[#This Row],['#of students in school]]="",WWWW[[#This Row],['#of students in school]]=0),"No","Yes")</f>
        <v>No</v>
      </c>
      <c r="BU373" s="480" t="str">
        <f>VLOOKUP(WWWW[[#This Row],[Village  Name]],SiteDB6[[Site Name]:[Location Type 1]],9,FALSE)</f>
        <v>Village</v>
      </c>
      <c r="BV373" s="480" t="str">
        <f>VLOOKUP(WWWW[[#This Row],[Village  Name]],SiteDB6[[Site Name]:[Type of Accommodation]],10,FALSE)</f>
        <v>Village</v>
      </c>
      <c r="BW373" s="480">
        <f>VLOOKUP(WWWW[[#This Row],[Village  Name]],SiteDB6[[Site Name]:[Ethnic or GCA/NGCA]],11,FALSE)</f>
        <v>0</v>
      </c>
      <c r="BX373" s="480">
        <f>VLOOKUP(WWWW[[#This Row],[Village  Name]],SiteDB6[[Site Name]:[Lat]],12,FALSE)</f>
        <v>0</v>
      </c>
      <c r="BY373" s="480">
        <f>VLOOKUP(WWWW[[#This Row],[Village  Name]],SiteDB6[[Site Name]:[Long]],13,FALSE)</f>
        <v>0</v>
      </c>
      <c r="BZ373" s="480">
        <f>VLOOKUP(WWWW[[#This Row],[Village  Name]],SiteDB6[[Site Name]:[Pcode]],3,FALSE)</f>
        <v>0</v>
      </c>
      <c r="CA373" s="480" t="str">
        <f t="shared" si="23"/>
        <v>Covered</v>
      </c>
      <c r="CB373" s="505"/>
    </row>
    <row r="374" spans="1:80">
      <c r="A374" s="774" t="s">
        <v>3199</v>
      </c>
      <c r="B374" s="774" t="s">
        <v>308</v>
      </c>
      <c r="C374" s="415"/>
      <c r="D374" s="415" t="s">
        <v>327</v>
      </c>
      <c r="E374" s="415" t="s">
        <v>3274</v>
      </c>
      <c r="F374" s="415" t="s">
        <v>3275</v>
      </c>
      <c r="G374" s="644" t="str">
        <f>VLOOKUP(WWWW[[#This Row],[Village  Name]],SiteDB6[[Site Name]:[Location Type]],8,FALSE)</f>
        <v>Village</v>
      </c>
      <c r="H374" s="415" t="s">
        <v>3310</v>
      </c>
      <c r="I374" s="773">
        <v>63</v>
      </c>
      <c r="J374" s="773">
        <v>348</v>
      </c>
      <c r="K374" s="418">
        <v>43300</v>
      </c>
      <c r="L374" s="55">
        <v>44377</v>
      </c>
      <c r="M374" s="773">
        <v>0</v>
      </c>
      <c r="N374" s="773">
        <v>0</v>
      </c>
      <c r="O374" s="773">
        <v>34</v>
      </c>
      <c r="P374" s="773">
        <v>0</v>
      </c>
      <c r="Q374" s="773">
        <v>0</v>
      </c>
      <c r="R374" s="773">
        <v>0</v>
      </c>
      <c r="S374" s="773">
        <v>0</v>
      </c>
      <c r="T374" s="773">
        <v>0</v>
      </c>
      <c r="U374" s="551"/>
      <c r="V374" s="773">
        <v>33</v>
      </c>
      <c r="W374" s="773" t="s">
        <v>130</v>
      </c>
      <c r="X374" s="773">
        <v>1</v>
      </c>
      <c r="Y374" s="773">
        <v>0</v>
      </c>
      <c r="Z374" s="773">
        <v>0</v>
      </c>
      <c r="AA374" s="773">
        <v>0</v>
      </c>
      <c r="AB374" s="773">
        <v>0</v>
      </c>
      <c r="AC374" s="551"/>
      <c r="AD374" s="773">
        <v>0</v>
      </c>
      <c r="AE374" s="773">
        <v>0</v>
      </c>
      <c r="AF374" s="773">
        <v>0</v>
      </c>
      <c r="AG374" s="773">
        <v>0</v>
      </c>
      <c r="AH374" s="773">
        <v>0</v>
      </c>
      <c r="AI374" s="773">
        <v>0</v>
      </c>
      <c r="AJ374" s="773">
        <v>0</v>
      </c>
      <c r="AK374" s="773">
        <v>0</v>
      </c>
      <c r="AL374" s="773">
        <v>0</v>
      </c>
      <c r="AM374" s="773">
        <v>0</v>
      </c>
      <c r="AN374" s="551"/>
      <c r="AO374" s="769">
        <v>0</v>
      </c>
      <c r="AP374" s="769">
        <v>0</v>
      </c>
      <c r="AQ374" s="773">
        <v>0</v>
      </c>
      <c r="AR374" s="773">
        <v>0</v>
      </c>
      <c r="AS374" s="773">
        <v>0</v>
      </c>
      <c r="AT374"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74" s="772">
        <f>WWWW[[#This Row],[%Equitable and continuous access to sufficient quantity of safe drinking water]]*WWWW[[#This Row],[Total PoP ]]</f>
        <v>348</v>
      </c>
      <c r="AV374"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4" s="772">
        <f>WWWW[[#This Row],[% Access to unimproved water points]]*WWWW[[#This Row],[Total PoP ]]</f>
        <v>0</v>
      </c>
      <c r="AX374"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74"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348</v>
      </c>
      <c r="AZ374" s="772">
        <f>WWWW[[#This Row],[HRP1]]/250</f>
        <v>1.3919999999999999</v>
      </c>
      <c r="BA374" s="476">
        <f>1-WWWW[[#This Row],[% Equitable and continuous access to sufficient quantity of domestic water]]</f>
        <v>0</v>
      </c>
      <c r="BB374" s="772">
        <f>WWWW[[#This Row],[%equitable and continuous access to sufficient quantity of safe drinking and domestic water''s GAP]]*WWWW[[#This Row],[Total PoP ]]</f>
        <v>0</v>
      </c>
      <c r="BC374" s="770">
        <f>IF(WWWW[[#This Row],[Total required water points]]-WWWW[[#This Row],['#Water points coverage]]&lt;0,0,WWWW[[#This Row],[Total required water points]]-WWWW[[#This Row],['#Water points coverage]])</f>
        <v>0</v>
      </c>
      <c r="BD374" s="770">
        <f>ROUND(IF(WWWW[[#This Row],[Total PoP ]]&lt;250,1,WWWW[[#This Row],[Total PoP ]]/250),0)</f>
        <v>1</v>
      </c>
      <c r="BE37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0.56896551724137934</v>
      </c>
      <c r="BF374" s="772">
        <f>WWWW[[#This Row],[% people access to functioning Latrine]]*WWWW[[#This Row],[Total PoP ]]</f>
        <v>198</v>
      </c>
      <c r="BG374" s="770">
        <f>WWWW[[#This Row],['#_of_Functioning_latrines_in_school]]*50</f>
        <v>50</v>
      </c>
      <c r="BH374" s="770">
        <f>ROUND((WWWW[[#This Row],[Total PoP ]]/6),0)</f>
        <v>58</v>
      </c>
      <c r="BI374" s="770">
        <f>IF(WWWW[[#This Row],[Total required Latrines]]-(WWWW[[#This Row],['#_of_sanitary_fly-proof_HH_latrines]])&lt;0,0,WWWW[[#This Row],[Total required Latrines]]-(WWWW[[#This Row],['#_of_sanitary_fly-proof_HH_latrines]]))</f>
        <v>25</v>
      </c>
      <c r="BJ374" s="771">
        <f>1-WWWW[[#This Row],[% people access to functioning Latrine]]</f>
        <v>0.43103448275862066</v>
      </c>
      <c r="BK374"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4" s="772">
        <f>IF(WWWW[[#This Row],['#_of_functional_handwashing_facilities_at_HH_level]]*6&gt;WWWW[[#This Row],[Total PoP ]],WWWW[[#This Row],[Total PoP ]],WWWW[[#This Row],['#_of_functional_handwashing_facilities_at_HH_level]]*6)</f>
        <v>0</v>
      </c>
      <c r="BM374" s="770">
        <f>IF(WWWW[[#This Row],['# people reached by regular dedicated hygiene promotion]]&gt;WWWW[[#This Row],['# People received regular supply of hygiene items]],WWWW[[#This Row],['# people reached by regular dedicated hygiene promotion]],WWWW[[#This Row],['# People received regular supply of hygiene items]])</f>
        <v>0</v>
      </c>
      <c r="BN374" s="476">
        <f>IF(WWWW[[#This Row],[HRP3]]/WWWW[[#This Row],[Total PoP ]]&gt;100%,100%,WWWW[[#This Row],[HRP3]]/WWWW[[#This Row],[Total PoP ]])</f>
        <v>0</v>
      </c>
      <c r="BO374" s="771">
        <f>1-WWWW[[#This Row],[Hygiene Coverage%]]</f>
        <v>1</v>
      </c>
      <c r="BP374" s="769">
        <f>WWWW[[#This Row],['# people reached by regular dedicated hygiene promotion]]/WWWW[[#This Row],[Total PoP ]]</f>
        <v>0</v>
      </c>
      <c r="BQ37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4" s="770">
        <f>WWWW[[#This Row],['#_of_affected_women_and_girls_receiving_a_sufficient_quantity_of_sanitary_pads]]</f>
        <v>0</v>
      </c>
      <c r="BS374" s="773">
        <f>IF(WWWW[[#This Row],['# People with access to soap]]&gt;WWWW[[#This Row],['# People with access to Sanity Pads]],WWWW[[#This Row],['# People with access to soap]],WWWW[[#This Row],['# People with access to Sanity Pads]])</f>
        <v>0</v>
      </c>
      <c r="BT374" s="772" t="str">
        <f>IF(OR(WWWW[[#This Row],['#of students in school]]="",WWWW[[#This Row],['#of students in school]]=0),"No","Yes")</f>
        <v>No</v>
      </c>
      <c r="BU374" s="480" t="str">
        <f>VLOOKUP(WWWW[[#This Row],[Village  Name]],SiteDB6[[Site Name]:[Location Type 1]],9,FALSE)</f>
        <v>Village</v>
      </c>
      <c r="BV374" s="480" t="str">
        <f>VLOOKUP(WWWW[[#This Row],[Village  Name]],SiteDB6[[Site Name]:[Type of Accommodation]],10,FALSE)</f>
        <v>Village</v>
      </c>
      <c r="BW374" s="480">
        <f>VLOOKUP(WWWW[[#This Row],[Village  Name]],SiteDB6[[Site Name]:[Ethnic or GCA/NGCA]],11,FALSE)</f>
        <v>0</v>
      </c>
      <c r="BX374" s="480">
        <f>VLOOKUP(WWWW[[#This Row],[Village  Name]],SiteDB6[[Site Name]:[Lat]],12,FALSE)</f>
        <v>0</v>
      </c>
      <c r="BY374" s="480">
        <f>VLOOKUP(WWWW[[#This Row],[Village  Name]],SiteDB6[[Site Name]:[Long]],13,FALSE)</f>
        <v>0</v>
      </c>
      <c r="BZ374" s="480">
        <f>VLOOKUP(WWWW[[#This Row],[Village  Name]],SiteDB6[[Site Name]:[Pcode]],3,FALSE)</f>
        <v>0</v>
      </c>
      <c r="CA374" s="480" t="str">
        <f t="shared" si="23"/>
        <v>Covered</v>
      </c>
      <c r="CB374" s="505"/>
    </row>
    <row r="375" spans="1:80">
      <c r="A375" s="774" t="s">
        <v>3199</v>
      </c>
      <c r="B375" s="774" t="s">
        <v>308</v>
      </c>
      <c r="C375" s="415"/>
      <c r="D375" s="415" t="s">
        <v>327</v>
      </c>
      <c r="E375" s="415" t="s">
        <v>3274</v>
      </c>
      <c r="F375" s="415" t="s">
        <v>3275</v>
      </c>
      <c r="G375" s="644" t="str">
        <f>VLOOKUP(WWWW[[#This Row],[Village  Name]],SiteDB6[[Site Name]:[Location Type]],8,FALSE)</f>
        <v>Village</v>
      </c>
      <c r="H375" s="415" t="s">
        <v>3278</v>
      </c>
      <c r="I375" s="773">
        <v>53</v>
      </c>
      <c r="J375" s="773">
        <v>211</v>
      </c>
      <c r="K375" s="418">
        <v>43300</v>
      </c>
      <c r="L375" s="55">
        <v>44377</v>
      </c>
      <c r="M375" s="773">
        <v>0</v>
      </c>
      <c r="N375" s="773">
        <v>0</v>
      </c>
      <c r="O375" s="773">
        <v>36</v>
      </c>
      <c r="P375" s="773">
        <v>0</v>
      </c>
      <c r="Q375" s="773">
        <v>0</v>
      </c>
      <c r="R375" s="773">
        <v>0</v>
      </c>
      <c r="S375" s="773">
        <v>0</v>
      </c>
      <c r="T375" s="773">
        <v>0</v>
      </c>
      <c r="U375" s="551"/>
      <c r="V375" s="773">
        <v>30</v>
      </c>
      <c r="W375" s="773" t="s">
        <v>130</v>
      </c>
      <c r="X375" s="773">
        <v>0</v>
      </c>
      <c r="Y375" s="773">
        <v>0</v>
      </c>
      <c r="Z375" s="773">
        <v>0</v>
      </c>
      <c r="AA375" s="773">
        <v>0</v>
      </c>
      <c r="AB375" s="773">
        <v>0</v>
      </c>
      <c r="AC375" s="551"/>
      <c r="AD375" s="773">
        <v>0</v>
      </c>
      <c r="AE375" s="773">
        <v>0</v>
      </c>
      <c r="AF375" s="773">
        <v>0</v>
      </c>
      <c r="AG375" s="773">
        <v>0</v>
      </c>
      <c r="AH375" s="773">
        <v>0</v>
      </c>
      <c r="AI375" s="773">
        <v>0</v>
      </c>
      <c r="AJ375" s="773">
        <v>0</v>
      </c>
      <c r="AK375" s="773">
        <v>0</v>
      </c>
      <c r="AL375" s="773">
        <v>0</v>
      </c>
      <c r="AM375" s="773">
        <v>0</v>
      </c>
      <c r="AN375" s="551"/>
      <c r="AO375" s="769">
        <v>0</v>
      </c>
      <c r="AP375" s="769">
        <v>0</v>
      </c>
      <c r="AQ375" s="773">
        <v>0</v>
      </c>
      <c r="AR375" s="773">
        <v>0</v>
      </c>
      <c r="AS375" s="773">
        <v>0</v>
      </c>
      <c r="AT375"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75" s="772">
        <f>WWWW[[#This Row],[%Equitable and continuous access to sufficient quantity of safe drinking water]]*WWWW[[#This Row],[Total PoP ]]</f>
        <v>211</v>
      </c>
      <c r="AV375"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5" s="772">
        <f>WWWW[[#This Row],[% Access to unimproved water points]]*WWWW[[#This Row],[Total PoP ]]</f>
        <v>0</v>
      </c>
      <c r="AX375"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75"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211</v>
      </c>
      <c r="AZ375" s="772">
        <f>WWWW[[#This Row],[HRP1]]/250</f>
        <v>0.84399999999999997</v>
      </c>
      <c r="BA375" s="476">
        <f>1-WWWW[[#This Row],[% Equitable and continuous access to sufficient quantity of domestic water]]</f>
        <v>0</v>
      </c>
      <c r="BB375" s="772">
        <f>WWWW[[#This Row],[%equitable and continuous access to sufficient quantity of safe drinking and domestic water''s GAP]]*WWWW[[#This Row],[Total PoP ]]</f>
        <v>0</v>
      </c>
      <c r="BC375" s="770">
        <f>IF(WWWW[[#This Row],[Total required water points]]-WWWW[[#This Row],['#Water points coverage]]&lt;0,0,WWWW[[#This Row],[Total required water points]]-WWWW[[#This Row],['#Water points coverage]])</f>
        <v>0.15600000000000003</v>
      </c>
      <c r="BD375" s="770">
        <f>ROUND(IF(WWWW[[#This Row],[Total PoP ]]&lt;250,1,WWWW[[#This Row],[Total PoP ]]/250),0)</f>
        <v>1</v>
      </c>
      <c r="BE37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0.85308056872037918</v>
      </c>
      <c r="BF375" s="772">
        <f>WWWW[[#This Row],[% people access to functioning Latrine]]*WWWW[[#This Row],[Total PoP ]]</f>
        <v>180</v>
      </c>
      <c r="BG375" s="770">
        <f>WWWW[[#This Row],['#_of_Functioning_latrines_in_school]]*50</f>
        <v>0</v>
      </c>
      <c r="BH375" s="770">
        <f>ROUND((WWWW[[#This Row],[Total PoP ]]/6),0)</f>
        <v>35</v>
      </c>
      <c r="BI375" s="770">
        <f>IF(WWWW[[#This Row],[Total required Latrines]]-(WWWW[[#This Row],['#_of_sanitary_fly-proof_HH_latrines]])&lt;0,0,WWWW[[#This Row],[Total required Latrines]]-(WWWW[[#This Row],['#_of_sanitary_fly-proof_HH_latrines]]))</f>
        <v>5</v>
      </c>
      <c r="BJ375" s="771">
        <f>1-WWWW[[#This Row],[% people access to functioning Latrine]]</f>
        <v>0.14691943127962082</v>
      </c>
      <c r="BK375"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5" s="772">
        <f>IF(WWWW[[#This Row],['#_of_functional_handwashing_facilities_at_HH_level]]*6&gt;WWWW[[#This Row],[Total PoP ]],WWWW[[#This Row],[Total PoP ]],WWWW[[#This Row],['#_of_functional_handwashing_facilities_at_HH_level]]*6)</f>
        <v>0</v>
      </c>
      <c r="BM375" s="770">
        <f>IF(WWWW[[#This Row],['# people reached by regular dedicated hygiene promotion]]&gt;WWWW[[#This Row],['# People received regular supply of hygiene items]],WWWW[[#This Row],['# people reached by regular dedicated hygiene promotion]],WWWW[[#This Row],['# People received regular supply of hygiene items]])</f>
        <v>0</v>
      </c>
      <c r="BN375" s="476">
        <f>IF(WWWW[[#This Row],[HRP3]]/WWWW[[#This Row],[Total PoP ]]&gt;100%,100%,WWWW[[#This Row],[HRP3]]/WWWW[[#This Row],[Total PoP ]])</f>
        <v>0</v>
      </c>
      <c r="BO375" s="771">
        <f>1-WWWW[[#This Row],[Hygiene Coverage%]]</f>
        <v>1</v>
      </c>
      <c r="BP375" s="769">
        <f>WWWW[[#This Row],['# people reached by regular dedicated hygiene promotion]]/WWWW[[#This Row],[Total PoP ]]</f>
        <v>0</v>
      </c>
      <c r="BQ37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5" s="770">
        <f>WWWW[[#This Row],['#_of_affected_women_and_girls_receiving_a_sufficient_quantity_of_sanitary_pads]]</f>
        <v>0</v>
      </c>
      <c r="BS375" s="773">
        <f>IF(WWWW[[#This Row],['# People with access to soap]]&gt;WWWW[[#This Row],['# People with access to Sanity Pads]],WWWW[[#This Row],['# People with access to soap]],WWWW[[#This Row],['# People with access to Sanity Pads]])</f>
        <v>0</v>
      </c>
      <c r="BT375" s="772" t="str">
        <f>IF(OR(WWWW[[#This Row],['#of students in school]]="",WWWW[[#This Row],['#of students in school]]=0),"No","Yes")</f>
        <v>No</v>
      </c>
      <c r="BU375" s="480" t="str">
        <f>VLOOKUP(WWWW[[#This Row],[Village  Name]],SiteDB6[[Site Name]:[Location Type 1]],9,FALSE)</f>
        <v>Village</v>
      </c>
      <c r="BV375" s="480" t="str">
        <f>VLOOKUP(WWWW[[#This Row],[Village  Name]],SiteDB6[[Site Name]:[Type of Accommodation]],10,FALSE)</f>
        <v>Village</v>
      </c>
      <c r="BW375" s="480">
        <f>VLOOKUP(WWWW[[#This Row],[Village  Name]],SiteDB6[[Site Name]:[Ethnic or GCA/NGCA]],11,FALSE)</f>
        <v>0</v>
      </c>
      <c r="BX375" s="480">
        <f>VLOOKUP(WWWW[[#This Row],[Village  Name]],SiteDB6[[Site Name]:[Lat]],12,FALSE)</f>
        <v>0</v>
      </c>
      <c r="BY375" s="480">
        <f>VLOOKUP(WWWW[[#This Row],[Village  Name]],SiteDB6[[Site Name]:[Long]],13,FALSE)</f>
        <v>0</v>
      </c>
      <c r="BZ375" s="480">
        <f>VLOOKUP(WWWW[[#This Row],[Village  Name]],SiteDB6[[Site Name]:[Pcode]],3,FALSE)</f>
        <v>0</v>
      </c>
      <c r="CA375" s="480" t="str">
        <f t="shared" si="23"/>
        <v>Covered</v>
      </c>
      <c r="CB375" s="505"/>
    </row>
    <row r="376" spans="1:80">
      <c r="A376" s="774" t="s">
        <v>3199</v>
      </c>
      <c r="B376" s="774" t="s">
        <v>308</v>
      </c>
      <c r="C376" s="415"/>
      <c r="D376" s="415" t="s">
        <v>327</v>
      </c>
      <c r="E376" s="415" t="s">
        <v>3274</v>
      </c>
      <c r="F376" s="415" t="s">
        <v>3275</v>
      </c>
      <c r="G376" s="644" t="str">
        <f>VLOOKUP(WWWW[[#This Row],[Village  Name]],SiteDB6[[Site Name]:[Location Type]],8,FALSE)</f>
        <v>Village</v>
      </c>
      <c r="H376" s="415" t="s">
        <v>3279</v>
      </c>
      <c r="I376" s="773">
        <v>49</v>
      </c>
      <c r="J376" s="773">
        <v>224</v>
      </c>
      <c r="K376" s="418">
        <v>43300</v>
      </c>
      <c r="L376" s="55">
        <v>44377</v>
      </c>
      <c r="M376" s="773">
        <v>0</v>
      </c>
      <c r="N376" s="773">
        <v>0</v>
      </c>
      <c r="O376" s="773">
        <v>7</v>
      </c>
      <c r="P376" s="773">
        <v>0</v>
      </c>
      <c r="Q376" s="773">
        <v>0</v>
      </c>
      <c r="R376" s="773">
        <v>0</v>
      </c>
      <c r="S376" s="773">
        <v>0</v>
      </c>
      <c r="T376" s="773">
        <v>0</v>
      </c>
      <c r="U376" s="551"/>
      <c r="V376" s="773">
        <v>31</v>
      </c>
      <c r="W376" s="773" t="s">
        <v>130</v>
      </c>
      <c r="X376" s="773">
        <v>0</v>
      </c>
      <c r="Y376" s="773">
        <v>0</v>
      </c>
      <c r="Z376" s="773">
        <v>0</v>
      </c>
      <c r="AA376" s="773">
        <v>0</v>
      </c>
      <c r="AB376" s="773">
        <v>0</v>
      </c>
      <c r="AC376" s="551"/>
      <c r="AD376" s="773">
        <v>0</v>
      </c>
      <c r="AE376" s="773">
        <v>0</v>
      </c>
      <c r="AF376" s="773">
        <v>0</v>
      </c>
      <c r="AG376" s="773">
        <v>0</v>
      </c>
      <c r="AH376" s="773">
        <v>0</v>
      </c>
      <c r="AI376" s="773">
        <v>0</v>
      </c>
      <c r="AJ376" s="773">
        <v>0</v>
      </c>
      <c r="AK376" s="773">
        <v>0</v>
      </c>
      <c r="AL376" s="773">
        <v>0</v>
      </c>
      <c r="AM376" s="773">
        <v>0</v>
      </c>
      <c r="AN376" s="551"/>
      <c r="AO376" s="769">
        <v>0</v>
      </c>
      <c r="AP376" s="769">
        <v>0</v>
      </c>
      <c r="AQ376" s="773">
        <v>0</v>
      </c>
      <c r="AR376" s="773">
        <v>0</v>
      </c>
      <c r="AS376" s="773">
        <v>0</v>
      </c>
      <c r="AT376"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76" s="772">
        <f>WWWW[[#This Row],[%Equitable and continuous access to sufficient quantity of safe drinking water]]*WWWW[[#This Row],[Total PoP ]]</f>
        <v>224</v>
      </c>
      <c r="AV376"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6" s="772">
        <f>WWWW[[#This Row],[% Access to unimproved water points]]*WWWW[[#This Row],[Total PoP ]]</f>
        <v>0</v>
      </c>
      <c r="AX376"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76"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224</v>
      </c>
      <c r="AZ376" s="772">
        <f>WWWW[[#This Row],[HRP1]]/250</f>
        <v>0.89600000000000002</v>
      </c>
      <c r="BA376" s="476">
        <f>1-WWWW[[#This Row],[% Equitable and continuous access to sufficient quantity of domestic water]]</f>
        <v>0</v>
      </c>
      <c r="BB376" s="772">
        <f>WWWW[[#This Row],[%equitable and continuous access to sufficient quantity of safe drinking and domestic water''s GAP]]*WWWW[[#This Row],[Total PoP ]]</f>
        <v>0</v>
      </c>
      <c r="BC376" s="770">
        <f>IF(WWWW[[#This Row],[Total required water points]]-WWWW[[#This Row],['#Water points coverage]]&lt;0,0,WWWW[[#This Row],[Total required water points]]-WWWW[[#This Row],['#Water points coverage]])</f>
        <v>0.10399999999999998</v>
      </c>
      <c r="BD376" s="770">
        <f>ROUND(IF(WWWW[[#This Row],[Total PoP ]]&lt;250,1,WWWW[[#This Row],[Total PoP ]]/250),0)</f>
        <v>1</v>
      </c>
      <c r="BE37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0.8303571428571429</v>
      </c>
      <c r="BF376" s="772">
        <f>WWWW[[#This Row],[% people access to functioning Latrine]]*WWWW[[#This Row],[Total PoP ]]</f>
        <v>186</v>
      </c>
      <c r="BG376" s="770">
        <f>WWWW[[#This Row],['#_of_Functioning_latrines_in_school]]*50</f>
        <v>0</v>
      </c>
      <c r="BH376" s="770">
        <f>ROUND((WWWW[[#This Row],[Total PoP ]]/6),0)</f>
        <v>37</v>
      </c>
      <c r="BI376" s="770">
        <f>IF(WWWW[[#This Row],[Total required Latrines]]-(WWWW[[#This Row],['#_of_sanitary_fly-proof_HH_latrines]])&lt;0,0,WWWW[[#This Row],[Total required Latrines]]-(WWWW[[#This Row],['#_of_sanitary_fly-proof_HH_latrines]]))</f>
        <v>6</v>
      </c>
      <c r="BJ376" s="771">
        <f>1-WWWW[[#This Row],[% people access to functioning Latrine]]</f>
        <v>0.1696428571428571</v>
      </c>
      <c r="BK376"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6" s="772">
        <f>IF(WWWW[[#This Row],['#_of_functional_handwashing_facilities_at_HH_level]]*6&gt;WWWW[[#This Row],[Total PoP ]],WWWW[[#This Row],[Total PoP ]],WWWW[[#This Row],['#_of_functional_handwashing_facilities_at_HH_level]]*6)</f>
        <v>0</v>
      </c>
      <c r="BM376" s="770">
        <f>IF(WWWW[[#This Row],['# people reached by regular dedicated hygiene promotion]]&gt;WWWW[[#This Row],['# People received regular supply of hygiene items]],WWWW[[#This Row],['# people reached by regular dedicated hygiene promotion]],WWWW[[#This Row],['# People received regular supply of hygiene items]])</f>
        <v>0</v>
      </c>
      <c r="BN376" s="476">
        <f>IF(WWWW[[#This Row],[HRP3]]/WWWW[[#This Row],[Total PoP ]]&gt;100%,100%,WWWW[[#This Row],[HRP3]]/WWWW[[#This Row],[Total PoP ]])</f>
        <v>0</v>
      </c>
      <c r="BO376" s="771">
        <f>1-WWWW[[#This Row],[Hygiene Coverage%]]</f>
        <v>1</v>
      </c>
      <c r="BP376" s="769">
        <f>WWWW[[#This Row],['# people reached by regular dedicated hygiene promotion]]/WWWW[[#This Row],[Total PoP ]]</f>
        <v>0</v>
      </c>
      <c r="BQ37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6" s="770">
        <f>WWWW[[#This Row],['#_of_affected_women_and_girls_receiving_a_sufficient_quantity_of_sanitary_pads]]</f>
        <v>0</v>
      </c>
      <c r="BS376" s="773">
        <f>IF(WWWW[[#This Row],['# People with access to soap]]&gt;WWWW[[#This Row],['# People with access to Sanity Pads]],WWWW[[#This Row],['# People with access to soap]],WWWW[[#This Row],['# People with access to Sanity Pads]])</f>
        <v>0</v>
      </c>
      <c r="BT376" s="772" t="str">
        <f>IF(OR(WWWW[[#This Row],['#of students in school]]="",WWWW[[#This Row],['#of students in school]]=0),"No","Yes")</f>
        <v>No</v>
      </c>
      <c r="BU376" s="480" t="str">
        <f>VLOOKUP(WWWW[[#This Row],[Village  Name]],SiteDB6[[Site Name]:[Location Type 1]],9,FALSE)</f>
        <v>Village</v>
      </c>
      <c r="BV376" s="480" t="str">
        <f>VLOOKUP(WWWW[[#This Row],[Village  Name]],SiteDB6[[Site Name]:[Type of Accommodation]],10,FALSE)</f>
        <v>Village</v>
      </c>
      <c r="BW376" s="480">
        <f>VLOOKUP(WWWW[[#This Row],[Village  Name]],SiteDB6[[Site Name]:[Ethnic or GCA/NGCA]],11,FALSE)</f>
        <v>0</v>
      </c>
      <c r="BX376" s="480">
        <f>VLOOKUP(WWWW[[#This Row],[Village  Name]],SiteDB6[[Site Name]:[Lat]],12,FALSE)</f>
        <v>0</v>
      </c>
      <c r="BY376" s="480">
        <f>VLOOKUP(WWWW[[#This Row],[Village  Name]],SiteDB6[[Site Name]:[Long]],13,FALSE)</f>
        <v>0</v>
      </c>
      <c r="BZ376" s="480">
        <f>VLOOKUP(WWWW[[#This Row],[Village  Name]],SiteDB6[[Site Name]:[Pcode]],3,FALSE)</f>
        <v>0</v>
      </c>
      <c r="CA376" s="480" t="str">
        <f t="shared" si="23"/>
        <v>Covered</v>
      </c>
      <c r="CB376" s="505"/>
    </row>
    <row r="377" spans="1:80">
      <c r="A377" s="774" t="s">
        <v>3199</v>
      </c>
      <c r="B377" s="774" t="s">
        <v>308</v>
      </c>
      <c r="C377" s="415"/>
      <c r="D377" s="415" t="s">
        <v>327</v>
      </c>
      <c r="E377" s="415" t="s">
        <v>3274</v>
      </c>
      <c r="F377" s="415" t="s">
        <v>3275</v>
      </c>
      <c r="G377" s="644" t="str">
        <f>VLOOKUP(WWWW[[#This Row],[Village  Name]],SiteDB6[[Site Name]:[Location Type]],8,FALSE)</f>
        <v>Village</v>
      </c>
      <c r="H377" s="415" t="s">
        <v>3280</v>
      </c>
      <c r="I377" s="773">
        <v>49</v>
      </c>
      <c r="J377" s="773">
        <v>221</v>
      </c>
      <c r="K377" s="418">
        <v>43300</v>
      </c>
      <c r="L377" s="55">
        <v>44377</v>
      </c>
      <c r="M377" s="773">
        <v>0</v>
      </c>
      <c r="N377" s="773">
        <v>0</v>
      </c>
      <c r="O377" s="773">
        <v>16</v>
      </c>
      <c r="P377" s="773">
        <v>0</v>
      </c>
      <c r="Q377" s="773">
        <v>0</v>
      </c>
      <c r="R377" s="773">
        <v>0</v>
      </c>
      <c r="S377" s="773">
        <v>0</v>
      </c>
      <c r="T377" s="773">
        <v>0</v>
      </c>
      <c r="U377" s="551"/>
      <c r="V377" s="773">
        <v>17</v>
      </c>
      <c r="W377" s="773" t="s">
        <v>130</v>
      </c>
      <c r="X377" s="773">
        <v>0</v>
      </c>
      <c r="Y377" s="773">
        <v>0</v>
      </c>
      <c r="Z377" s="773">
        <v>0</v>
      </c>
      <c r="AA377" s="773">
        <v>0</v>
      </c>
      <c r="AB377" s="773">
        <v>0</v>
      </c>
      <c r="AC377" s="551"/>
      <c r="AD377" s="773">
        <v>0</v>
      </c>
      <c r="AE377" s="773">
        <v>0</v>
      </c>
      <c r="AF377" s="773">
        <v>0</v>
      </c>
      <c r="AG377" s="773">
        <v>0</v>
      </c>
      <c r="AH377" s="773">
        <v>0</v>
      </c>
      <c r="AI377" s="773">
        <v>0</v>
      </c>
      <c r="AJ377" s="773">
        <v>0</v>
      </c>
      <c r="AK377" s="773">
        <v>0</v>
      </c>
      <c r="AL377" s="773">
        <v>0</v>
      </c>
      <c r="AM377" s="773">
        <v>0</v>
      </c>
      <c r="AN377" s="551"/>
      <c r="AO377" s="769">
        <v>0</v>
      </c>
      <c r="AP377" s="769">
        <v>0</v>
      </c>
      <c r="AQ377" s="773">
        <v>0</v>
      </c>
      <c r="AR377" s="773">
        <v>0</v>
      </c>
      <c r="AS377" s="773">
        <v>0</v>
      </c>
      <c r="AT377"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77" s="772">
        <f>WWWW[[#This Row],[%Equitable and continuous access to sufficient quantity of safe drinking water]]*WWWW[[#This Row],[Total PoP ]]</f>
        <v>221</v>
      </c>
      <c r="AV377"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7" s="772">
        <f>WWWW[[#This Row],[% Access to unimproved water points]]*WWWW[[#This Row],[Total PoP ]]</f>
        <v>0</v>
      </c>
      <c r="AX377"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77"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221</v>
      </c>
      <c r="AZ377" s="772">
        <f>WWWW[[#This Row],[HRP1]]/250</f>
        <v>0.88400000000000001</v>
      </c>
      <c r="BA377" s="476">
        <f>1-WWWW[[#This Row],[% Equitable and continuous access to sufficient quantity of domestic water]]</f>
        <v>0</v>
      </c>
      <c r="BB377" s="772">
        <f>WWWW[[#This Row],[%equitable and continuous access to sufficient quantity of safe drinking and domestic water''s GAP]]*WWWW[[#This Row],[Total PoP ]]</f>
        <v>0</v>
      </c>
      <c r="BC377" s="770">
        <f>IF(WWWW[[#This Row],[Total required water points]]-WWWW[[#This Row],['#Water points coverage]]&lt;0,0,WWWW[[#This Row],[Total required water points]]-WWWW[[#This Row],['#Water points coverage]])</f>
        <v>0.11599999999999999</v>
      </c>
      <c r="BD377" s="770">
        <f>ROUND(IF(WWWW[[#This Row],[Total PoP ]]&lt;250,1,WWWW[[#This Row],[Total PoP ]]/250),0)</f>
        <v>1</v>
      </c>
      <c r="BE37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0.46153846153846156</v>
      </c>
      <c r="BF377" s="772">
        <f>WWWW[[#This Row],[% people access to functioning Latrine]]*WWWW[[#This Row],[Total PoP ]]</f>
        <v>102</v>
      </c>
      <c r="BG377" s="770">
        <f>WWWW[[#This Row],['#_of_Functioning_latrines_in_school]]*50</f>
        <v>0</v>
      </c>
      <c r="BH377" s="770">
        <f>ROUND((WWWW[[#This Row],[Total PoP ]]/6),0)</f>
        <v>37</v>
      </c>
      <c r="BI377" s="770">
        <f>IF(WWWW[[#This Row],[Total required Latrines]]-(WWWW[[#This Row],['#_of_sanitary_fly-proof_HH_latrines]])&lt;0,0,WWWW[[#This Row],[Total required Latrines]]-(WWWW[[#This Row],['#_of_sanitary_fly-proof_HH_latrines]]))</f>
        <v>20</v>
      </c>
      <c r="BJ377" s="771">
        <f>1-WWWW[[#This Row],[% people access to functioning Latrine]]</f>
        <v>0.53846153846153844</v>
      </c>
      <c r="BK377"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7" s="772">
        <f>IF(WWWW[[#This Row],['#_of_functional_handwashing_facilities_at_HH_level]]*6&gt;WWWW[[#This Row],[Total PoP ]],WWWW[[#This Row],[Total PoP ]],WWWW[[#This Row],['#_of_functional_handwashing_facilities_at_HH_level]]*6)</f>
        <v>0</v>
      </c>
      <c r="BM377" s="770">
        <f>IF(WWWW[[#This Row],['# people reached by regular dedicated hygiene promotion]]&gt;WWWW[[#This Row],['# People received regular supply of hygiene items]],WWWW[[#This Row],['# people reached by regular dedicated hygiene promotion]],WWWW[[#This Row],['# People received regular supply of hygiene items]])</f>
        <v>0</v>
      </c>
      <c r="BN377" s="476">
        <f>IF(WWWW[[#This Row],[HRP3]]/WWWW[[#This Row],[Total PoP ]]&gt;100%,100%,WWWW[[#This Row],[HRP3]]/WWWW[[#This Row],[Total PoP ]])</f>
        <v>0</v>
      </c>
      <c r="BO377" s="771">
        <f>1-WWWW[[#This Row],[Hygiene Coverage%]]</f>
        <v>1</v>
      </c>
      <c r="BP377" s="769">
        <f>WWWW[[#This Row],['# people reached by regular dedicated hygiene promotion]]/WWWW[[#This Row],[Total PoP ]]</f>
        <v>0</v>
      </c>
      <c r="BQ37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7" s="770">
        <f>WWWW[[#This Row],['#_of_affected_women_and_girls_receiving_a_sufficient_quantity_of_sanitary_pads]]</f>
        <v>0</v>
      </c>
      <c r="BS377" s="773">
        <f>IF(WWWW[[#This Row],['# People with access to soap]]&gt;WWWW[[#This Row],['# People with access to Sanity Pads]],WWWW[[#This Row],['# People with access to soap]],WWWW[[#This Row],['# People with access to Sanity Pads]])</f>
        <v>0</v>
      </c>
      <c r="BT377" s="772" t="str">
        <f>IF(OR(WWWW[[#This Row],['#of students in school]]="",WWWW[[#This Row],['#of students in school]]=0),"No","Yes")</f>
        <v>No</v>
      </c>
      <c r="BU377" s="480" t="str">
        <f>VLOOKUP(WWWW[[#This Row],[Village  Name]],SiteDB6[[Site Name]:[Location Type 1]],9,FALSE)</f>
        <v>Village</v>
      </c>
      <c r="BV377" s="480" t="str">
        <f>VLOOKUP(WWWW[[#This Row],[Village  Name]],SiteDB6[[Site Name]:[Type of Accommodation]],10,FALSE)</f>
        <v>Village</v>
      </c>
      <c r="BW377" s="480">
        <f>VLOOKUP(WWWW[[#This Row],[Village  Name]],SiteDB6[[Site Name]:[Ethnic or GCA/NGCA]],11,FALSE)</f>
        <v>0</v>
      </c>
      <c r="BX377" s="480">
        <f>VLOOKUP(WWWW[[#This Row],[Village  Name]],SiteDB6[[Site Name]:[Lat]],12,FALSE)</f>
        <v>0</v>
      </c>
      <c r="BY377" s="480">
        <f>VLOOKUP(WWWW[[#This Row],[Village  Name]],SiteDB6[[Site Name]:[Long]],13,FALSE)</f>
        <v>0</v>
      </c>
      <c r="BZ377" s="480">
        <f>VLOOKUP(WWWW[[#This Row],[Village  Name]],SiteDB6[[Site Name]:[Pcode]],3,FALSE)</f>
        <v>0</v>
      </c>
      <c r="CA377" s="480" t="str">
        <f t="shared" si="23"/>
        <v>Covered</v>
      </c>
      <c r="CB377" s="505"/>
    </row>
    <row r="378" spans="1:80">
      <c r="A378" s="774" t="s">
        <v>3199</v>
      </c>
      <c r="B378" s="774" t="s">
        <v>308</v>
      </c>
      <c r="C378" s="415"/>
      <c r="D378" s="415" t="s">
        <v>327</v>
      </c>
      <c r="E378" s="415" t="s">
        <v>3274</v>
      </c>
      <c r="F378" s="415" t="s">
        <v>3275</v>
      </c>
      <c r="G378" s="644" t="str">
        <f>VLOOKUP(WWWW[[#This Row],[Village  Name]],SiteDB6[[Site Name]:[Location Type]],8,FALSE)</f>
        <v>Village</v>
      </c>
      <c r="H378" s="415" t="s">
        <v>3281</v>
      </c>
      <c r="I378" s="773">
        <v>65</v>
      </c>
      <c r="J378" s="773">
        <v>449</v>
      </c>
      <c r="K378" s="418">
        <v>43300</v>
      </c>
      <c r="L378" s="55">
        <v>44377</v>
      </c>
      <c r="M378" s="773">
        <v>0</v>
      </c>
      <c r="N378" s="773">
        <v>0</v>
      </c>
      <c r="O378" s="773"/>
      <c r="P378" s="773">
        <v>0</v>
      </c>
      <c r="Q378" s="773">
        <v>0</v>
      </c>
      <c r="R378" s="773">
        <v>0</v>
      </c>
      <c r="S378" s="773">
        <v>0</v>
      </c>
      <c r="T378" s="773">
        <v>0</v>
      </c>
      <c r="U378" s="551"/>
      <c r="V378" s="773">
        <v>35</v>
      </c>
      <c r="W378" s="773" t="s">
        <v>130</v>
      </c>
      <c r="X378" s="773">
        <v>1</v>
      </c>
      <c r="Y378" s="773">
        <v>0</v>
      </c>
      <c r="Z378" s="773">
        <v>0</v>
      </c>
      <c r="AA378" s="773">
        <v>0</v>
      </c>
      <c r="AB378" s="773">
        <v>0</v>
      </c>
      <c r="AC378" s="551"/>
      <c r="AD378" s="773">
        <v>0</v>
      </c>
      <c r="AE378" s="773">
        <v>0</v>
      </c>
      <c r="AF378" s="773">
        <v>0</v>
      </c>
      <c r="AG378" s="773">
        <v>0</v>
      </c>
      <c r="AH378" s="773">
        <v>0</v>
      </c>
      <c r="AI378" s="773">
        <v>0</v>
      </c>
      <c r="AJ378" s="773">
        <v>0</v>
      </c>
      <c r="AK378" s="773">
        <v>0</v>
      </c>
      <c r="AL378" s="773">
        <v>0</v>
      </c>
      <c r="AM378" s="773">
        <v>0</v>
      </c>
      <c r="AN378" s="551"/>
      <c r="AO378" s="769">
        <v>0</v>
      </c>
      <c r="AP378" s="769">
        <v>0</v>
      </c>
      <c r="AQ378" s="773">
        <v>0</v>
      </c>
      <c r="AR378" s="773">
        <v>0</v>
      </c>
      <c r="AS378" s="773">
        <v>0</v>
      </c>
      <c r="AT378"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78" s="772">
        <f>WWWW[[#This Row],[%Equitable and continuous access to sufficient quantity of safe drinking water]]*WWWW[[#This Row],[Total PoP ]]</f>
        <v>0</v>
      </c>
      <c r="AV378"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8" s="772">
        <f>WWWW[[#This Row],[% Access to unimproved water points]]*WWWW[[#This Row],[Total PoP ]]</f>
        <v>0</v>
      </c>
      <c r="AX378"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78"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78" s="772">
        <f>WWWW[[#This Row],[HRP1]]/250</f>
        <v>0</v>
      </c>
      <c r="BA378" s="476">
        <f>1-WWWW[[#This Row],[% Equitable and continuous access to sufficient quantity of domestic water]]</f>
        <v>1</v>
      </c>
      <c r="BB378" s="772">
        <f>WWWW[[#This Row],[%equitable and continuous access to sufficient quantity of safe drinking and domestic water''s GAP]]*WWWW[[#This Row],[Total PoP ]]</f>
        <v>449</v>
      </c>
      <c r="BC378" s="770">
        <f>IF(WWWW[[#This Row],[Total required water points]]-WWWW[[#This Row],['#Water points coverage]]&lt;0,0,WWWW[[#This Row],[Total required water points]]-WWWW[[#This Row],['#Water points coverage]])</f>
        <v>2</v>
      </c>
      <c r="BD378" s="770">
        <f>ROUND(IF(WWWW[[#This Row],[Total PoP ]]&lt;250,1,WWWW[[#This Row],[Total PoP ]]/250),0)</f>
        <v>2</v>
      </c>
      <c r="BE37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0.46770601336302897</v>
      </c>
      <c r="BF378" s="772">
        <f>WWWW[[#This Row],[% people access to functioning Latrine]]*WWWW[[#This Row],[Total PoP ]]</f>
        <v>210</v>
      </c>
      <c r="BG378" s="770">
        <f>WWWW[[#This Row],['#_of_Functioning_latrines_in_school]]*50</f>
        <v>50</v>
      </c>
      <c r="BH378" s="770">
        <f>ROUND((WWWW[[#This Row],[Total PoP ]]/6),0)</f>
        <v>75</v>
      </c>
      <c r="BI378" s="770">
        <f>IF(WWWW[[#This Row],[Total required Latrines]]-(WWWW[[#This Row],['#_of_sanitary_fly-proof_HH_latrines]])&lt;0,0,WWWW[[#This Row],[Total required Latrines]]-(WWWW[[#This Row],['#_of_sanitary_fly-proof_HH_latrines]]))</f>
        <v>40</v>
      </c>
      <c r="BJ378" s="771">
        <f>1-WWWW[[#This Row],[% people access to functioning Latrine]]</f>
        <v>0.53229398663697103</v>
      </c>
      <c r="BK378"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8" s="772">
        <f>IF(WWWW[[#This Row],['#_of_functional_handwashing_facilities_at_HH_level]]*6&gt;WWWW[[#This Row],[Total PoP ]],WWWW[[#This Row],[Total PoP ]],WWWW[[#This Row],['#_of_functional_handwashing_facilities_at_HH_level]]*6)</f>
        <v>0</v>
      </c>
      <c r="BM378" s="770">
        <f>IF(WWWW[[#This Row],['# people reached by regular dedicated hygiene promotion]]&gt;WWWW[[#This Row],['# People received regular supply of hygiene items]],WWWW[[#This Row],['# people reached by regular dedicated hygiene promotion]],WWWW[[#This Row],['# People received regular supply of hygiene items]])</f>
        <v>0</v>
      </c>
      <c r="BN378" s="476">
        <f>IF(WWWW[[#This Row],[HRP3]]/WWWW[[#This Row],[Total PoP ]]&gt;100%,100%,WWWW[[#This Row],[HRP3]]/WWWW[[#This Row],[Total PoP ]])</f>
        <v>0</v>
      </c>
      <c r="BO378" s="771">
        <f>1-WWWW[[#This Row],[Hygiene Coverage%]]</f>
        <v>1</v>
      </c>
      <c r="BP378" s="769">
        <f>WWWW[[#This Row],['# people reached by regular dedicated hygiene promotion]]/WWWW[[#This Row],[Total PoP ]]</f>
        <v>0</v>
      </c>
      <c r="BQ37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8" s="770">
        <f>WWWW[[#This Row],['#_of_affected_women_and_girls_receiving_a_sufficient_quantity_of_sanitary_pads]]</f>
        <v>0</v>
      </c>
      <c r="BS378" s="773">
        <f>IF(WWWW[[#This Row],['# People with access to soap]]&gt;WWWW[[#This Row],['# People with access to Sanity Pads]],WWWW[[#This Row],['# People with access to soap]],WWWW[[#This Row],['# People with access to Sanity Pads]])</f>
        <v>0</v>
      </c>
      <c r="BT378" s="772" t="str">
        <f>IF(OR(WWWW[[#This Row],['#of students in school]]="",WWWW[[#This Row],['#of students in school]]=0),"No","Yes")</f>
        <v>No</v>
      </c>
      <c r="BU378" s="480" t="str">
        <f>VLOOKUP(WWWW[[#This Row],[Village  Name]],SiteDB6[[Site Name]:[Location Type 1]],9,FALSE)</f>
        <v>Village</v>
      </c>
      <c r="BV378" s="480" t="str">
        <f>VLOOKUP(WWWW[[#This Row],[Village  Name]],SiteDB6[[Site Name]:[Type of Accommodation]],10,FALSE)</f>
        <v>Village</v>
      </c>
      <c r="BW378" s="480">
        <f>VLOOKUP(WWWW[[#This Row],[Village  Name]],SiteDB6[[Site Name]:[Ethnic or GCA/NGCA]],11,FALSE)</f>
        <v>0</v>
      </c>
      <c r="BX378" s="480">
        <f>VLOOKUP(WWWW[[#This Row],[Village  Name]],SiteDB6[[Site Name]:[Lat]],12,FALSE)</f>
        <v>0</v>
      </c>
      <c r="BY378" s="480">
        <f>VLOOKUP(WWWW[[#This Row],[Village  Name]],SiteDB6[[Site Name]:[Long]],13,FALSE)</f>
        <v>0</v>
      </c>
      <c r="BZ378" s="480">
        <f>VLOOKUP(WWWW[[#This Row],[Village  Name]],SiteDB6[[Site Name]:[Pcode]],3,FALSE)</f>
        <v>0</v>
      </c>
      <c r="CA378" s="480" t="str">
        <f t="shared" si="23"/>
        <v>Covered</v>
      </c>
      <c r="CB378" s="505"/>
    </row>
    <row r="379" spans="1:80">
      <c r="A379" s="774" t="s">
        <v>3199</v>
      </c>
      <c r="B379" s="774" t="s">
        <v>308</v>
      </c>
      <c r="C379" s="415"/>
      <c r="D379" s="415" t="s">
        <v>327</v>
      </c>
      <c r="E379" s="415" t="s">
        <v>3274</v>
      </c>
      <c r="F379" s="415" t="s">
        <v>3275</v>
      </c>
      <c r="G379" s="644" t="str">
        <f>VLOOKUP(WWWW[[#This Row],[Village  Name]],SiteDB6[[Site Name]:[Location Type]],8,FALSE)</f>
        <v>Village</v>
      </c>
      <c r="H379" s="415" t="s">
        <v>3282</v>
      </c>
      <c r="I379" s="773">
        <v>80</v>
      </c>
      <c r="J379" s="773">
        <v>555</v>
      </c>
      <c r="K379" s="418">
        <v>43300</v>
      </c>
      <c r="L379" s="55">
        <v>44377</v>
      </c>
      <c r="M379" s="773">
        <v>0</v>
      </c>
      <c r="N379" s="773">
        <v>0</v>
      </c>
      <c r="O379" s="773">
        <v>6</v>
      </c>
      <c r="P379" s="773">
        <v>0</v>
      </c>
      <c r="Q379" s="773">
        <v>0</v>
      </c>
      <c r="R379" s="773">
        <v>0</v>
      </c>
      <c r="S379" s="773">
        <v>0</v>
      </c>
      <c r="T379" s="773">
        <v>1</v>
      </c>
      <c r="U379" s="551"/>
      <c r="V379" s="773">
        <v>43</v>
      </c>
      <c r="W379" s="773" t="s">
        <v>130</v>
      </c>
      <c r="X379" s="773">
        <v>1</v>
      </c>
      <c r="Y379" s="773">
        <v>0</v>
      </c>
      <c r="Z379" s="773">
        <v>0</v>
      </c>
      <c r="AA379" s="773">
        <v>0</v>
      </c>
      <c r="AB379" s="773">
        <v>0</v>
      </c>
      <c r="AC379" s="551"/>
      <c r="AD379" s="773">
        <v>0</v>
      </c>
      <c r="AE379" s="773">
        <v>0</v>
      </c>
      <c r="AF379" s="773">
        <v>0</v>
      </c>
      <c r="AG379" s="773">
        <v>0</v>
      </c>
      <c r="AH379" s="773">
        <v>0</v>
      </c>
      <c r="AI379" s="773">
        <v>0</v>
      </c>
      <c r="AJ379" s="773">
        <v>0</v>
      </c>
      <c r="AK379" s="773">
        <v>0</v>
      </c>
      <c r="AL379" s="773">
        <v>0</v>
      </c>
      <c r="AM379" s="773">
        <v>0</v>
      </c>
      <c r="AN379" s="551"/>
      <c r="AO379" s="769">
        <v>0</v>
      </c>
      <c r="AP379" s="769">
        <v>0</v>
      </c>
      <c r="AQ379" s="773">
        <v>0</v>
      </c>
      <c r="AR379" s="773">
        <v>0</v>
      </c>
      <c r="AS379" s="773">
        <v>0</v>
      </c>
      <c r="AT379"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79" s="772">
        <f>WWWW[[#This Row],[%Equitable and continuous access to sufficient quantity of safe drinking water]]*WWWW[[#This Row],[Total PoP ]]</f>
        <v>555</v>
      </c>
      <c r="AV379"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79" s="772">
        <f>WWWW[[#This Row],[% Access to unimproved water points]]*WWWW[[#This Row],[Total PoP ]]</f>
        <v>0</v>
      </c>
      <c r="AX379"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79"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555</v>
      </c>
      <c r="AZ379" s="772">
        <f>WWWW[[#This Row],[HRP1]]/250</f>
        <v>2.2200000000000002</v>
      </c>
      <c r="BA379" s="476">
        <f>1-WWWW[[#This Row],[% Equitable and continuous access to sufficient quantity of domestic water]]</f>
        <v>0</v>
      </c>
      <c r="BB379" s="772">
        <f>WWWW[[#This Row],[%equitable and continuous access to sufficient quantity of safe drinking and domestic water''s GAP]]*WWWW[[#This Row],[Total PoP ]]</f>
        <v>0</v>
      </c>
      <c r="BC379" s="770">
        <f>IF(WWWW[[#This Row],[Total required water points]]-WWWW[[#This Row],['#Water points coverage]]&lt;0,0,WWWW[[#This Row],[Total required water points]]-WWWW[[#This Row],['#Water points coverage]])</f>
        <v>0</v>
      </c>
      <c r="BD379" s="770">
        <f>ROUND(IF(WWWW[[#This Row],[Total PoP ]]&lt;250,1,WWWW[[#This Row],[Total PoP ]]/250),0)</f>
        <v>2</v>
      </c>
      <c r="BE37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0.46486486486486489</v>
      </c>
      <c r="BF379" s="772">
        <f>WWWW[[#This Row],[% people access to functioning Latrine]]*WWWW[[#This Row],[Total PoP ]]</f>
        <v>258</v>
      </c>
      <c r="BG379" s="770">
        <f>WWWW[[#This Row],['#_of_Functioning_latrines_in_school]]*50</f>
        <v>50</v>
      </c>
      <c r="BH379" s="770">
        <f>ROUND((WWWW[[#This Row],[Total PoP ]]/6),0)</f>
        <v>93</v>
      </c>
      <c r="BI379" s="770">
        <f>IF(WWWW[[#This Row],[Total required Latrines]]-(WWWW[[#This Row],['#_of_sanitary_fly-proof_HH_latrines]])&lt;0,0,WWWW[[#This Row],[Total required Latrines]]-(WWWW[[#This Row],['#_of_sanitary_fly-proof_HH_latrines]]))</f>
        <v>50</v>
      </c>
      <c r="BJ379" s="771">
        <f>1-WWWW[[#This Row],[% people access to functioning Latrine]]</f>
        <v>0.53513513513513511</v>
      </c>
      <c r="BK379"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79" s="772">
        <f>IF(WWWW[[#This Row],['#_of_functional_handwashing_facilities_at_HH_level]]*6&gt;WWWW[[#This Row],[Total PoP ]],WWWW[[#This Row],[Total PoP ]],WWWW[[#This Row],['#_of_functional_handwashing_facilities_at_HH_level]]*6)</f>
        <v>0</v>
      </c>
      <c r="BM379" s="770">
        <f>IF(WWWW[[#This Row],['# people reached by regular dedicated hygiene promotion]]&gt;WWWW[[#This Row],['# People received regular supply of hygiene items]],WWWW[[#This Row],['# people reached by regular dedicated hygiene promotion]],WWWW[[#This Row],['# People received regular supply of hygiene items]])</f>
        <v>0</v>
      </c>
      <c r="BN379" s="476">
        <f>IF(WWWW[[#This Row],[HRP3]]/WWWW[[#This Row],[Total PoP ]]&gt;100%,100%,WWWW[[#This Row],[HRP3]]/WWWW[[#This Row],[Total PoP ]])</f>
        <v>0</v>
      </c>
      <c r="BO379" s="771">
        <f>1-WWWW[[#This Row],[Hygiene Coverage%]]</f>
        <v>1</v>
      </c>
      <c r="BP379" s="769">
        <f>WWWW[[#This Row],['# people reached by regular dedicated hygiene promotion]]/WWWW[[#This Row],[Total PoP ]]</f>
        <v>0</v>
      </c>
      <c r="BQ37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79" s="770">
        <f>WWWW[[#This Row],['#_of_affected_women_and_girls_receiving_a_sufficient_quantity_of_sanitary_pads]]</f>
        <v>0</v>
      </c>
      <c r="BS379" s="773">
        <f>IF(WWWW[[#This Row],['# People with access to soap]]&gt;WWWW[[#This Row],['# People with access to Sanity Pads]],WWWW[[#This Row],['# People with access to soap]],WWWW[[#This Row],['# People with access to Sanity Pads]])</f>
        <v>0</v>
      </c>
      <c r="BT379" s="772" t="str">
        <f>IF(OR(WWWW[[#This Row],['#of students in school]]="",WWWW[[#This Row],['#of students in school]]=0),"No","Yes")</f>
        <v>No</v>
      </c>
      <c r="BU379" s="480" t="str">
        <f>VLOOKUP(WWWW[[#This Row],[Village  Name]],SiteDB6[[Site Name]:[Location Type 1]],9,FALSE)</f>
        <v>Village</v>
      </c>
      <c r="BV379" s="480" t="str">
        <f>VLOOKUP(WWWW[[#This Row],[Village  Name]],SiteDB6[[Site Name]:[Type of Accommodation]],10,FALSE)</f>
        <v>Village</v>
      </c>
      <c r="BW379" s="480">
        <f>VLOOKUP(WWWW[[#This Row],[Village  Name]],SiteDB6[[Site Name]:[Ethnic or GCA/NGCA]],11,FALSE)</f>
        <v>0</v>
      </c>
      <c r="BX379" s="480">
        <f>VLOOKUP(WWWW[[#This Row],[Village  Name]],SiteDB6[[Site Name]:[Lat]],12,FALSE)</f>
        <v>0</v>
      </c>
      <c r="BY379" s="480">
        <f>VLOOKUP(WWWW[[#This Row],[Village  Name]],SiteDB6[[Site Name]:[Long]],13,FALSE)</f>
        <v>0</v>
      </c>
      <c r="BZ379" s="480">
        <f>VLOOKUP(WWWW[[#This Row],[Village  Name]],SiteDB6[[Site Name]:[Pcode]],3,FALSE)</f>
        <v>0</v>
      </c>
      <c r="CA379" s="480" t="str">
        <f t="shared" si="23"/>
        <v>Covered</v>
      </c>
      <c r="CB379" s="505"/>
    </row>
    <row r="380" spans="1:80">
      <c r="A380" s="774" t="s">
        <v>3199</v>
      </c>
      <c r="B380" s="774" t="s">
        <v>308</v>
      </c>
      <c r="C380" s="415"/>
      <c r="D380" s="415" t="s">
        <v>327</v>
      </c>
      <c r="E380" s="415" t="s">
        <v>3274</v>
      </c>
      <c r="F380" s="415" t="s">
        <v>3275</v>
      </c>
      <c r="G380" s="644" t="str">
        <f>VLOOKUP(WWWW[[#This Row],[Village  Name]],SiteDB6[[Site Name]:[Location Type]],8,FALSE)</f>
        <v>Village</v>
      </c>
      <c r="H380" s="415" t="s">
        <v>3283</v>
      </c>
      <c r="I380" s="773">
        <v>66</v>
      </c>
      <c r="J380" s="773">
        <v>390</v>
      </c>
      <c r="K380" s="418">
        <v>43300</v>
      </c>
      <c r="L380" s="55">
        <v>44377</v>
      </c>
      <c r="M380" s="773">
        <v>0</v>
      </c>
      <c r="N380" s="773">
        <v>0</v>
      </c>
      <c r="O380" s="773">
        <v>1</v>
      </c>
      <c r="P380" s="773">
        <v>0</v>
      </c>
      <c r="Q380" s="773">
        <v>0</v>
      </c>
      <c r="R380" s="773">
        <v>0</v>
      </c>
      <c r="S380" s="773">
        <v>0</v>
      </c>
      <c r="T380" s="773">
        <v>0</v>
      </c>
      <c r="U380" s="551"/>
      <c r="V380" s="773">
        <v>42</v>
      </c>
      <c r="W380" s="773" t="s">
        <v>130</v>
      </c>
      <c r="X380" s="773">
        <v>1</v>
      </c>
      <c r="Y380" s="773">
        <v>0</v>
      </c>
      <c r="Z380" s="773">
        <v>0</v>
      </c>
      <c r="AA380" s="773">
        <v>0</v>
      </c>
      <c r="AB380" s="773">
        <v>0</v>
      </c>
      <c r="AC380" s="551"/>
      <c r="AD380" s="773">
        <v>0</v>
      </c>
      <c r="AE380" s="773">
        <v>0</v>
      </c>
      <c r="AF380" s="773">
        <v>0</v>
      </c>
      <c r="AG380" s="773">
        <v>0</v>
      </c>
      <c r="AH380" s="773">
        <v>0</v>
      </c>
      <c r="AI380" s="773">
        <v>0</v>
      </c>
      <c r="AJ380" s="773">
        <v>0</v>
      </c>
      <c r="AK380" s="773">
        <v>0</v>
      </c>
      <c r="AL380" s="773">
        <v>0</v>
      </c>
      <c r="AM380" s="773">
        <v>0</v>
      </c>
      <c r="AN380" s="551"/>
      <c r="AO380" s="769">
        <v>0</v>
      </c>
      <c r="AP380" s="769">
        <v>0</v>
      </c>
      <c r="AQ380" s="773">
        <v>0</v>
      </c>
      <c r="AR380" s="773">
        <v>0</v>
      </c>
      <c r="AS380" s="773">
        <v>0</v>
      </c>
      <c r="AT380"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80" s="772">
        <f>WWWW[[#This Row],[%Equitable and continuous access to sufficient quantity of safe drinking water]]*WWWW[[#This Row],[Total PoP ]]</f>
        <v>390</v>
      </c>
      <c r="AV380"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0" s="772">
        <f>WWWW[[#This Row],[% Access to unimproved water points]]*WWWW[[#This Row],[Total PoP ]]</f>
        <v>0</v>
      </c>
      <c r="AX380"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80"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390</v>
      </c>
      <c r="AZ380" s="772">
        <f>WWWW[[#This Row],[HRP1]]/250</f>
        <v>1.56</v>
      </c>
      <c r="BA380" s="476">
        <f>1-WWWW[[#This Row],[% Equitable and continuous access to sufficient quantity of domestic water]]</f>
        <v>0</v>
      </c>
      <c r="BB380" s="772">
        <f>WWWW[[#This Row],[%equitable and continuous access to sufficient quantity of safe drinking and domestic water''s GAP]]*WWWW[[#This Row],[Total PoP ]]</f>
        <v>0</v>
      </c>
      <c r="BC380" s="770">
        <f>IF(WWWW[[#This Row],[Total required water points]]-WWWW[[#This Row],['#Water points coverage]]&lt;0,0,WWWW[[#This Row],[Total required water points]]-WWWW[[#This Row],['#Water points coverage]])</f>
        <v>0.43999999999999995</v>
      </c>
      <c r="BD380" s="770">
        <f>ROUND(IF(WWWW[[#This Row],[Total PoP ]]&lt;250,1,WWWW[[#This Row],[Total PoP ]]/250),0)</f>
        <v>2</v>
      </c>
      <c r="BE38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0.64615384615384619</v>
      </c>
      <c r="BF380" s="772">
        <f>WWWW[[#This Row],[% people access to functioning Latrine]]*WWWW[[#This Row],[Total PoP ]]</f>
        <v>252</v>
      </c>
      <c r="BG380" s="770">
        <f>WWWW[[#This Row],['#_of_Functioning_latrines_in_school]]*50</f>
        <v>50</v>
      </c>
      <c r="BH380" s="770">
        <f>ROUND((WWWW[[#This Row],[Total PoP ]]/6),0)</f>
        <v>65</v>
      </c>
      <c r="BI380" s="770">
        <f>IF(WWWW[[#This Row],[Total required Latrines]]-(WWWW[[#This Row],['#_of_sanitary_fly-proof_HH_latrines]])&lt;0,0,WWWW[[#This Row],[Total required Latrines]]-(WWWW[[#This Row],['#_of_sanitary_fly-proof_HH_latrines]]))</f>
        <v>23</v>
      </c>
      <c r="BJ380" s="771">
        <f>1-WWWW[[#This Row],[% people access to functioning Latrine]]</f>
        <v>0.35384615384615381</v>
      </c>
      <c r="BK380"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80" s="772">
        <f>IF(WWWW[[#This Row],['#_of_functional_handwashing_facilities_at_HH_level]]*6&gt;WWWW[[#This Row],[Total PoP ]],WWWW[[#This Row],[Total PoP ]],WWWW[[#This Row],['#_of_functional_handwashing_facilities_at_HH_level]]*6)</f>
        <v>0</v>
      </c>
      <c r="BM380" s="770">
        <f>IF(WWWW[[#This Row],['# people reached by regular dedicated hygiene promotion]]&gt;WWWW[[#This Row],['# People received regular supply of hygiene items]],WWWW[[#This Row],['# people reached by regular dedicated hygiene promotion]],WWWW[[#This Row],['# People received regular supply of hygiene items]])</f>
        <v>0</v>
      </c>
      <c r="BN380" s="476">
        <f>IF(WWWW[[#This Row],[HRP3]]/WWWW[[#This Row],[Total PoP ]]&gt;100%,100%,WWWW[[#This Row],[HRP3]]/WWWW[[#This Row],[Total PoP ]])</f>
        <v>0</v>
      </c>
      <c r="BO380" s="771">
        <f>1-WWWW[[#This Row],[Hygiene Coverage%]]</f>
        <v>1</v>
      </c>
      <c r="BP380" s="769">
        <f>WWWW[[#This Row],['# people reached by regular dedicated hygiene promotion]]/WWWW[[#This Row],[Total PoP ]]</f>
        <v>0</v>
      </c>
      <c r="BQ38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0" s="770">
        <f>WWWW[[#This Row],['#_of_affected_women_and_girls_receiving_a_sufficient_quantity_of_sanitary_pads]]</f>
        <v>0</v>
      </c>
      <c r="BS380" s="773">
        <f>IF(WWWW[[#This Row],['# People with access to soap]]&gt;WWWW[[#This Row],['# People with access to Sanity Pads]],WWWW[[#This Row],['# People with access to soap]],WWWW[[#This Row],['# People with access to Sanity Pads]])</f>
        <v>0</v>
      </c>
      <c r="BT380" s="772" t="str">
        <f>IF(OR(WWWW[[#This Row],['#of students in school]]="",WWWW[[#This Row],['#of students in school]]=0),"No","Yes")</f>
        <v>No</v>
      </c>
      <c r="BU380" s="480" t="str">
        <f>VLOOKUP(WWWW[[#This Row],[Village  Name]],SiteDB6[[Site Name]:[Location Type 1]],9,FALSE)</f>
        <v>Village</v>
      </c>
      <c r="BV380" s="480" t="str">
        <f>VLOOKUP(WWWW[[#This Row],[Village  Name]],SiteDB6[[Site Name]:[Type of Accommodation]],10,FALSE)</f>
        <v>Village</v>
      </c>
      <c r="BW380" s="480">
        <f>VLOOKUP(WWWW[[#This Row],[Village  Name]],SiteDB6[[Site Name]:[Ethnic or GCA/NGCA]],11,FALSE)</f>
        <v>0</v>
      </c>
      <c r="BX380" s="480">
        <f>VLOOKUP(WWWW[[#This Row],[Village  Name]],SiteDB6[[Site Name]:[Lat]],12,FALSE)</f>
        <v>0</v>
      </c>
      <c r="BY380" s="480">
        <f>VLOOKUP(WWWW[[#This Row],[Village  Name]],SiteDB6[[Site Name]:[Long]],13,FALSE)</f>
        <v>0</v>
      </c>
      <c r="BZ380" s="480">
        <f>VLOOKUP(WWWW[[#This Row],[Village  Name]],SiteDB6[[Site Name]:[Pcode]],3,FALSE)</f>
        <v>0</v>
      </c>
      <c r="CA380" s="480" t="str">
        <f t="shared" si="23"/>
        <v>Covered</v>
      </c>
      <c r="CB380" s="505"/>
    </row>
    <row r="381" spans="1:80">
      <c r="A381" s="774" t="s">
        <v>3199</v>
      </c>
      <c r="B381" s="774" t="s">
        <v>308</v>
      </c>
      <c r="C381" s="415"/>
      <c r="D381" s="415" t="s">
        <v>327</v>
      </c>
      <c r="E381" s="415" t="s">
        <v>3274</v>
      </c>
      <c r="F381" s="415" t="s">
        <v>3275</v>
      </c>
      <c r="G381" s="644" t="str">
        <f>VLOOKUP(WWWW[[#This Row],[Village  Name]],SiteDB6[[Site Name]:[Location Type]],8,FALSE)</f>
        <v>Village</v>
      </c>
      <c r="H381" s="415" t="s">
        <v>3284</v>
      </c>
      <c r="I381" s="773">
        <v>84</v>
      </c>
      <c r="J381" s="773">
        <v>475</v>
      </c>
      <c r="K381" s="418">
        <v>43300</v>
      </c>
      <c r="L381" s="55">
        <v>44377</v>
      </c>
      <c r="M381" s="773">
        <v>0</v>
      </c>
      <c r="N381" s="773">
        <v>0</v>
      </c>
      <c r="O381" s="773">
        <v>4</v>
      </c>
      <c r="P381" s="773">
        <v>1</v>
      </c>
      <c r="Q381" s="773">
        <v>0</v>
      </c>
      <c r="R381" s="773">
        <v>0</v>
      </c>
      <c r="S381" s="773">
        <v>0</v>
      </c>
      <c r="T381" s="773">
        <v>1</v>
      </c>
      <c r="U381" s="551"/>
      <c r="V381" s="773">
        <v>46</v>
      </c>
      <c r="W381" s="773" t="s">
        <v>130</v>
      </c>
      <c r="X381" s="773">
        <v>2</v>
      </c>
      <c r="Y381" s="773">
        <v>0</v>
      </c>
      <c r="Z381" s="773">
        <v>0</v>
      </c>
      <c r="AA381" s="773">
        <v>0</v>
      </c>
      <c r="AB381" s="773">
        <v>0</v>
      </c>
      <c r="AC381" s="551"/>
      <c r="AD381" s="773">
        <v>0</v>
      </c>
      <c r="AE381" s="773">
        <v>0</v>
      </c>
      <c r="AF381" s="773">
        <v>0</v>
      </c>
      <c r="AG381" s="773">
        <v>0</v>
      </c>
      <c r="AH381" s="773">
        <v>0</v>
      </c>
      <c r="AI381" s="773">
        <v>0</v>
      </c>
      <c r="AJ381" s="773">
        <v>0</v>
      </c>
      <c r="AK381" s="773">
        <v>0</v>
      </c>
      <c r="AL381" s="773">
        <v>0</v>
      </c>
      <c r="AM381" s="773">
        <v>0</v>
      </c>
      <c r="AN381" s="551"/>
      <c r="AO381" s="769">
        <v>0</v>
      </c>
      <c r="AP381" s="769">
        <v>0</v>
      </c>
      <c r="AQ381" s="773">
        <v>0</v>
      </c>
      <c r="AR381" s="773">
        <v>0</v>
      </c>
      <c r="AS381" s="773">
        <v>0</v>
      </c>
      <c r="AT381"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81" s="772">
        <f>WWWW[[#This Row],[%Equitable and continuous access to sufficient quantity of safe drinking water]]*WWWW[[#This Row],[Total PoP ]]</f>
        <v>475</v>
      </c>
      <c r="AV381"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1" s="772">
        <f>WWWW[[#This Row],[% Access to unimproved water points]]*WWWW[[#This Row],[Total PoP ]]</f>
        <v>0</v>
      </c>
      <c r="AX381"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81"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475</v>
      </c>
      <c r="AZ381" s="772">
        <f>WWWW[[#This Row],[HRP1]]/250</f>
        <v>1.9</v>
      </c>
      <c r="BA381" s="476">
        <f>1-WWWW[[#This Row],[% Equitable and continuous access to sufficient quantity of domestic water]]</f>
        <v>0</v>
      </c>
      <c r="BB381" s="772">
        <f>WWWW[[#This Row],[%equitable and continuous access to sufficient quantity of safe drinking and domestic water''s GAP]]*WWWW[[#This Row],[Total PoP ]]</f>
        <v>0</v>
      </c>
      <c r="BC381" s="770">
        <f>IF(WWWW[[#This Row],[Total required water points]]-WWWW[[#This Row],['#Water points coverage]]&lt;0,0,WWWW[[#This Row],[Total required water points]]-WWWW[[#This Row],['#Water points coverage]])</f>
        <v>0.10000000000000009</v>
      </c>
      <c r="BD381" s="770">
        <f>ROUND(IF(WWWW[[#This Row],[Total PoP ]]&lt;250,1,WWWW[[#This Row],[Total PoP ]]/250),0)</f>
        <v>2</v>
      </c>
      <c r="BE38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0.58105263157894738</v>
      </c>
      <c r="BF381" s="772">
        <f>WWWW[[#This Row],[% people access to functioning Latrine]]*WWWW[[#This Row],[Total PoP ]]</f>
        <v>276</v>
      </c>
      <c r="BG381" s="770">
        <f>WWWW[[#This Row],['#_of_Functioning_latrines_in_school]]*50</f>
        <v>100</v>
      </c>
      <c r="BH381" s="770">
        <f>ROUND((WWWW[[#This Row],[Total PoP ]]/6),0)</f>
        <v>79</v>
      </c>
      <c r="BI381" s="770">
        <f>IF(WWWW[[#This Row],[Total required Latrines]]-(WWWW[[#This Row],['#_of_sanitary_fly-proof_HH_latrines]])&lt;0,0,WWWW[[#This Row],[Total required Latrines]]-(WWWW[[#This Row],['#_of_sanitary_fly-proof_HH_latrines]]))</f>
        <v>33</v>
      </c>
      <c r="BJ381" s="771">
        <f>1-WWWW[[#This Row],[% people access to functioning Latrine]]</f>
        <v>0.41894736842105262</v>
      </c>
      <c r="BK381"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81" s="772">
        <f>IF(WWWW[[#This Row],['#_of_functional_handwashing_facilities_at_HH_level]]*6&gt;WWWW[[#This Row],[Total PoP ]],WWWW[[#This Row],[Total PoP ]],WWWW[[#This Row],['#_of_functional_handwashing_facilities_at_HH_level]]*6)</f>
        <v>0</v>
      </c>
      <c r="BM381" s="770">
        <f>IF(WWWW[[#This Row],['# people reached by regular dedicated hygiene promotion]]&gt;WWWW[[#This Row],['# People received regular supply of hygiene items]],WWWW[[#This Row],['# people reached by regular dedicated hygiene promotion]],WWWW[[#This Row],['# People received regular supply of hygiene items]])</f>
        <v>0</v>
      </c>
      <c r="BN381" s="476">
        <f>IF(WWWW[[#This Row],[HRP3]]/WWWW[[#This Row],[Total PoP ]]&gt;100%,100%,WWWW[[#This Row],[HRP3]]/WWWW[[#This Row],[Total PoP ]])</f>
        <v>0</v>
      </c>
      <c r="BO381" s="771">
        <f>1-WWWW[[#This Row],[Hygiene Coverage%]]</f>
        <v>1</v>
      </c>
      <c r="BP381" s="769">
        <f>WWWW[[#This Row],['# people reached by regular dedicated hygiene promotion]]/WWWW[[#This Row],[Total PoP ]]</f>
        <v>0</v>
      </c>
      <c r="BQ38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1" s="770">
        <f>WWWW[[#This Row],['#_of_affected_women_and_girls_receiving_a_sufficient_quantity_of_sanitary_pads]]</f>
        <v>0</v>
      </c>
      <c r="BS381" s="773">
        <f>IF(WWWW[[#This Row],['# People with access to soap]]&gt;WWWW[[#This Row],['# People with access to Sanity Pads]],WWWW[[#This Row],['# People with access to soap]],WWWW[[#This Row],['# People with access to Sanity Pads]])</f>
        <v>0</v>
      </c>
      <c r="BT381" s="772" t="str">
        <f>IF(OR(WWWW[[#This Row],['#of students in school]]="",WWWW[[#This Row],['#of students in school]]=0),"No","Yes")</f>
        <v>No</v>
      </c>
      <c r="BU381" s="480" t="str">
        <f>VLOOKUP(WWWW[[#This Row],[Village  Name]],SiteDB6[[Site Name]:[Location Type 1]],9,FALSE)</f>
        <v>Village</v>
      </c>
      <c r="BV381" s="480" t="str">
        <f>VLOOKUP(WWWW[[#This Row],[Village  Name]],SiteDB6[[Site Name]:[Type of Accommodation]],10,FALSE)</f>
        <v>Village</v>
      </c>
      <c r="BW381" s="480">
        <f>VLOOKUP(WWWW[[#This Row],[Village  Name]],SiteDB6[[Site Name]:[Ethnic or GCA/NGCA]],11,FALSE)</f>
        <v>0</v>
      </c>
      <c r="BX381" s="480">
        <f>VLOOKUP(WWWW[[#This Row],[Village  Name]],SiteDB6[[Site Name]:[Lat]],12,FALSE)</f>
        <v>0</v>
      </c>
      <c r="BY381" s="480">
        <f>VLOOKUP(WWWW[[#This Row],[Village  Name]],SiteDB6[[Site Name]:[Long]],13,FALSE)</f>
        <v>0</v>
      </c>
      <c r="BZ381" s="480">
        <f>VLOOKUP(WWWW[[#This Row],[Village  Name]],SiteDB6[[Site Name]:[Pcode]],3,FALSE)</f>
        <v>0</v>
      </c>
      <c r="CA381" s="480" t="str">
        <f t="shared" si="23"/>
        <v>Covered</v>
      </c>
      <c r="CB381" s="505"/>
    </row>
    <row r="382" spans="1:80">
      <c r="A382" s="774" t="s">
        <v>3199</v>
      </c>
      <c r="B382" s="774" t="s">
        <v>308</v>
      </c>
      <c r="C382" s="415"/>
      <c r="D382" s="415" t="s">
        <v>327</v>
      </c>
      <c r="E382" s="415" t="s">
        <v>3274</v>
      </c>
      <c r="F382" s="415" t="s">
        <v>3275</v>
      </c>
      <c r="G382" s="644" t="str">
        <f>VLOOKUP(WWWW[[#This Row],[Village  Name]],SiteDB6[[Site Name]:[Location Type]],8,FALSE)</f>
        <v>Village</v>
      </c>
      <c r="H382" s="415" t="s">
        <v>3285</v>
      </c>
      <c r="I382" s="773">
        <v>29</v>
      </c>
      <c r="J382" s="773">
        <v>179</v>
      </c>
      <c r="K382" s="418">
        <v>43300</v>
      </c>
      <c r="L382" s="55">
        <v>44377</v>
      </c>
      <c r="M382" s="773">
        <v>0</v>
      </c>
      <c r="N382" s="773">
        <v>0</v>
      </c>
      <c r="O382" s="773">
        <v>9</v>
      </c>
      <c r="P382" s="773">
        <v>0</v>
      </c>
      <c r="Q382" s="773">
        <v>0</v>
      </c>
      <c r="R382" s="773">
        <v>0</v>
      </c>
      <c r="S382" s="773">
        <v>0</v>
      </c>
      <c r="T382" s="773">
        <v>0</v>
      </c>
      <c r="U382" s="551"/>
      <c r="V382" s="773">
        <v>13</v>
      </c>
      <c r="W382" s="773" t="s">
        <v>130</v>
      </c>
      <c r="X382" s="773">
        <v>0</v>
      </c>
      <c r="Y382" s="773">
        <v>0</v>
      </c>
      <c r="Z382" s="773">
        <v>0</v>
      </c>
      <c r="AA382" s="773">
        <v>0</v>
      </c>
      <c r="AB382" s="773">
        <v>0</v>
      </c>
      <c r="AC382" s="551"/>
      <c r="AD382" s="773">
        <v>0</v>
      </c>
      <c r="AE382" s="773">
        <v>0</v>
      </c>
      <c r="AF382" s="773">
        <v>0</v>
      </c>
      <c r="AG382" s="773">
        <v>0</v>
      </c>
      <c r="AH382" s="773">
        <v>0</v>
      </c>
      <c r="AI382" s="773">
        <v>0</v>
      </c>
      <c r="AJ382" s="773">
        <v>0</v>
      </c>
      <c r="AK382" s="773">
        <v>0</v>
      </c>
      <c r="AL382" s="773">
        <v>0</v>
      </c>
      <c r="AM382" s="773">
        <v>0</v>
      </c>
      <c r="AN382" s="551"/>
      <c r="AO382" s="769">
        <v>0</v>
      </c>
      <c r="AP382" s="769">
        <v>0</v>
      </c>
      <c r="AQ382" s="773">
        <v>0</v>
      </c>
      <c r="AR382" s="773">
        <v>0</v>
      </c>
      <c r="AS382" s="773">
        <v>0</v>
      </c>
      <c r="AT382"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82" s="772">
        <f>WWWW[[#This Row],[%Equitable and continuous access to sufficient quantity of safe drinking water]]*WWWW[[#This Row],[Total PoP ]]</f>
        <v>179</v>
      </c>
      <c r="AV382"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2" s="772">
        <f>WWWW[[#This Row],[% Access to unimproved water points]]*WWWW[[#This Row],[Total PoP ]]</f>
        <v>0</v>
      </c>
      <c r="AX382"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82"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179</v>
      </c>
      <c r="AZ382" s="772">
        <f>WWWW[[#This Row],[HRP1]]/250</f>
        <v>0.71599999999999997</v>
      </c>
      <c r="BA382" s="476">
        <f>1-WWWW[[#This Row],[% Equitable and continuous access to sufficient quantity of domestic water]]</f>
        <v>0</v>
      </c>
      <c r="BB382" s="772">
        <f>WWWW[[#This Row],[%equitable and continuous access to sufficient quantity of safe drinking and domestic water''s GAP]]*WWWW[[#This Row],[Total PoP ]]</f>
        <v>0</v>
      </c>
      <c r="BC382" s="770">
        <f>IF(WWWW[[#This Row],[Total required water points]]-WWWW[[#This Row],['#Water points coverage]]&lt;0,0,WWWW[[#This Row],[Total required water points]]-WWWW[[#This Row],['#Water points coverage]])</f>
        <v>0.28400000000000003</v>
      </c>
      <c r="BD382" s="770">
        <f>ROUND(IF(WWWW[[#This Row],[Total PoP ]]&lt;250,1,WWWW[[#This Row],[Total PoP ]]/250),0)</f>
        <v>1</v>
      </c>
      <c r="BE38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0.43575418994413406</v>
      </c>
      <c r="BF382" s="772">
        <f>WWWW[[#This Row],[% people access to functioning Latrine]]*WWWW[[#This Row],[Total PoP ]]</f>
        <v>78</v>
      </c>
      <c r="BG382" s="770">
        <f>WWWW[[#This Row],['#_of_Functioning_latrines_in_school]]*50</f>
        <v>0</v>
      </c>
      <c r="BH382" s="770">
        <f>ROUND((WWWW[[#This Row],[Total PoP ]]/6),0)</f>
        <v>30</v>
      </c>
      <c r="BI382" s="770">
        <f>IF(WWWW[[#This Row],[Total required Latrines]]-(WWWW[[#This Row],['#_of_sanitary_fly-proof_HH_latrines]])&lt;0,0,WWWW[[#This Row],[Total required Latrines]]-(WWWW[[#This Row],['#_of_sanitary_fly-proof_HH_latrines]]))</f>
        <v>17</v>
      </c>
      <c r="BJ382" s="771">
        <f>1-WWWW[[#This Row],[% people access to functioning Latrine]]</f>
        <v>0.56424581005586594</v>
      </c>
      <c r="BK382"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82" s="772">
        <f>IF(WWWW[[#This Row],['#_of_functional_handwashing_facilities_at_HH_level]]*6&gt;WWWW[[#This Row],[Total PoP ]],WWWW[[#This Row],[Total PoP ]],WWWW[[#This Row],['#_of_functional_handwashing_facilities_at_HH_level]]*6)</f>
        <v>0</v>
      </c>
      <c r="BM382" s="770">
        <f>IF(WWWW[[#This Row],['# people reached by regular dedicated hygiene promotion]]&gt;WWWW[[#This Row],['# People received regular supply of hygiene items]],WWWW[[#This Row],['# people reached by regular dedicated hygiene promotion]],WWWW[[#This Row],['# People received regular supply of hygiene items]])</f>
        <v>0</v>
      </c>
      <c r="BN382" s="476">
        <f>IF(WWWW[[#This Row],[HRP3]]/WWWW[[#This Row],[Total PoP ]]&gt;100%,100%,WWWW[[#This Row],[HRP3]]/WWWW[[#This Row],[Total PoP ]])</f>
        <v>0</v>
      </c>
      <c r="BO382" s="771">
        <f>1-WWWW[[#This Row],[Hygiene Coverage%]]</f>
        <v>1</v>
      </c>
      <c r="BP382" s="769">
        <f>WWWW[[#This Row],['# people reached by regular dedicated hygiene promotion]]/WWWW[[#This Row],[Total PoP ]]</f>
        <v>0</v>
      </c>
      <c r="BQ38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2" s="770">
        <f>WWWW[[#This Row],['#_of_affected_women_and_girls_receiving_a_sufficient_quantity_of_sanitary_pads]]</f>
        <v>0</v>
      </c>
      <c r="BS382" s="773">
        <f>IF(WWWW[[#This Row],['# People with access to soap]]&gt;WWWW[[#This Row],['# People with access to Sanity Pads]],WWWW[[#This Row],['# People with access to soap]],WWWW[[#This Row],['# People with access to Sanity Pads]])</f>
        <v>0</v>
      </c>
      <c r="BT382" s="772" t="str">
        <f>IF(OR(WWWW[[#This Row],['#of students in school]]="",WWWW[[#This Row],['#of students in school]]=0),"No","Yes")</f>
        <v>No</v>
      </c>
      <c r="BU382" s="480" t="str">
        <f>VLOOKUP(WWWW[[#This Row],[Village  Name]],SiteDB6[[Site Name]:[Location Type 1]],9,FALSE)</f>
        <v>Village</v>
      </c>
      <c r="BV382" s="480" t="str">
        <f>VLOOKUP(WWWW[[#This Row],[Village  Name]],SiteDB6[[Site Name]:[Type of Accommodation]],10,FALSE)</f>
        <v>Village</v>
      </c>
      <c r="BW382" s="480">
        <f>VLOOKUP(WWWW[[#This Row],[Village  Name]],SiteDB6[[Site Name]:[Ethnic or GCA/NGCA]],11,FALSE)</f>
        <v>0</v>
      </c>
      <c r="BX382" s="480">
        <f>VLOOKUP(WWWW[[#This Row],[Village  Name]],SiteDB6[[Site Name]:[Lat]],12,FALSE)</f>
        <v>0</v>
      </c>
      <c r="BY382" s="480">
        <f>VLOOKUP(WWWW[[#This Row],[Village  Name]],SiteDB6[[Site Name]:[Long]],13,FALSE)</f>
        <v>0</v>
      </c>
      <c r="BZ382" s="480">
        <f>VLOOKUP(WWWW[[#This Row],[Village  Name]],SiteDB6[[Site Name]:[Pcode]],3,FALSE)</f>
        <v>0</v>
      </c>
      <c r="CA382" s="480" t="str">
        <f t="shared" si="23"/>
        <v>Covered</v>
      </c>
      <c r="CB382" s="505"/>
    </row>
    <row r="383" spans="1:80">
      <c r="A383" s="774" t="s">
        <v>3199</v>
      </c>
      <c r="B383" s="774" t="s">
        <v>308</v>
      </c>
      <c r="C383" s="415"/>
      <c r="D383" s="415" t="s">
        <v>327</v>
      </c>
      <c r="E383" s="415" t="s">
        <v>3274</v>
      </c>
      <c r="F383" s="415" t="s">
        <v>3275</v>
      </c>
      <c r="G383" s="644" t="str">
        <f>VLOOKUP(WWWW[[#This Row],[Village  Name]],SiteDB6[[Site Name]:[Location Type]],8,FALSE)</f>
        <v>Village</v>
      </c>
      <c r="H383" s="415" t="s">
        <v>3286</v>
      </c>
      <c r="I383" s="773">
        <v>57</v>
      </c>
      <c r="J383" s="773">
        <v>399</v>
      </c>
      <c r="K383" s="418">
        <v>43300</v>
      </c>
      <c r="L383" s="55">
        <v>44377</v>
      </c>
      <c r="M383" s="773">
        <v>0</v>
      </c>
      <c r="N383" s="773">
        <v>0</v>
      </c>
      <c r="O383" s="773">
        <v>31</v>
      </c>
      <c r="P383" s="773">
        <v>0</v>
      </c>
      <c r="Q383" s="773">
        <v>0</v>
      </c>
      <c r="R383" s="773">
        <v>0</v>
      </c>
      <c r="S383" s="773">
        <v>0</v>
      </c>
      <c r="T383" s="773">
        <v>0</v>
      </c>
      <c r="U383" s="551"/>
      <c r="V383" s="773">
        <v>35</v>
      </c>
      <c r="W383" s="773" t="s">
        <v>130</v>
      </c>
      <c r="X383" s="773">
        <v>1</v>
      </c>
      <c r="Y383" s="773">
        <v>0</v>
      </c>
      <c r="Z383" s="773">
        <v>0</v>
      </c>
      <c r="AA383" s="773">
        <v>0</v>
      </c>
      <c r="AB383" s="773">
        <v>0</v>
      </c>
      <c r="AC383" s="551"/>
      <c r="AD383" s="773">
        <v>0</v>
      </c>
      <c r="AE383" s="773">
        <v>0</v>
      </c>
      <c r="AF383" s="773">
        <v>0</v>
      </c>
      <c r="AG383" s="773">
        <v>0</v>
      </c>
      <c r="AH383" s="773">
        <v>0</v>
      </c>
      <c r="AI383" s="773">
        <v>0</v>
      </c>
      <c r="AJ383" s="773">
        <v>0</v>
      </c>
      <c r="AK383" s="773">
        <v>0</v>
      </c>
      <c r="AL383" s="773">
        <v>0</v>
      </c>
      <c r="AM383" s="773">
        <v>0</v>
      </c>
      <c r="AN383" s="551"/>
      <c r="AO383" s="769">
        <v>0</v>
      </c>
      <c r="AP383" s="769">
        <v>0</v>
      </c>
      <c r="AQ383" s="773">
        <v>0</v>
      </c>
      <c r="AR383" s="773">
        <v>0</v>
      </c>
      <c r="AS383" s="773">
        <v>0</v>
      </c>
      <c r="AT383"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83" s="772">
        <f>WWWW[[#This Row],[%Equitable and continuous access to sufficient quantity of safe drinking water]]*WWWW[[#This Row],[Total PoP ]]</f>
        <v>399</v>
      </c>
      <c r="AV383"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3" s="772">
        <f>WWWW[[#This Row],[% Access to unimproved water points]]*WWWW[[#This Row],[Total PoP ]]</f>
        <v>0</v>
      </c>
      <c r="AX383"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83"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399</v>
      </c>
      <c r="AZ383" s="772">
        <f>WWWW[[#This Row],[HRP1]]/250</f>
        <v>1.5960000000000001</v>
      </c>
      <c r="BA383" s="476">
        <f>1-WWWW[[#This Row],[% Equitable and continuous access to sufficient quantity of domestic water]]</f>
        <v>0</v>
      </c>
      <c r="BB383" s="772">
        <f>WWWW[[#This Row],[%equitable and continuous access to sufficient quantity of safe drinking and domestic water''s GAP]]*WWWW[[#This Row],[Total PoP ]]</f>
        <v>0</v>
      </c>
      <c r="BC383" s="770">
        <f>IF(WWWW[[#This Row],[Total required water points]]-WWWW[[#This Row],['#Water points coverage]]&lt;0,0,WWWW[[#This Row],[Total required water points]]-WWWW[[#This Row],['#Water points coverage]])</f>
        <v>0.40399999999999991</v>
      </c>
      <c r="BD383" s="770">
        <f>ROUND(IF(WWWW[[#This Row],[Total PoP ]]&lt;250,1,WWWW[[#This Row],[Total PoP ]]/250),0)</f>
        <v>2</v>
      </c>
      <c r="BE38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0.52631578947368418</v>
      </c>
      <c r="BF383" s="772">
        <f>WWWW[[#This Row],[% people access to functioning Latrine]]*WWWW[[#This Row],[Total PoP ]]</f>
        <v>210</v>
      </c>
      <c r="BG383" s="770">
        <f>WWWW[[#This Row],['#_of_Functioning_latrines_in_school]]*50</f>
        <v>50</v>
      </c>
      <c r="BH383" s="770">
        <f>ROUND((WWWW[[#This Row],[Total PoP ]]/6),0)</f>
        <v>67</v>
      </c>
      <c r="BI383" s="770">
        <f>IF(WWWW[[#This Row],[Total required Latrines]]-(WWWW[[#This Row],['#_of_sanitary_fly-proof_HH_latrines]])&lt;0,0,WWWW[[#This Row],[Total required Latrines]]-(WWWW[[#This Row],['#_of_sanitary_fly-proof_HH_latrines]]))</f>
        <v>32</v>
      </c>
      <c r="BJ383" s="771">
        <f>1-WWWW[[#This Row],[% people access to functioning Latrine]]</f>
        <v>0.47368421052631582</v>
      </c>
      <c r="BK383"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83" s="772">
        <f>IF(WWWW[[#This Row],['#_of_functional_handwashing_facilities_at_HH_level]]*6&gt;WWWW[[#This Row],[Total PoP ]],WWWW[[#This Row],[Total PoP ]],WWWW[[#This Row],['#_of_functional_handwashing_facilities_at_HH_level]]*6)</f>
        <v>0</v>
      </c>
      <c r="BM383" s="770">
        <f>IF(WWWW[[#This Row],['# people reached by regular dedicated hygiene promotion]]&gt;WWWW[[#This Row],['# People received regular supply of hygiene items]],WWWW[[#This Row],['# people reached by regular dedicated hygiene promotion]],WWWW[[#This Row],['# People received regular supply of hygiene items]])</f>
        <v>0</v>
      </c>
      <c r="BN383" s="476">
        <f>IF(WWWW[[#This Row],[HRP3]]/WWWW[[#This Row],[Total PoP ]]&gt;100%,100%,WWWW[[#This Row],[HRP3]]/WWWW[[#This Row],[Total PoP ]])</f>
        <v>0</v>
      </c>
      <c r="BO383" s="771">
        <f>1-WWWW[[#This Row],[Hygiene Coverage%]]</f>
        <v>1</v>
      </c>
      <c r="BP383" s="769">
        <f>WWWW[[#This Row],['# people reached by regular dedicated hygiene promotion]]/WWWW[[#This Row],[Total PoP ]]</f>
        <v>0</v>
      </c>
      <c r="BQ38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3" s="770">
        <f>WWWW[[#This Row],['#_of_affected_women_and_girls_receiving_a_sufficient_quantity_of_sanitary_pads]]</f>
        <v>0</v>
      </c>
      <c r="BS383" s="773">
        <f>IF(WWWW[[#This Row],['# People with access to soap]]&gt;WWWW[[#This Row],['# People with access to Sanity Pads]],WWWW[[#This Row],['# People with access to soap]],WWWW[[#This Row],['# People with access to Sanity Pads]])</f>
        <v>0</v>
      </c>
      <c r="BT383" s="772" t="str">
        <f>IF(OR(WWWW[[#This Row],['#of students in school]]="",WWWW[[#This Row],['#of students in school]]=0),"No","Yes")</f>
        <v>No</v>
      </c>
      <c r="BU383" s="480" t="str">
        <f>VLOOKUP(WWWW[[#This Row],[Village  Name]],SiteDB6[[Site Name]:[Location Type 1]],9,FALSE)</f>
        <v>Village</v>
      </c>
      <c r="BV383" s="480" t="str">
        <f>VLOOKUP(WWWW[[#This Row],[Village  Name]],SiteDB6[[Site Name]:[Type of Accommodation]],10,FALSE)</f>
        <v>Village</v>
      </c>
      <c r="BW383" s="480">
        <f>VLOOKUP(WWWW[[#This Row],[Village  Name]],SiteDB6[[Site Name]:[Ethnic or GCA/NGCA]],11,FALSE)</f>
        <v>0</v>
      </c>
      <c r="BX383" s="480">
        <f>VLOOKUP(WWWW[[#This Row],[Village  Name]],SiteDB6[[Site Name]:[Lat]],12,FALSE)</f>
        <v>0</v>
      </c>
      <c r="BY383" s="480">
        <f>VLOOKUP(WWWW[[#This Row],[Village  Name]],SiteDB6[[Site Name]:[Long]],13,FALSE)</f>
        <v>0</v>
      </c>
      <c r="BZ383" s="480">
        <f>VLOOKUP(WWWW[[#This Row],[Village  Name]],SiteDB6[[Site Name]:[Pcode]],3,FALSE)</f>
        <v>0</v>
      </c>
      <c r="CA383" s="480" t="str">
        <f t="shared" si="23"/>
        <v>Covered</v>
      </c>
      <c r="CB383" s="505"/>
    </row>
    <row r="384" spans="1:80">
      <c r="A384" s="774" t="s">
        <v>3199</v>
      </c>
      <c r="B384" s="774" t="s">
        <v>308</v>
      </c>
      <c r="C384" s="415"/>
      <c r="D384" s="415" t="s">
        <v>327</v>
      </c>
      <c r="E384" s="415" t="s">
        <v>3274</v>
      </c>
      <c r="F384" s="415" t="s">
        <v>3275</v>
      </c>
      <c r="G384" s="644" t="str">
        <f>VLOOKUP(WWWW[[#This Row],[Village  Name]],SiteDB6[[Site Name]:[Location Type]],8,FALSE)</f>
        <v>Village</v>
      </c>
      <c r="H384" s="415" t="s">
        <v>3287</v>
      </c>
      <c r="I384" s="773">
        <v>75</v>
      </c>
      <c r="J384" s="773">
        <v>426</v>
      </c>
      <c r="K384" s="418">
        <v>43300</v>
      </c>
      <c r="L384" s="55">
        <v>44377</v>
      </c>
      <c r="M384" s="773">
        <v>0</v>
      </c>
      <c r="N384" s="773">
        <v>0</v>
      </c>
      <c r="O384" s="773">
        <v>15</v>
      </c>
      <c r="P384" s="773">
        <v>0</v>
      </c>
      <c r="Q384" s="773">
        <v>0</v>
      </c>
      <c r="R384" s="773">
        <v>0</v>
      </c>
      <c r="S384" s="773">
        <v>0</v>
      </c>
      <c r="T384" s="773">
        <v>1</v>
      </c>
      <c r="U384" s="551"/>
      <c r="V384" s="773">
        <v>44</v>
      </c>
      <c r="W384" s="773" t="s">
        <v>130</v>
      </c>
      <c r="X384" s="773">
        <v>1</v>
      </c>
      <c r="Y384" s="773">
        <v>0</v>
      </c>
      <c r="Z384" s="773">
        <v>0</v>
      </c>
      <c r="AA384" s="773">
        <v>0</v>
      </c>
      <c r="AB384" s="773">
        <v>0</v>
      </c>
      <c r="AC384" s="551"/>
      <c r="AD384" s="773">
        <v>0</v>
      </c>
      <c r="AE384" s="773">
        <v>0</v>
      </c>
      <c r="AF384" s="773">
        <v>0</v>
      </c>
      <c r="AG384" s="773">
        <v>0</v>
      </c>
      <c r="AH384" s="773">
        <v>0</v>
      </c>
      <c r="AI384" s="773">
        <v>0</v>
      </c>
      <c r="AJ384" s="773">
        <v>0</v>
      </c>
      <c r="AK384" s="773">
        <v>0</v>
      </c>
      <c r="AL384" s="773">
        <v>0</v>
      </c>
      <c r="AM384" s="773">
        <v>0</v>
      </c>
      <c r="AN384" s="551"/>
      <c r="AO384" s="769">
        <v>0</v>
      </c>
      <c r="AP384" s="769">
        <v>0</v>
      </c>
      <c r="AQ384" s="773">
        <v>0</v>
      </c>
      <c r="AR384" s="773">
        <v>0</v>
      </c>
      <c r="AS384" s="773">
        <v>0</v>
      </c>
      <c r="AT384"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84" s="772">
        <f>WWWW[[#This Row],[%Equitable and continuous access to sufficient quantity of safe drinking water]]*WWWW[[#This Row],[Total PoP ]]</f>
        <v>426</v>
      </c>
      <c r="AV384"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4" s="772">
        <f>WWWW[[#This Row],[% Access to unimproved water points]]*WWWW[[#This Row],[Total PoP ]]</f>
        <v>0</v>
      </c>
      <c r="AX384"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84"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426</v>
      </c>
      <c r="AZ384" s="772">
        <f>WWWW[[#This Row],[HRP1]]/250</f>
        <v>1.704</v>
      </c>
      <c r="BA384" s="476">
        <f>1-WWWW[[#This Row],[% Equitable and continuous access to sufficient quantity of domestic water]]</f>
        <v>0</v>
      </c>
      <c r="BB384" s="772">
        <f>WWWW[[#This Row],[%equitable and continuous access to sufficient quantity of safe drinking and domestic water''s GAP]]*WWWW[[#This Row],[Total PoP ]]</f>
        <v>0</v>
      </c>
      <c r="BC384" s="770">
        <f>IF(WWWW[[#This Row],[Total required water points]]-WWWW[[#This Row],['#Water points coverage]]&lt;0,0,WWWW[[#This Row],[Total required water points]]-WWWW[[#This Row],['#Water points coverage]])</f>
        <v>0.29600000000000004</v>
      </c>
      <c r="BD384" s="770">
        <f>ROUND(IF(WWWW[[#This Row],[Total PoP ]]&lt;250,1,WWWW[[#This Row],[Total PoP ]]/250),0)</f>
        <v>2</v>
      </c>
      <c r="BE38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0.61971830985915488</v>
      </c>
      <c r="BF384" s="772">
        <f>WWWW[[#This Row],[% people access to functioning Latrine]]*WWWW[[#This Row],[Total PoP ]]</f>
        <v>264</v>
      </c>
      <c r="BG384" s="770">
        <f>WWWW[[#This Row],['#_of_Functioning_latrines_in_school]]*50</f>
        <v>50</v>
      </c>
      <c r="BH384" s="770">
        <f>ROUND((WWWW[[#This Row],[Total PoP ]]/6),0)</f>
        <v>71</v>
      </c>
      <c r="BI384" s="770">
        <f>IF(WWWW[[#This Row],[Total required Latrines]]-(WWWW[[#This Row],['#_of_sanitary_fly-proof_HH_latrines]])&lt;0,0,WWWW[[#This Row],[Total required Latrines]]-(WWWW[[#This Row],['#_of_sanitary_fly-proof_HH_latrines]]))</f>
        <v>27</v>
      </c>
      <c r="BJ384" s="771">
        <f>1-WWWW[[#This Row],[% people access to functioning Latrine]]</f>
        <v>0.38028169014084512</v>
      </c>
      <c r="BK384"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84" s="772">
        <f>IF(WWWW[[#This Row],['#_of_functional_handwashing_facilities_at_HH_level]]*6&gt;WWWW[[#This Row],[Total PoP ]],WWWW[[#This Row],[Total PoP ]],WWWW[[#This Row],['#_of_functional_handwashing_facilities_at_HH_level]]*6)</f>
        <v>0</v>
      </c>
      <c r="BM384" s="770">
        <f>IF(WWWW[[#This Row],['# people reached by regular dedicated hygiene promotion]]&gt;WWWW[[#This Row],['# People received regular supply of hygiene items]],WWWW[[#This Row],['# people reached by regular dedicated hygiene promotion]],WWWW[[#This Row],['# People received regular supply of hygiene items]])</f>
        <v>0</v>
      </c>
      <c r="BN384" s="476">
        <f>IF(WWWW[[#This Row],[HRP3]]/WWWW[[#This Row],[Total PoP ]]&gt;100%,100%,WWWW[[#This Row],[HRP3]]/WWWW[[#This Row],[Total PoP ]])</f>
        <v>0</v>
      </c>
      <c r="BO384" s="771">
        <f>1-WWWW[[#This Row],[Hygiene Coverage%]]</f>
        <v>1</v>
      </c>
      <c r="BP384" s="769">
        <f>WWWW[[#This Row],['# people reached by regular dedicated hygiene promotion]]/WWWW[[#This Row],[Total PoP ]]</f>
        <v>0</v>
      </c>
      <c r="BQ38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4" s="770">
        <f>WWWW[[#This Row],['#_of_affected_women_and_girls_receiving_a_sufficient_quantity_of_sanitary_pads]]</f>
        <v>0</v>
      </c>
      <c r="BS384" s="773">
        <f>IF(WWWW[[#This Row],['# People with access to soap]]&gt;WWWW[[#This Row],['# People with access to Sanity Pads]],WWWW[[#This Row],['# People with access to soap]],WWWW[[#This Row],['# People with access to Sanity Pads]])</f>
        <v>0</v>
      </c>
      <c r="BT384" s="772" t="str">
        <f>IF(OR(WWWW[[#This Row],['#of students in school]]="",WWWW[[#This Row],['#of students in school]]=0),"No","Yes")</f>
        <v>No</v>
      </c>
      <c r="BU384" s="480" t="str">
        <f>VLOOKUP(WWWW[[#This Row],[Village  Name]],SiteDB6[[Site Name]:[Location Type 1]],9,FALSE)</f>
        <v>Village</v>
      </c>
      <c r="BV384" s="480" t="str">
        <f>VLOOKUP(WWWW[[#This Row],[Village  Name]],SiteDB6[[Site Name]:[Type of Accommodation]],10,FALSE)</f>
        <v>Village</v>
      </c>
      <c r="BW384" s="480">
        <f>VLOOKUP(WWWW[[#This Row],[Village  Name]],SiteDB6[[Site Name]:[Ethnic or GCA/NGCA]],11,FALSE)</f>
        <v>0</v>
      </c>
      <c r="BX384" s="480">
        <f>VLOOKUP(WWWW[[#This Row],[Village  Name]],SiteDB6[[Site Name]:[Lat]],12,FALSE)</f>
        <v>0</v>
      </c>
      <c r="BY384" s="480">
        <f>VLOOKUP(WWWW[[#This Row],[Village  Name]],SiteDB6[[Site Name]:[Long]],13,FALSE)</f>
        <v>0</v>
      </c>
      <c r="BZ384" s="480">
        <f>VLOOKUP(WWWW[[#This Row],[Village  Name]],SiteDB6[[Site Name]:[Pcode]],3,FALSE)</f>
        <v>0</v>
      </c>
      <c r="CA384" s="480" t="str">
        <f t="shared" si="23"/>
        <v>Covered</v>
      </c>
      <c r="CB384" s="505"/>
    </row>
    <row r="385" spans="1:80">
      <c r="A385" s="774" t="s">
        <v>3199</v>
      </c>
      <c r="B385" s="774" t="s">
        <v>308</v>
      </c>
      <c r="C385" s="415"/>
      <c r="D385" s="415" t="s">
        <v>327</v>
      </c>
      <c r="E385" s="415" t="s">
        <v>3274</v>
      </c>
      <c r="F385" s="415" t="s">
        <v>3275</v>
      </c>
      <c r="G385" s="644" t="str">
        <f>VLOOKUP(WWWW[[#This Row],[Village  Name]],SiteDB6[[Site Name]:[Location Type]],8,FALSE)</f>
        <v>Village</v>
      </c>
      <c r="H385" s="415" t="s">
        <v>3288</v>
      </c>
      <c r="I385" s="773">
        <v>74</v>
      </c>
      <c r="J385" s="773">
        <v>321</v>
      </c>
      <c r="K385" s="418">
        <v>43300</v>
      </c>
      <c r="L385" s="55">
        <v>44377</v>
      </c>
      <c r="M385" s="773">
        <v>0</v>
      </c>
      <c r="N385" s="773">
        <v>0</v>
      </c>
      <c r="O385" s="773">
        <v>41</v>
      </c>
      <c r="P385" s="773">
        <v>0</v>
      </c>
      <c r="Q385" s="773">
        <v>0</v>
      </c>
      <c r="R385" s="773">
        <v>0</v>
      </c>
      <c r="S385" s="773">
        <v>0</v>
      </c>
      <c r="T385" s="773">
        <v>0</v>
      </c>
      <c r="U385" s="551"/>
      <c r="V385" s="773">
        <v>30</v>
      </c>
      <c r="W385" s="773" t="s">
        <v>130</v>
      </c>
      <c r="X385" s="773">
        <v>0</v>
      </c>
      <c r="Y385" s="773">
        <v>0</v>
      </c>
      <c r="Z385" s="773">
        <v>0</v>
      </c>
      <c r="AA385" s="773">
        <v>0</v>
      </c>
      <c r="AB385" s="773">
        <v>0</v>
      </c>
      <c r="AC385" s="551"/>
      <c r="AD385" s="773">
        <v>0</v>
      </c>
      <c r="AE385" s="773">
        <v>0</v>
      </c>
      <c r="AF385" s="773">
        <v>0</v>
      </c>
      <c r="AG385" s="773">
        <v>0</v>
      </c>
      <c r="AH385" s="773">
        <v>0</v>
      </c>
      <c r="AI385" s="773">
        <v>0</v>
      </c>
      <c r="AJ385" s="773">
        <v>0</v>
      </c>
      <c r="AK385" s="773">
        <v>0</v>
      </c>
      <c r="AL385" s="773">
        <v>0</v>
      </c>
      <c r="AM385" s="773">
        <v>0</v>
      </c>
      <c r="AN385" s="551"/>
      <c r="AO385" s="769">
        <v>0</v>
      </c>
      <c r="AP385" s="769">
        <v>0</v>
      </c>
      <c r="AQ385" s="773">
        <v>0</v>
      </c>
      <c r="AR385" s="773">
        <v>0</v>
      </c>
      <c r="AS385" s="773">
        <v>0</v>
      </c>
      <c r="AT385"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85" s="772">
        <f>WWWW[[#This Row],[%Equitable and continuous access to sufficient quantity of safe drinking water]]*WWWW[[#This Row],[Total PoP ]]</f>
        <v>321</v>
      </c>
      <c r="AV385"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5" s="772">
        <f>WWWW[[#This Row],[% Access to unimproved water points]]*WWWW[[#This Row],[Total PoP ]]</f>
        <v>0</v>
      </c>
      <c r="AX385"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85"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321</v>
      </c>
      <c r="AZ385" s="772">
        <f>WWWW[[#This Row],[HRP1]]/250</f>
        <v>1.284</v>
      </c>
      <c r="BA385" s="476">
        <f>1-WWWW[[#This Row],[% Equitable and continuous access to sufficient quantity of domestic water]]</f>
        <v>0</v>
      </c>
      <c r="BB385" s="772">
        <f>WWWW[[#This Row],[%equitable and continuous access to sufficient quantity of safe drinking and domestic water''s GAP]]*WWWW[[#This Row],[Total PoP ]]</f>
        <v>0</v>
      </c>
      <c r="BC385" s="770">
        <f>IF(WWWW[[#This Row],[Total required water points]]-WWWW[[#This Row],['#Water points coverage]]&lt;0,0,WWWW[[#This Row],[Total required water points]]-WWWW[[#This Row],['#Water points coverage]])</f>
        <v>0</v>
      </c>
      <c r="BD385" s="770">
        <f>ROUND(IF(WWWW[[#This Row],[Total PoP ]]&lt;250,1,WWWW[[#This Row],[Total PoP ]]/250),0)</f>
        <v>1</v>
      </c>
      <c r="BE38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0.56074766355140182</v>
      </c>
      <c r="BF385" s="772">
        <f>WWWW[[#This Row],[% people access to functioning Latrine]]*WWWW[[#This Row],[Total PoP ]]</f>
        <v>179.99999999999997</v>
      </c>
      <c r="BG385" s="770">
        <f>WWWW[[#This Row],['#_of_Functioning_latrines_in_school]]*50</f>
        <v>0</v>
      </c>
      <c r="BH385" s="770">
        <f>ROUND((WWWW[[#This Row],[Total PoP ]]/6),0)</f>
        <v>54</v>
      </c>
      <c r="BI385" s="770">
        <f>IF(WWWW[[#This Row],[Total required Latrines]]-(WWWW[[#This Row],['#_of_sanitary_fly-proof_HH_latrines]])&lt;0,0,WWWW[[#This Row],[Total required Latrines]]-(WWWW[[#This Row],['#_of_sanitary_fly-proof_HH_latrines]]))</f>
        <v>24</v>
      </c>
      <c r="BJ385" s="771">
        <f>1-WWWW[[#This Row],[% people access to functioning Latrine]]</f>
        <v>0.43925233644859818</v>
      </c>
      <c r="BK385"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85" s="772">
        <f>IF(WWWW[[#This Row],['#_of_functional_handwashing_facilities_at_HH_level]]*6&gt;WWWW[[#This Row],[Total PoP ]],WWWW[[#This Row],[Total PoP ]],WWWW[[#This Row],['#_of_functional_handwashing_facilities_at_HH_level]]*6)</f>
        <v>0</v>
      </c>
      <c r="BM385" s="770">
        <f>IF(WWWW[[#This Row],['# people reached by regular dedicated hygiene promotion]]&gt;WWWW[[#This Row],['# People received regular supply of hygiene items]],WWWW[[#This Row],['# people reached by regular dedicated hygiene promotion]],WWWW[[#This Row],['# People received regular supply of hygiene items]])</f>
        <v>0</v>
      </c>
      <c r="BN385" s="476">
        <f>IF(WWWW[[#This Row],[HRP3]]/WWWW[[#This Row],[Total PoP ]]&gt;100%,100%,WWWW[[#This Row],[HRP3]]/WWWW[[#This Row],[Total PoP ]])</f>
        <v>0</v>
      </c>
      <c r="BO385" s="771">
        <f>1-WWWW[[#This Row],[Hygiene Coverage%]]</f>
        <v>1</v>
      </c>
      <c r="BP385" s="769">
        <f>WWWW[[#This Row],['# people reached by regular dedicated hygiene promotion]]/WWWW[[#This Row],[Total PoP ]]</f>
        <v>0</v>
      </c>
      <c r="BQ38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5" s="770">
        <f>WWWW[[#This Row],['#_of_affected_women_and_girls_receiving_a_sufficient_quantity_of_sanitary_pads]]</f>
        <v>0</v>
      </c>
      <c r="BS385" s="773">
        <f>IF(WWWW[[#This Row],['# People with access to soap]]&gt;WWWW[[#This Row],['# People with access to Sanity Pads]],WWWW[[#This Row],['# People with access to soap]],WWWW[[#This Row],['# People with access to Sanity Pads]])</f>
        <v>0</v>
      </c>
      <c r="BT385" s="772" t="str">
        <f>IF(OR(WWWW[[#This Row],['#of students in school]]="",WWWW[[#This Row],['#of students in school]]=0),"No","Yes")</f>
        <v>No</v>
      </c>
      <c r="BU385" s="480" t="str">
        <f>VLOOKUP(WWWW[[#This Row],[Village  Name]],SiteDB6[[Site Name]:[Location Type 1]],9,FALSE)</f>
        <v>Village</v>
      </c>
      <c r="BV385" s="480" t="str">
        <f>VLOOKUP(WWWW[[#This Row],[Village  Name]],SiteDB6[[Site Name]:[Type of Accommodation]],10,FALSE)</f>
        <v>Village</v>
      </c>
      <c r="BW385" s="480">
        <f>VLOOKUP(WWWW[[#This Row],[Village  Name]],SiteDB6[[Site Name]:[Ethnic or GCA/NGCA]],11,FALSE)</f>
        <v>0</v>
      </c>
      <c r="BX385" s="480">
        <f>VLOOKUP(WWWW[[#This Row],[Village  Name]],SiteDB6[[Site Name]:[Lat]],12,FALSE)</f>
        <v>0</v>
      </c>
      <c r="BY385" s="480">
        <f>VLOOKUP(WWWW[[#This Row],[Village  Name]],SiteDB6[[Site Name]:[Long]],13,FALSE)</f>
        <v>0</v>
      </c>
      <c r="BZ385" s="480">
        <f>VLOOKUP(WWWW[[#This Row],[Village  Name]],SiteDB6[[Site Name]:[Pcode]],3,FALSE)</f>
        <v>0</v>
      </c>
      <c r="CA385" s="480" t="str">
        <f t="shared" si="23"/>
        <v>Covered</v>
      </c>
      <c r="CB385" s="505"/>
    </row>
    <row r="386" spans="1:80">
      <c r="A386" s="774" t="s">
        <v>3199</v>
      </c>
      <c r="B386" s="774" t="s">
        <v>308</v>
      </c>
      <c r="C386" s="415"/>
      <c r="D386" s="415" t="s">
        <v>327</v>
      </c>
      <c r="E386" s="415" t="s">
        <v>3274</v>
      </c>
      <c r="F386" s="415" t="s">
        <v>3275</v>
      </c>
      <c r="G386" s="644" t="str">
        <f>VLOOKUP(WWWW[[#This Row],[Village  Name]],SiteDB6[[Site Name]:[Location Type]],8,FALSE)</f>
        <v>Village</v>
      </c>
      <c r="H386" s="415" t="s">
        <v>3289</v>
      </c>
      <c r="I386" s="773">
        <v>50</v>
      </c>
      <c r="J386" s="773">
        <v>284</v>
      </c>
      <c r="K386" s="418">
        <v>43300</v>
      </c>
      <c r="L386" s="55">
        <v>44377</v>
      </c>
      <c r="M386" s="773">
        <v>0</v>
      </c>
      <c r="N386" s="773">
        <v>0</v>
      </c>
      <c r="O386" s="773">
        <v>6</v>
      </c>
      <c r="P386" s="773">
        <v>0</v>
      </c>
      <c r="Q386" s="773">
        <v>0</v>
      </c>
      <c r="R386" s="773">
        <v>0</v>
      </c>
      <c r="S386" s="773">
        <v>0</v>
      </c>
      <c r="T386" s="773">
        <v>0</v>
      </c>
      <c r="U386" s="551"/>
      <c r="V386" s="773">
        <v>35</v>
      </c>
      <c r="W386" s="773" t="s">
        <v>130</v>
      </c>
      <c r="X386" s="773">
        <v>0</v>
      </c>
      <c r="Y386" s="773">
        <v>0</v>
      </c>
      <c r="Z386" s="773">
        <v>0</v>
      </c>
      <c r="AA386" s="773">
        <v>0</v>
      </c>
      <c r="AB386" s="773">
        <v>0</v>
      </c>
      <c r="AC386" s="551"/>
      <c r="AD386" s="773">
        <v>0</v>
      </c>
      <c r="AE386" s="773">
        <v>0</v>
      </c>
      <c r="AF386" s="773">
        <v>0</v>
      </c>
      <c r="AG386" s="773">
        <v>0</v>
      </c>
      <c r="AH386" s="773">
        <v>0</v>
      </c>
      <c r="AI386" s="773">
        <v>0</v>
      </c>
      <c r="AJ386" s="773">
        <v>0</v>
      </c>
      <c r="AK386" s="773">
        <v>0</v>
      </c>
      <c r="AL386" s="773">
        <v>0</v>
      </c>
      <c r="AM386" s="773">
        <v>0</v>
      </c>
      <c r="AN386" s="551"/>
      <c r="AO386" s="769">
        <v>0</v>
      </c>
      <c r="AP386" s="769">
        <v>0</v>
      </c>
      <c r="AQ386" s="773">
        <v>0</v>
      </c>
      <c r="AR386" s="773">
        <v>0</v>
      </c>
      <c r="AS386" s="773">
        <v>0</v>
      </c>
      <c r="AT386"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86" s="772">
        <f>WWWW[[#This Row],[%Equitable and continuous access to sufficient quantity of safe drinking water]]*WWWW[[#This Row],[Total PoP ]]</f>
        <v>284</v>
      </c>
      <c r="AV386"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6" s="772">
        <f>WWWW[[#This Row],[% Access to unimproved water points]]*WWWW[[#This Row],[Total PoP ]]</f>
        <v>0</v>
      </c>
      <c r="AX386"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86"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284</v>
      </c>
      <c r="AZ386" s="772">
        <f>WWWW[[#This Row],[HRP1]]/250</f>
        <v>1.1359999999999999</v>
      </c>
      <c r="BA386" s="476">
        <f>1-WWWW[[#This Row],[% Equitable and continuous access to sufficient quantity of domestic water]]</f>
        <v>0</v>
      </c>
      <c r="BB386" s="772">
        <f>WWWW[[#This Row],[%equitable and continuous access to sufficient quantity of safe drinking and domestic water''s GAP]]*WWWW[[#This Row],[Total PoP ]]</f>
        <v>0</v>
      </c>
      <c r="BC386" s="770">
        <f>IF(WWWW[[#This Row],[Total required water points]]-WWWW[[#This Row],['#Water points coverage]]&lt;0,0,WWWW[[#This Row],[Total required water points]]-WWWW[[#This Row],['#Water points coverage]])</f>
        <v>0</v>
      </c>
      <c r="BD386" s="770">
        <f>ROUND(IF(WWWW[[#This Row],[Total PoP ]]&lt;250,1,WWWW[[#This Row],[Total PoP ]]/250),0)</f>
        <v>1</v>
      </c>
      <c r="BE38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0.73943661971830987</v>
      </c>
      <c r="BF386" s="772">
        <f>WWWW[[#This Row],[% people access to functioning Latrine]]*WWWW[[#This Row],[Total PoP ]]</f>
        <v>210</v>
      </c>
      <c r="BG386" s="770">
        <f>WWWW[[#This Row],['#_of_Functioning_latrines_in_school]]*50</f>
        <v>0</v>
      </c>
      <c r="BH386" s="770">
        <f>ROUND((WWWW[[#This Row],[Total PoP ]]/6),0)</f>
        <v>47</v>
      </c>
      <c r="BI386" s="770">
        <f>IF(WWWW[[#This Row],[Total required Latrines]]-(WWWW[[#This Row],['#_of_sanitary_fly-proof_HH_latrines]])&lt;0,0,WWWW[[#This Row],[Total required Latrines]]-(WWWW[[#This Row],['#_of_sanitary_fly-proof_HH_latrines]]))</f>
        <v>12</v>
      </c>
      <c r="BJ386" s="771">
        <f>1-WWWW[[#This Row],[% people access to functioning Latrine]]</f>
        <v>0.26056338028169013</v>
      </c>
      <c r="BK386"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86" s="772">
        <f>IF(WWWW[[#This Row],['#_of_functional_handwashing_facilities_at_HH_level]]*6&gt;WWWW[[#This Row],[Total PoP ]],WWWW[[#This Row],[Total PoP ]],WWWW[[#This Row],['#_of_functional_handwashing_facilities_at_HH_level]]*6)</f>
        <v>0</v>
      </c>
      <c r="BM386" s="770">
        <f>IF(WWWW[[#This Row],['# people reached by regular dedicated hygiene promotion]]&gt;WWWW[[#This Row],['# People received regular supply of hygiene items]],WWWW[[#This Row],['# people reached by regular dedicated hygiene promotion]],WWWW[[#This Row],['# People received regular supply of hygiene items]])</f>
        <v>0</v>
      </c>
      <c r="BN386" s="476">
        <f>IF(WWWW[[#This Row],[HRP3]]/WWWW[[#This Row],[Total PoP ]]&gt;100%,100%,WWWW[[#This Row],[HRP3]]/WWWW[[#This Row],[Total PoP ]])</f>
        <v>0</v>
      </c>
      <c r="BO386" s="771">
        <f>1-WWWW[[#This Row],[Hygiene Coverage%]]</f>
        <v>1</v>
      </c>
      <c r="BP386" s="769">
        <f>WWWW[[#This Row],['# people reached by regular dedicated hygiene promotion]]/WWWW[[#This Row],[Total PoP ]]</f>
        <v>0</v>
      </c>
      <c r="BQ38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6" s="770">
        <f>WWWW[[#This Row],['#_of_affected_women_and_girls_receiving_a_sufficient_quantity_of_sanitary_pads]]</f>
        <v>0</v>
      </c>
      <c r="BS386" s="773">
        <f>IF(WWWW[[#This Row],['# People with access to soap]]&gt;WWWW[[#This Row],['# People with access to Sanity Pads]],WWWW[[#This Row],['# People with access to soap]],WWWW[[#This Row],['# People with access to Sanity Pads]])</f>
        <v>0</v>
      </c>
      <c r="BT386" s="772" t="str">
        <f>IF(OR(WWWW[[#This Row],['#of students in school]]="",WWWW[[#This Row],['#of students in school]]=0),"No","Yes")</f>
        <v>No</v>
      </c>
      <c r="BU386" s="480" t="str">
        <f>VLOOKUP(WWWW[[#This Row],[Village  Name]],SiteDB6[[Site Name]:[Location Type 1]],9,FALSE)</f>
        <v>Village</v>
      </c>
      <c r="BV386" s="480" t="str">
        <f>VLOOKUP(WWWW[[#This Row],[Village  Name]],SiteDB6[[Site Name]:[Type of Accommodation]],10,FALSE)</f>
        <v>Village</v>
      </c>
      <c r="BW386" s="480">
        <f>VLOOKUP(WWWW[[#This Row],[Village  Name]],SiteDB6[[Site Name]:[Ethnic or GCA/NGCA]],11,FALSE)</f>
        <v>0</v>
      </c>
      <c r="BX386" s="480">
        <f>VLOOKUP(WWWW[[#This Row],[Village  Name]],SiteDB6[[Site Name]:[Lat]],12,FALSE)</f>
        <v>0</v>
      </c>
      <c r="BY386" s="480">
        <f>VLOOKUP(WWWW[[#This Row],[Village  Name]],SiteDB6[[Site Name]:[Long]],13,FALSE)</f>
        <v>0</v>
      </c>
      <c r="BZ386" s="480">
        <f>VLOOKUP(WWWW[[#This Row],[Village  Name]],SiteDB6[[Site Name]:[Pcode]],3,FALSE)</f>
        <v>0</v>
      </c>
      <c r="CA386" s="480" t="str">
        <f t="shared" si="23"/>
        <v>Covered</v>
      </c>
      <c r="CB386" s="505"/>
    </row>
    <row r="387" spans="1:80">
      <c r="A387" s="774" t="s">
        <v>3199</v>
      </c>
      <c r="B387" s="774" t="s">
        <v>308</v>
      </c>
      <c r="C387" s="415"/>
      <c r="D387" s="415" t="s">
        <v>327</v>
      </c>
      <c r="E387" s="415" t="s">
        <v>3274</v>
      </c>
      <c r="F387" s="415" t="s">
        <v>3275</v>
      </c>
      <c r="G387" s="644" t="str">
        <f>VLOOKUP(WWWW[[#This Row],[Village  Name]],SiteDB6[[Site Name]:[Location Type]],8,FALSE)</f>
        <v>Village</v>
      </c>
      <c r="H387" s="415" t="s">
        <v>3290</v>
      </c>
      <c r="I387" s="773">
        <v>154</v>
      </c>
      <c r="J387" s="773">
        <v>977</v>
      </c>
      <c r="K387" s="418">
        <v>43300</v>
      </c>
      <c r="L387" s="55">
        <v>44377</v>
      </c>
      <c r="M387" s="773">
        <v>0</v>
      </c>
      <c r="N387" s="773">
        <v>0</v>
      </c>
      <c r="O387" s="773">
        <v>6</v>
      </c>
      <c r="P387" s="773">
        <v>0</v>
      </c>
      <c r="Q387" s="773">
        <v>0</v>
      </c>
      <c r="R387" s="773">
        <v>12000</v>
      </c>
      <c r="S387" s="773">
        <v>0</v>
      </c>
      <c r="T387" s="773">
        <v>1</v>
      </c>
      <c r="U387" s="551"/>
      <c r="V387" s="773">
        <v>85</v>
      </c>
      <c r="W387" s="773" t="s">
        <v>130</v>
      </c>
      <c r="X387" s="773">
        <v>2</v>
      </c>
      <c r="Y387" s="773">
        <v>0</v>
      </c>
      <c r="Z387" s="773">
        <v>0</v>
      </c>
      <c r="AA387" s="773">
        <v>0</v>
      </c>
      <c r="AB387" s="773">
        <v>0</v>
      </c>
      <c r="AC387" s="551"/>
      <c r="AD387" s="773">
        <v>0</v>
      </c>
      <c r="AE387" s="773">
        <v>0</v>
      </c>
      <c r="AF387" s="773">
        <v>0</v>
      </c>
      <c r="AG387" s="773">
        <v>0</v>
      </c>
      <c r="AH387" s="773">
        <v>0</v>
      </c>
      <c r="AI387" s="773">
        <v>0</v>
      </c>
      <c r="AJ387" s="773">
        <v>0</v>
      </c>
      <c r="AK387" s="773">
        <v>0</v>
      </c>
      <c r="AL387" s="773">
        <v>0</v>
      </c>
      <c r="AM387" s="773">
        <v>0</v>
      </c>
      <c r="AN387" s="551"/>
      <c r="AO387" s="769">
        <v>0</v>
      </c>
      <c r="AP387" s="769">
        <v>0</v>
      </c>
      <c r="AQ387" s="773">
        <v>0</v>
      </c>
      <c r="AR387" s="773">
        <v>0</v>
      </c>
      <c r="AS387" s="773">
        <v>0</v>
      </c>
      <c r="AT387"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87" s="772">
        <f>WWWW[[#This Row],[%Equitable and continuous access to sufficient quantity of safe drinking water]]*WWWW[[#This Row],[Total PoP ]]</f>
        <v>977</v>
      </c>
      <c r="AV387"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7" s="772">
        <f>WWWW[[#This Row],[% Access to unimproved water points]]*WWWW[[#This Row],[Total PoP ]]</f>
        <v>0</v>
      </c>
      <c r="AX387"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87"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977</v>
      </c>
      <c r="AZ387" s="772">
        <f>WWWW[[#This Row],[HRP1]]/250</f>
        <v>3.9079999999999999</v>
      </c>
      <c r="BA387" s="476">
        <f>1-WWWW[[#This Row],[% Equitable and continuous access to sufficient quantity of domestic water]]</f>
        <v>0</v>
      </c>
      <c r="BB387" s="772">
        <f>WWWW[[#This Row],[%equitable and continuous access to sufficient quantity of safe drinking and domestic water''s GAP]]*WWWW[[#This Row],[Total PoP ]]</f>
        <v>0</v>
      </c>
      <c r="BC387" s="770">
        <f>IF(WWWW[[#This Row],[Total required water points]]-WWWW[[#This Row],['#Water points coverage]]&lt;0,0,WWWW[[#This Row],[Total required water points]]-WWWW[[#This Row],['#Water points coverage]])</f>
        <v>9.2000000000000082E-2</v>
      </c>
      <c r="BD387" s="770">
        <f>ROUND(IF(WWWW[[#This Row],[Total PoP ]]&lt;250,1,WWWW[[#This Row],[Total PoP ]]/250),0)</f>
        <v>4</v>
      </c>
      <c r="BE38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0.52200614124872058</v>
      </c>
      <c r="BF387" s="772">
        <f>WWWW[[#This Row],[% people access to functioning Latrine]]*WWWW[[#This Row],[Total PoP ]]</f>
        <v>510</v>
      </c>
      <c r="BG387" s="770">
        <f>WWWW[[#This Row],['#_of_Functioning_latrines_in_school]]*50</f>
        <v>100</v>
      </c>
      <c r="BH387" s="770">
        <f>ROUND((WWWW[[#This Row],[Total PoP ]]/6),0)</f>
        <v>163</v>
      </c>
      <c r="BI387" s="770">
        <f>IF(WWWW[[#This Row],[Total required Latrines]]-(WWWW[[#This Row],['#_of_sanitary_fly-proof_HH_latrines]])&lt;0,0,WWWW[[#This Row],[Total required Latrines]]-(WWWW[[#This Row],['#_of_sanitary_fly-proof_HH_latrines]]))</f>
        <v>78</v>
      </c>
      <c r="BJ387" s="771">
        <f>1-WWWW[[#This Row],[% people access to functioning Latrine]]</f>
        <v>0.47799385875127942</v>
      </c>
      <c r="BK387"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87" s="772">
        <f>IF(WWWW[[#This Row],['#_of_functional_handwashing_facilities_at_HH_level]]*6&gt;WWWW[[#This Row],[Total PoP ]],WWWW[[#This Row],[Total PoP ]],WWWW[[#This Row],['#_of_functional_handwashing_facilities_at_HH_level]]*6)</f>
        <v>0</v>
      </c>
      <c r="BM387" s="770">
        <f>IF(WWWW[[#This Row],['# people reached by regular dedicated hygiene promotion]]&gt;WWWW[[#This Row],['# People received regular supply of hygiene items]],WWWW[[#This Row],['# people reached by regular dedicated hygiene promotion]],WWWW[[#This Row],['# People received regular supply of hygiene items]])</f>
        <v>0</v>
      </c>
      <c r="BN387" s="476">
        <f>IF(WWWW[[#This Row],[HRP3]]/WWWW[[#This Row],[Total PoP ]]&gt;100%,100%,WWWW[[#This Row],[HRP3]]/WWWW[[#This Row],[Total PoP ]])</f>
        <v>0</v>
      </c>
      <c r="BO387" s="771">
        <f>1-WWWW[[#This Row],[Hygiene Coverage%]]</f>
        <v>1</v>
      </c>
      <c r="BP387" s="769">
        <f>WWWW[[#This Row],['# people reached by regular dedicated hygiene promotion]]/WWWW[[#This Row],[Total PoP ]]</f>
        <v>0</v>
      </c>
      <c r="BQ38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7" s="770">
        <f>WWWW[[#This Row],['#_of_affected_women_and_girls_receiving_a_sufficient_quantity_of_sanitary_pads]]</f>
        <v>0</v>
      </c>
      <c r="BS387" s="773">
        <f>IF(WWWW[[#This Row],['# People with access to soap]]&gt;WWWW[[#This Row],['# People with access to Sanity Pads]],WWWW[[#This Row],['# People with access to soap]],WWWW[[#This Row],['# People with access to Sanity Pads]])</f>
        <v>0</v>
      </c>
      <c r="BT387" s="772" t="str">
        <f>IF(OR(WWWW[[#This Row],['#of students in school]]="",WWWW[[#This Row],['#of students in school]]=0),"No","Yes")</f>
        <v>No</v>
      </c>
      <c r="BU387" s="480" t="str">
        <f>VLOOKUP(WWWW[[#This Row],[Village  Name]],SiteDB6[[Site Name]:[Location Type 1]],9,FALSE)</f>
        <v>Village</v>
      </c>
      <c r="BV387" s="480" t="str">
        <f>VLOOKUP(WWWW[[#This Row],[Village  Name]],SiteDB6[[Site Name]:[Type of Accommodation]],10,FALSE)</f>
        <v>Village</v>
      </c>
      <c r="BW387" s="480">
        <f>VLOOKUP(WWWW[[#This Row],[Village  Name]],SiteDB6[[Site Name]:[Ethnic or GCA/NGCA]],11,FALSE)</f>
        <v>0</v>
      </c>
      <c r="BX387" s="480">
        <f>VLOOKUP(WWWW[[#This Row],[Village  Name]],SiteDB6[[Site Name]:[Lat]],12,FALSE)</f>
        <v>0</v>
      </c>
      <c r="BY387" s="480">
        <f>VLOOKUP(WWWW[[#This Row],[Village  Name]],SiteDB6[[Site Name]:[Long]],13,FALSE)</f>
        <v>0</v>
      </c>
      <c r="BZ387" s="480">
        <f>VLOOKUP(WWWW[[#This Row],[Village  Name]],SiteDB6[[Site Name]:[Pcode]],3,FALSE)</f>
        <v>0</v>
      </c>
      <c r="CA387" s="480" t="str">
        <f t="shared" si="23"/>
        <v>Covered</v>
      </c>
      <c r="CB387" s="505"/>
    </row>
    <row r="388" spans="1:80">
      <c r="A388" s="774" t="s">
        <v>3199</v>
      </c>
      <c r="B388" s="774" t="s">
        <v>308</v>
      </c>
      <c r="C388" s="415"/>
      <c r="D388" s="415" t="s">
        <v>327</v>
      </c>
      <c r="E388" s="415" t="s">
        <v>3274</v>
      </c>
      <c r="F388" s="415" t="s">
        <v>3275</v>
      </c>
      <c r="G388" s="644" t="str">
        <f>VLOOKUP(WWWW[[#This Row],[Village  Name]],SiteDB6[[Site Name]:[Location Type]],8,FALSE)</f>
        <v>Village</v>
      </c>
      <c r="H388" s="415" t="s">
        <v>3291</v>
      </c>
      <c r="I388" s="773">
        <v>44</v>
      </c>
      <c r="J388" s="773">
        <v>248</v>
      </c>
      <c r="K388" s="418">
        <v>43300</v>
      </c>
      <c r="L388" s="55">
        <v>44377</v>
      </c>
      <c r="M388" s="773">
        <v>0</v>
      </c>
      <c r="N388" s="773">
        <v>0</v>
      </c>
      <c r="O388" s="773">
        <v>11</v>
      </c>
      <c r="P388" s="773">
        <v>0</v>
      </c>
      <c r="Q388" s="773">
        <v>0</v>
      </c>
      <c r="R388" s="773">
        <v>0</v>
      </c>
      <c r="S388" s="773">
        <v>0</v>
      </c>
      <c r="T388" s="773">
        <v>0</v>
      </c>
      <c r="U388" s="551"/>
      <c r="V388" s="773">
        <v>14</v>
      </c>
      <c r="W388" s="773" t="s">
        <v>130</v>
      </c>
      <c r="X388" s="773">
        <v>0</v>
      </c>
      <c r="Y388" s="773">
        <v>0</v>
      </c>
      <c r="Z388" s="773">
        <v>0</v>
      </c>
      <c r="AA388" s="773">
        <v>0</v>
      </c>
      <c r="AB388" s="773">
        <v>0</v>
      </c>
      <c r="AC388" s="551"/>
      <c r="AD388" s="773">
        <v>0</v>
      </c>
      <c r="AE388" s="773">
        <v>0</v>
      </c>
      <c r="AF388" s="773">
        <v>0</v>
      </c>
      <c r="AG388" s="773">
        <v>0</v>
      </c>
      <c r="AH388" s="773">
        <v>0</v>
      </c>
      <c r="AI388" s="773">
        <v>0</v>
      </c>
      <c r="AJ388" s="773">
        <v>0</v>
      </c>
      <c r="AK388" s="773">
        <v>0</v>
      </c>
      <c r="AL388" s="773">
        <v>0</v>
      </c>
      <c r="AM388" s="773">
        <v>0</v>
      </c>
      <c r="AN388" s="551"/>
      <c r="AO388" s="769">
        <v>0</v>
      </c>
      <c r="AP388" s="769">
        <v>0</v>
      </c>
      <c r="AQ388" s="773">
        <v>0</v>
      </c>
      <c r="AR388" s="773">
        <v>0</v>
      </c>
      <c r="AS388" s="773">
        <v>0</v>
      </c>
      <c r="AT388"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88" s="772">
        <f>WWWW[[#This Row],[%Equitable and continuous access to sufficient quantity of safe drinking water]]*WWWW[[#This Row],[Total PoP ]]</f>
        <v>248</v>
      </c>
      <c r="AV388"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8" s="772">
        <f>WWWW[[#This Row],[% Access to unimproved water points]]*WWWW[[#This Row],[Total PoP ]]</f>
        <v>0</v>
      </c>
      <c r="AX388"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88"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248</v>
      </c>
      <c r="AZ388" s="772">
        <f>WWWW[[#This Row],[HRP1]]/250</f>
        <v>0.99199999999999999</v>
      </c>
      <c r="BA388" s="476">
        <f>1-WWWW[[#This Row],[% Equitable and continuous access to sufficient quantity of domestic water]]</f>
        <v>0</v>
      </c>
      <c r="BB388" s="772">
        <f>WWWW[[#This Row],[%equitable and continuous access to sufficient quantity of safe drinking and domestic water''s GAP]]*WWWW[[#This Row],[Total PoP ]]</f>
        <v>0</v>
      </c>
      <c r="BC388" s="770">
        <f>IF(WWWW[[#This Row],[Total required water points]]-WWWW[[#This Row],['#Water points coverage]]&lt;0,0,WWWW[[#This Row],[Total required water points]]-WWWW[[#This Row],['#Water points coverage]])</f>
        <v>8.0000000000000071E-3</v>
      </c>
      <c r="BD388" s="770">
        <f>ROUND(IF(WWWW[[#This Row],[Total PoP ]]&lt;250,1,WWWW[[#This Row],[Total PoP ]]/250),0)</f>
        <v>1</v>
      </c>
      <c r="BE38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0.33870967741935482</v>
      </c>
      <c r="BF388" s="772">
        <f>WWWW[[#This Row],[% people access to functioning Latrine]]*WWWW[[#This Row],[Total PoP ]]</f>
        <v>84</v>
      </c>
      <c r="BG388" s="770">
        <f>WWWW[[#This Row],['#_of_Functioning_latrines_in_school]]*50</f>
        <v>0</v>
      </c>
      <c r="BH388" s="770">
        <f>ROUND((WWWW[[#This Row],[Total PoP ]]/6),0)</f>
        <v>41</v>
      </c>
      <c r="BI388" s="770">
        <f>IF(WWWW[[#This Row],[Total required Latrines]]-(WWWW[[#This Row],['#_of_sanitary_fly-proof_HH_latrines]])&lt;0,0,WWWW[[#This Row],[Total required Latrines]]-(WWWW[[#This Row],['#_of_sanitary_fly-proof_HH_latrines]]))</f>
        <v>27</v>
      </c>
      <c r="BJ388" s="771">
        <f>1-WWWW[[#This Row],[% people access to functioning Latrine]]</f>
        <v>0.66129032258064524</v>
      </c>
      <c r="BK388"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388" s="772">
        <f>IF(WWWW[[#This Row],['#_of_functional_handwashing_facilities_at_HH_level]]*6&gt;WWWW[[#This Row],[Total PoP ]],WWWW[[#This Row],[Total PoP ]],WWWW[[#This Row],['#_of_functional_handwashing_facilities_at_HH_level]]*6)</f>
        <v>0</v>
      </c>
      <c r="BM388" s="770">
        <f>IF(WWWW[[#This Row],['# people reached by regular dedicated hygiene promotion]]&gt;WWWW[[#This Row],['# People received regular supply of hygiene items]],WWWW[[#This Row],['# people reached by regular dedicated hygiene promotion]],WWWW[[#This Row],['# People received regular supply of hygiene items]])</f>
        <v>0</v>
      </c>
      <c r="BN388" s="476">
        <f>IF(WWWW[[#This Row],[HRP3]]/WWWW[[#This Row],[Total PoP ]]&gt;100%,100%,WWWW[[#This Row],[HRP3]]/WWWW[[#This Row],[Total PoP ]])</f>
        <v>0</v>
      </c>
      <c r="BO388" s="771">
        <f>1-WWWW[[#This Row],[Hygiene Coverage%]]</f>
        <v>1</v>
      </c>
      <c r="BP388" s="769">
        <f>WWWW[[#This Row],['# people reached by regular dedicated hygiene promotion]]/WWWW[[#This Row],[Total PoP ]]</f>
        <v>0</v>
      </c>
      <c r="BQ38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8" s="770">
        <f>WWWW[[#This Row],['#_of_affected_women_and_girls_receiving_a_sufficient_quantity_of_sanitary_pads]]</f>
        <v>0</v>
      </c>
      <c r="BS388" s="773">
        <f>IF(WWWW[[#This Row],['# People with access to soap]]&gt;WWWW[[#This Row],['# People with access to Sanity Pads]],WWWW[[#This Row],['# People with access to soap]],WWWW[[#This Row],['# People with access to Sanity Pads]])</f>
        <v>0</v>
      </c>
      <c r="BT388" s="772" t="str">
        <f>IF(OR(WWWW[[#This Row],['#of students in school]]="",WWWW[[#This Row],['#of students in school]]=0),"No","Yes")</f>
        <v>No</v>
      </c>
      <c r="BU388" s="480" t="str">
        <f>VLOOKUP(WWWW[[#This Row],[Village  Name]],SiteDB6[[Site Name]:[Location Type 1]],9,FALSE)</f>
        <v>Village</v>
      </c>
      <c r="BV388" s="480" t="str">
        <f>VLOOKUP(WWWW[[#This Row],[Village  Name]],SiteDB6[[Site Name]:[Type of Accommodation]],10,FALSE)</f>
        <v>Village</v>
      </c>
      <c r="BW388" s="480">
        <f>VLOOKUP(WWWW[[#This Row],[Village  Name]],SiteDB6[[Site Name]:[Ethnic or GCA/NGCA]],11,FALSE)</f>
        <v>0</v>
      </c>
      <c r="BX388" s="480">
        <f>VLOOKUP(WWWW[[#This Row],[Village  Name]],SiteDB6[[Site Name]:[Lat]],12,FALSE)</f>
        <v>0</v>
      </c>
      <c r="BY388" s="480">
        <f>VLOOKUP(WWWW[[#This Row],[Village  Name]],SiteDB6[[Site Name]:[Long]],13,FALSE)</f>
        <v>0</v>
      </c>
      <c r="BZ388" s="480">
        <f>VLOOKUP(WWWW[[#This Row],[Village  Name]],SiteDB6[[Site Name]:[Pcode]],3,FALSE)</f>
        <v>0</v>
      </c>
      <c r="CA388" s="480" t="str">
        <f t="shared" si="23"/>
        <v>Covered</v>
      </c>
      <c r="CB388" s="505"/>
    </row>
    <row r="389" spans="1:80">
      <c r="A389" s="774" t="s">
        <v>3199</v>
      </c>
      <c r="B389" s="774" t="s">
        <v>2812</v>
      </c>
      <c r="C389" s="703" t="s">
        <v>2812</v>
      </c>
      <c r="D389" s="415" t="s">
        <v>3176</v>
      </c>
      <c r="E389" s="415" t="s">
        <v>36</v>
      </c>
      <c r="F389" s="415" t="s">
        <v>132</v>
      </c>
      <c r="G389" s="705" t="str">
        <f>VLOOKUP(WWWW[[#This Row],[Village  Name]],SiteDB6[[Site Name]:[Location Type]],8,FALSE)</f>
        <v>Village</v>
      </c>
      <c r="H389" s="415" t="s">
        <v>3177</v>
      </c>
      <c r="I389" s="773">
        <v>43</v>
      </c>
      <c r="J389" s="773">
        <v>185</v>
      </c>
      <c r="K389" s="418">
        <v>43081</v>
      </c>
      <c r="L389" s="55">
        <v>44104</v>
      </c>
      <c r="M389" s="773"/>
      <c r="N389" s="773"/>
      <c r="O389" s="773">
        <v>1</v>
      </c>
      <c r="P389" s="773"/>
      <c r="Q389" s="773"/>
      <c r="R389" s="773"/>
      <c r="S389" s="773"/>
      <c r="T389" s="773"/>
      <c r="U389" s="551"/>
      <c r="V389" s="773">
        <v>33</v>
      </c>
      <c r="W389" s="773"/>
      <c r="X389" s="773">
        <v>2</v>
      </c>
      <c r="Y389" s="773"/>
      <c r="Z389" s="773"/>
      <c r="AA389" s="773"/>
      <c r="AB389" s="773"/>
      <c r="AC389" s="551"/>
      <c r="AD389" s="773">
        <v>11</v>
      </c>
      <c r="AE389" s="773">
        <v>18</v>
      </c>
      <c r="AF389" s="773"/>
      <c r="AG389" s="773"/>
      <c r="AH389" s="773"/>
      <c r="AI389" s="773"/>
      <c r="AJ389" s="773"/>
      <c r="AK389" s="773"/>
      <c r="AL389" s="773"/>
      <c r="AM389" s="773"/>
      <c r="AN389" s="551"/>
      <c r="AO389" s="769"/>
      <c r="AP389" s="769"/>
      <c r="AQ389" s="773"/>
      <c r="AR389" s="773"/>
      <c r="AS389" s="773"/>
      <c r="AT389"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89" s="772">
        <f>WWWW[[#This Row],[%Equitable and continuous access to sufficient quantity of safe drinking water]]*WWWW[[#This Row],[Total PoP ]]</f>
        <v>185</v>
      </c>
      <c r="AV389"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89" s="772">
        <f>WWWW[[#This Row],[% Access to unimproved water points]]*WWWW[[#This Row],[Total PoP ]]</f>
        <v>0</v>
      </c>
      <c r="AX389"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89"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185</v>
      </c>
      <c r="AZ389" s="772">
        <f>WWWW[[#This Row],[HRP1]]/250</f>
        <v>0.74</v>
      </c>
      <c r="BA389" s="476">
        <f>1-WWWW[[#This Row],[% Equitable and continuous access to sufficient quantity of domestic water]]</f>
        <v>0</v>
      </c>
      <c r="BB389" s="772">
        <f>WWWW[[#This Row],[%equitable and continuous access to sufficient quantity of safe drinking and domestic water''s GAP]]*WWWW[[#This Row],[Total PoP ]]</f>
        <v>0</v>
      </c>
      <c r="BC389" s="770">
        <f>IF(WWWW[[#This Row],[Total required water points]]-WWWW[[#This Row],['#Water points coverage]]&lt;0,0,WWWW[[#This Row],[Total required water points]]-WWWW[[#This Row],['#Water points coverage]])</f>
        <v>0.26</v>
      </c>
      <c r="BD389" s="770">
        <f>ROUND(IF(WWWW[[#This Row],[Total PoP ]]&lt;250,1,WWWW[[#This Row],[Total PoP ]]/250),0)</f>
        <v>1</v>
      </c>
      <c r="BE38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89" s="772">
        <f>WWWW[[#This Row],[% people access to functioning Latrine]]*WWWW[[#This Row],[Total PoP ]]</f>
        <v>185</v>
      </c>
      <c r="BG389" s="770">
        <f>WWWW[[#This Row],['#_of_Functioning_latrines_in_school]]*50</f>
        <v>100</v>
      </c>
      <c r="BH389" s="770">
        <f>ROUND((WWWW[[#This Row],[Total PoP ]]/6),0)</f>
        <v>31</v>
      </c>
      <c r="BI389" s="770">
        <f>IF(WWWW[[#This Row],[Total required Latrines]]-(WWWW[[#This Row],['#_of_sanitary_fly-proof_HH_latrines]])&lt;0,0,WWWW[[#This Row],[Total required Latrines]]-(WWWW[[#This Row],['#_of_sanitary_fly-proof_HH_latrines]]))</f>
        <v>0</v>
      </c>
      <c r="BJ389" s="771">
        <f>1-WWWW[[#This Row],[% people access to functioning Latrine]]</f>
        <v>0</v>
      </c>
      <c r="BK389"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29</v>
      </c>
      <c r="BL389" s="772">
        <f>IF(WWWW[[#This Row],['#_of_functional_handwashing_facilities_at_HH_level]]*6&gt;WWWW[[#This Row],[Total PoP ]],WWWW[[#This Row],[Total PoP ]],WWWW[[#This Row],['#_of_functional_handwashing_facilities_at_HH_level]]*6)</f>
        <v>0</v>
      </c>
      <c r="BM389" s="770">
        <f>IF(WWWW[[#This Row],['# people reached by regular dedicated hygiene promotion]]&gt;WWWW[[#This Row],['# People received regular supply of hygiene items]],WWWW[[#This Row],['# people reached by regular dedicated hygiene promotion]],WWWW[[#This Row],['# People received regular supply of hygiene items]])</f>
        <v>29</v>
      </c>
      <c r="BN389" s="476">
        <f>IF(WWWW[[#This Row],[HRP3]]/WWWW[[#This Row],[Total PoP ]]&gt;100%,100%,WWWW[[#This Row],[HRP3]]/WWWW[[#This Row],[Total PoP ]])</f>
        <v>0.15675675675675677</v>
      </c>
      <c r="BO389" s="771">
        <f>1-WWWW[[#This Row],[Hygiene Coverage%]]</f>
        <v>0.84324324324324329</v>
      </c>
      <c r="BP389" s="769">
        <f>WWWW[[#This Row],['# people reached by regular dedicated hygiene promotion]]/WWWW[[#This Row],[Total PoP ]]</f>
        <v>0.15675675675675677</v>
      </c>
      <c r="BQ38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89" s="770">
        <f>WWWW[[#This Row],['#_of_affected_women_and_girls_receiving_a_sufficient_quantity_of_sanitary_pads]]</f>
        <v>0</v>
      </c>
      <c r="BS389" s="773">
        <f>IF(WWWW[[#This Row],['# People with access to soap]]&gt;WWWW[[#This Row],['# People with access to Sanity Pads]],WWWW[[#This Row],['# People with access to soap]],WWWW[[#This Row],['# People with access to Sanity Pads]])</f>
        <v>0</v>
      </c>
      <c r="BT389" s="772" t="str">
        <f>IF(OR(WWWW[[#This Row],['#of students in school]]="",WWWW[[#This Row],['#of students in school]]=0),"No","Yes")</f>
        <v>No</v>
      </c>
      <c r="BU389" s="480" t="str">
        <f>VLOOKUP(WWWW[[#This Row],[Village  Name]],SiteDB6[[Site Name]:[Location Type 1]],9,FALSE)</f>
        <v>Village</v>
      </c>
      <c r="BV389" s="480" t="str">
        <f>VLOOKUP(WWWW[[#This Row],[Village  Name]],SiteDB6[[Site Name]:[Type of Accommodation]],10,FALSE)</f>
        <v>Village</v>
      </c>
      <c r="BW389" s="480">
        <f>VLOOKUP(WWWW[[#This Row],[Village  Name]],SiteDB6[[Site Name]:[Ethnic or GCA/NGCA]],11,FALSE)</f>
        <v>0</v>
      </c>
      <c r="BX389" s="480">
        <f>VLOOKUP(WWWW[[#This Row],[Village  Name]],SiteDB6[[Site Name]:[Lat]],12,FALSE)</f>
        <v>0</v>
      </c>
      <c r="BY389" s="480">
        <f>VLOOKUP(WWWW[[#This Row],[Village  Name]],SiteDB6[[Site Name]:[Long]],13,FALSE)</f>
        <v>0</v>
      </c>
      <c r="BZ389" s="480">
        <f>VLOOKUP(WWWW[[#This Row],[Village  Name]],SiteDB6[[Site Name]:[Pcode]],3,FALSE)</f>
        <v>0</v>
      </c>
      <c r="CA389" s="480" t="str">
        <f t="shared" ref="CA389:CA409" si="24">IF(C389="none","Notcovered","Covered")</f>
        <v>Covered</v>
      </c>
      <c r="CB389" s="505"/>
    </row>
    <row r="390" spans="1:80">
      <c r="A390" s="774" t="s">
        <v>3199</v>
      </c>
      <c r="B390" s="774" t="s">
        <v>2812</v>
      </c>
      <c r="C390" s="703" t="s">
        <v>2812</v>
      </c>
      <c r="D390" s="415" t="s">
        <v>3176</v>
      </c>
      <c r="E390" s="415" t="s">
        <v>36</v>
      </c>
      <c r="F390" s="415" t="s">
        <v>132</v>
      </c>
      <c r="G390" s="705" t="str">
        <f>VLOOKUP(WWWW[[#This Row],[Village  Name]],SiteDB6[[Site Name]:[Location Type]],8,FALSE)</f>
        <v>Village</v>
      </c>
      <c r="H390" s="415" t="s">
        <v>3178</v>
      </c>
      <c r="I390" s="773">
        <v>33</v>
      </c>
      <c r="J390" s="773">
        <v>174</v>
      </c>
      <c r="K390" s="418">
        <v>43081</v>
      </c>
      <c r="L390" s="55">
        <v>44104</v>
      </c>
      <c r="M390" s="773"/>
      <c r="N390" s="773"/>
      <c r="O390" s="773">
        <v>1</v>
      </c>
      <c r="P390" s="773"/>
      <c r="Q390" s="773"/>
      <c r="R390" s="773"/>
      <c r="S390" s="773"/>
      <c r="T390" s="773"/>
      <c r="U390" s="551"/>
      <c r="V390" s="773">
        <v>26</v>
      </c>
      <c r="W390" s="773"/>
      <c r="X390" s="773"/>
      <c r="Y390" s="773"/>
      <c r="Z390" s="773"/>
      <c r="AA390" s="773"/>
      <c r="AB390" s="773"/>
      <c r="AC390" s="551"/>
      <c r="AD390" s="773">
        <v>5</v>
      </c>
      <c r="AE390" s="773">
        <v>20</v>
      </c>
      <c r="AF390" s="773"/>
      <c r="AG390" s="773"/>
      <c r="AH390" s="773"/>
      <c r="AI390" s="773"/>
      <c r="AJ390" s="773"/>
      <c r="AK390" s="773"/>
      <c r="AL390" s="773"/>
      <c r="AM390" s="773"/>
      <c r="AN390" s="551"/>
      <c r="AO390" s="769"/>
      <c r="AP390" s="769"/>
      <c r="AQ390" s="773"/>
      <c r="AR390" s="773"/>
      <c r="AS390" s="773"/>
      <c r="AT390"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90" s="772">
        <f>WWWW[[#This Row],[%Equitable and continuous access to sufficient quantity of safe drinking water]]*WWWW[[#This Row],[Total PoP ]]</f>
        <v>174</v>
      </c>
      <c r="AV390"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0" s="772">
        <f>WWWW[[#This Row],[% Access to unimproved water points]]*WWWW[[#This Row],[Total PoP ]]</f>
        <v>0</v>
      </c>
      <c r="AX390"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90"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174</v>
      </c>
      <c r="AZ390" s="772">
        <f>WWWW[[#This Row],[HRP1]]/250</f>
        <v>0.69599999999999995</v>
      </c>
      <c r="BA390" s="476">
        <f>1-WWWW[[#This Row],[% Equitable and continuous access to sufficient quantity of domestic water]]</f>
        <v>0</v>
      </c>
      <c r="BB390" s="772">
        <f>WWWW[[#This Row],[%equitable and continuous access to sufficient quantity of safe drinking and domestic water''s GAP]]*WWWW[[#This Row],[Total PoP ]]</f>
        <v>0</v>
      </c>
      <c r="BC390" s="770">
        <f>IF(WWWW[[#This Row],[Total required water points]]-WWWW[[#This Row],['#Water points coverage]]&lt;0,0,WWWW[[#This Row],[Total required water points]]-WWWW[[#This Row],['#Water points coverage]])</f>
        <v>0.30400000000000005</v>
      </c>
      <c r="BD390" s="770">
        <f>ROUND(IF(WWWW[[#This Row],[Total PoP ]]&lt;250,1,WWWW[[#This Row],[Total PoP ]]/250),0)</f>
        <v>1</v>
      </c>
      <c r="BE39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0.89655172413793105</v>
      </c>
      <c r="BF390" s="772">
        <f>WWWW[[#This Row],[% people access to functioning Latrine]]*WWWW[[#This Row],[Total PoP ]]</f>
        <v>156</v>
      </c>
      <c r="BG390" s="770">
        <f>WWWW[[#This Row],['#_of_Functioning_latrines_in_school]]*50</f>
        <v>0</v>
      </c>
      <c r="BH390" s="770">
        <f>ROUND((WWWW[[#This Row],[Total PoP ]]/6),0)</f>
        <v>29</v>
      </c>
      <c r="BI390" s="770">
        <f>IF(WWWW[[#This Row],[Total required Latrines]]-(WWWW[[#This Row],['#_of_sanitary_fly-proof_HH_latrines]])&lt;0,0,WWWW[[#This Row],[Total required Latrines]]-(WWWW[[#This Row],['#_of_sanitary_fly-proof_HH_latrines]]))</f>
        <v>3</v>
      </c>
      <c r="BJ390" s="771">
        <f>1-WWWW[[#This Row],[% people access to functioning Latrine]]</f>
        <v>0.10344827586206895</v>
      </c>
      <c r="BK390"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v>
      </c>
      <c r="BL390" s="772">
        <f>IF(WWWW[[#This Row],['#_of_functional_handwashing_facilities_at_HH_level]]*6&gt;WWWW[[#This Row],[Total PoP ]],WWWW[[#This Row],[Total PoP ]],WWWW[[#This Row],['#_of_functional_handwashing_facilities_at_HH_level]]*6)</f>
        <v>0</v>
      </c>
      <c r="BM390" s="770">
        <f>IF(WWWW[[#This Row],['# people reached by regular dedicated hygiene promotion]]&gt;WWWW[[#This Row],['# People received regular supply of hygiene items]],WWWW[[#This Row],['# people reached by regular dedicated hygiene promotion]],WWWW[[#This Row],['# People received regular supply of hygiene items]])</f>
        <v>25</v>
      </c>
      <c r="BN390" s="476">
        <f>IF(WWWW[[#This Row],[HRP3]]/WWWW[[#This Row],[Total PoP ]]&gt;100%,100%,WWWW[[#This Row],[HRP3]]/WWWW[[#This Row],[Total PoP ]])</f>
        <v>0.14367816091954022</v>
      </c>
      <c r="BO390" s="771">
        <f>1-WWWW[[#This Row],[Hygiene Coverage%]]</f>
        <v>0.85632183908045978</v>
      </c>
      <c r="BP390" s="769">
        <f>WWWW[[#This Row],['# people reached by regular dedicated hygiene promotion]]/WWWW[[#This Row],[Total PoP ]]</f>
        <v>0.14367816091954022</v>
      </c>
      <c r="BQ39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0" s="770">
        <f>WWWW[[#This Row],['#_of_affected_women_and_girls_receiving_a_sufficient_quantity_of_sanitary_pads]]</f>
        <v>0</v>
      </c>
      <c r="BS390" s="773">
        <f>IF(WWWW[[#This Row],['# People with access to soap]]&gt;WWWW[[#This Row],['# People with access to Sanity Pads]],WWWW[[#This Row],['# People with access to soap]],WWWW[[#This Row],['# People with access to Sanity Pads]])</f>
        <v>0</v>
      </c>
      <c r="BT390" s="772" t="str">
        <f>IF(OR(WWWW[[#This Row],['#of students in school]]="",WWWW[[#This Row],['#of students in school]]=0),"No","Yes")</f>
        <v>No</v>
      </c>
      <c r="BU390" s="480" t="str">
        <f>VLOOKUP(WWWW[[#This Row],[Village  Name]],SiteDB6[[Site Name]:[Location Type 1]],9,FALSE)</f>
        <v>Village</v>
      </c>
      <c r="BV390" s="480" t="str">
        <f>VLOOKUP(WWWW[[#This Row],[Village  Name]],SiteDB6[[Site Name]:[Type of Accommodation]],10,FALSE)</f>
        <v>Village</v>
      </c>
      <c r="BW390" s="480">
        <f>VLOOKUP(WWWW[[#This Row],[Village  Name]],SiteDB6[[Site Name]:[Ethnic or GCA/NGCA]],11,FALSE)</f>
        <v>0</v>
      </c>
      <c r="BX390" s="480">
        <f>VLOOKUP(WWWW[[#This Row],[Village  Name]],SiteDB6[[Site Name]:[Lat]],12,FALSE)</f>
        <v>0</v>
      </c>
      <c r="BY390" s="480">
        <f>VLOOKUP(WWWW[[#This Row],[Village  Name]],SiteDB6[[Site Name]:[Long]],13,FALSE)</f>
        <v>0</v>
      </c>
      <c r="BZ390" s="480">
        <f>VLOOKUP(WWWW[[#This Row],[Village  Name]],SiteDB6[[Site Name]:[Pcode]],3,FALSE)</f>
        <v>0</v>
      </c>
      <c r="CA390" s="480" t="str">
        <f t="shared" si="24"/>
        <v>Covered</v>
      </c>
      <c r="CB390" s="505"/>
    </row>
    <row r="391" spans="1:80">
      <c r="A391" s="774" t="s">
        <v>3199</v>
      </c>
      <c r="B391" s="774" t="s">
        <v>2812</v>
      </c>
      <c r="C391" s="703" t="s">
        <v>2812</v>
      </c>
      <c r="D391" s="415" t="s">
        <v>3176</v>
      </c>
      <c r="E391" s="415" t="s">
        <v>36</v>
      </c>
      <c r="F391" s="415" t="s">
        <v>132</v>
      </c>
      <c r="G391" s="705" t="str">
        <f>VLOOKUP(WWWW[[#This Row],[Village  Name]],SiteDB6[[Site Name]:[Location Type]],8,FALSE)</f>
        <v>Village</v>
      </c>
      <c r="H391" s="415" t="s">
        <v>3179</v>
      </c>
      <c r="I391" s="773">
        <v>15</v>
      </c>
      <c r="J391" s="773">
        <v>49</v>
      </c>
      <c r="K391" s="418">
        <v>43081</v>
      </c>
      <c r="L391" s="55">
        <v>44104</v>
      </c>
      <c r="M391" s="773"/>
      <c r="N391" s="773"/>
      <c r="O391" s="773"/>
      <c r="P391" s="773"/>
      <c r="Q391" s="773"/>
      <c r="R391" s="773"/>
      <c r="S391" s="773"/>
      <c r="T391" s="773"/>
      <c r="U391" s="551"/>
      <c r="V391" s="773">
        <v>15</v>
      </c>
      <c r="W391" s="773"/>
      <c r="X391" s="773"/>
      <c r="Y391" s="773"/>
      <c r="Z391" s="773"/>
      <c r="AA391" s="773"/>
      <c r="AB391" s="773"/>
      <c r="AC391" s="551"/>
      <c r="AD391" s="773">
        <v>4</v>
      </c>
      <c r="AE391" s="773">
        <v>6</v>
      </c>
      <c r="AF391" s="773"/>
      <c r="AG391" s="773"/>
      <c r="AH391" s="773"/>
      <c r="AI391" s="773"/>
      <c r="AJ391" s="773"/>
      <c r="AK391" s="773"/>
      <c r="AL391" s="773"/>
      <c r="AM391" s="773"/>
      <c r="AN391" s="551"/>
      <c r="AO391" s="769"/>
      <c r="AP391" s="769"/>
      <c r="AQ391" s="773"/>
      <c r="AR391" s="773"/>
      <c r="AS391" s="773"/>
      <c r="AT391"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91" s="772">
        <f>WWWW[[#This Row],[%Equitable and continuous access to sufficient quantity of safe drinking water]]*WWWW[[#This Row],[Total PoP ]]</f>
        <v>0</v>
      </c>
      <c r="AV391"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1" s="772">
        <f>WWWW[[#This Row],[% Access to unimproved water points]]*WWWW[[#This Row],[Total PoP ]]</f>
        <v>0</v>
      </c>
      <c r="AX391"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91"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91" s="772">
        <f>WWWW[[#This Row],[HRP1]]/250</f>
        <v>0</v>
      </c>
      <c r="BA391" s="476">
        <f>1-WWWW[[#This Row],[% Equitable and continuous access to sufficient quantity of domestic water]]</f>
        <v>1</v>
      </c>
      <c r="BB391" s="772">
        <f>WWWW[[#This Row],[%equitable and continuous access to sufficient quantity of safe drinking and domestic water''s GAP]]*WWWW[[#This Row],[Total PoP ]]</f>
        <v>49</v>
      </c>
      <c r="BC391" s="770">
        <f>IF(WWWW[[#This Row],[Total required water points]]-WWWW[[#This Row],['#Water points coverage]]&lt;0,0,WWWW[[#This Row],[Total required water points]]-WWWW[[#This Row],['#Water points coverage]])</f>
        <v>1</v>
      </c>
      <c r="BD391" s="770">
        <f>ROUND(IF(WWWW[[#This Row],[Total PoP ]]&lt;250,1,WWWW[[#This Row],[Total PoP ]]/250),0)</f>
        <v>1</v>
      </c>
      <c r="BE39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91" s="772">
        <f>WWWW[[#This Row],[% people access to functioning Latrine]]*WWWW[[#This Row],[Total PoP ]]</f>
        <v>49</v>
      </c>
      <c r="BG391" s="770">
        <f>WWWW[[#This Row],['#_of_Functioning_latrines_in_school]]*50</f>
        <v>0</v>
      </c>
      <c r="BH391" s="770">
        <f>ROUND((WWWW[[#This Row],[Total PoP ]]/6),0)</f>
        <v>8</v>
      </c>
      <c r="BI391" s="770">
        <f>IF(WWWW[[#This Row],[Total required Latrines]]-(WWWW[[#This Row],['#_of_sanitary_fly-proof_HH_latrines]])&lt;0,0,WWWW[[#This Row],[Total required Latrines]]-(WWWW[[#This Row],['#_of_sanitary_fly-proof_HH_latrines]]))</f>
        <v>0</v>
      </c>
      <c r="BJ391" s="771">
        <f>1-WWWW[[#This Row],[% people access to functioning Latrine]]</f>
        <v>0</v>
      </c>
      <c r="BK391"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10</v>
      </c>
      <c r="BL391" s="772">
        <f>IF(WWWW[[#This Row],['#_of_functional_handwashing_facilities_at_HH_level]]*6&gt;WWWW[[#This Row],[Total PoP ]],WWWW[[#This Row],[Total PoP ]],WWWW[[#This Row],['#_of_functional_handwashing_facilities_at_HH_level]]*6)</f>
        <v>0</v>
      </c>
      <c r="BM391" s="770">
        <f>IF(WWWW[[#This Row],['# people reached by regular dedicated hygiene promotion]]&gt;WWWW[[#This Row],['# People received regular supply of hygiene items]],WWWW[[#This Row],['# people reached by regular dedicated hygiene promotion]],WWWW[[#This Row],['# People received regular supply of hygiene items]])</f>
        <v>10</v>
      </c>
      <c r="BN391" s="476">
        <f>IF(WWWW[[#This Row],[HRP3]]/WWWW[[#This Row],[Total PoP ]]&gt;100%,100%,WWWW[[#This Row],[HRP3]]/WWWW[[#This Row],[Total PoP ]])</f>
        <v>0.20408163265306123</v>
      </c>
      <c r="BO391" s="771">
        <f>1-WWWW[[#This Row],[Hygiene Coverage%]]</f>
        <v>0.79591836734693877</v>
      </c>
      <c r="BP391" s="769">
        <f>WWWW[[#This Row],['# people reached by regular dedicated hygiene promotion]]/WWWW[[#This Row],[Total PoP ]]</f>
        <v>0.20408163265306123</v>
      </c>
      <c r="BQ39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1" s="770">
        <f>WWWW[[#This Row],['#_of_affected_women_and_girls_receiving_a_sufficient_quantity_of_sanitary_pads]]</f>
        <v>0</v>
      </c>
      <c r="BS391" s="773">
        <f>IF(WWWW[[#This Row],['# People with access to soap]]&gt;WWWW[[#This Row],['# People with access to Sanity Pads]],WWWW[[#This Row],['# People with access to soap]],WWWW[[#This Row],['# People with access to Sanity Pads]])</f>
        <v>0</v>
      </c>
      <c r="BT391" s="772" t="str">
        <f>IF(OR(WWWW[[#This Row],['#of students in school]]="",WWWW[[#This Row],['#of students in school]]=0),"No","Yes")</f>
        <v>No</v>
      </c>
      <c r="BU391" s="480" t="str">
        <f>VLOOKUP(WWWW[[#This Row],[Village  Name]],SiteDB6[[Site Name]:[Location Type 1]],9,FALSE)</f>
        <v>Village</v>
      </c>
      <c r="BV391" s="480" t="str">
        <f>VLOOKUP(WWWW[[#This Row],[Village  Name]],SiteDB6[[Site Name]:[Type of Accommodation]],10,FALSE)</f>
        <v>Village</v>
      </c>
      <c r="BW391" s="480">
        <f>VLOOKUP(WWWW[[#This Row],[Village  Name]],SiteDB6[[Site Name]:[Ethnic or GCA/NGCA]],11,FALSE)</f>
        <v>0</v>
      </c>
      <c r="BX391" s="480">
        <f>VLOOKUP(WWWW[[#This Row],[Village  Name]],SiteDB6[[Site Name]:[Lat]],12,FALSE)</f>
        <v>0</v>
      </c>
      <c r="BY391" s="480">
        <f>VLOOKUP(WWWW[[#This Row],[Village  Name]],SiteDB6[[Site Name]:[Long]],13,FALSE)</f>
        <v>0</v>
      </c>
      <c r="BZ391" s="480">
        <f>VLOOKUP(WWWW[[#This Row],[Village  Name]],SiteDB6[[Site Name]:[Pcode]],3,FALSE)</f>
        <v>0</v>
      </c>
      <c r="CA391" s="480" t="str">
        <f t="shared" si="24"/>
        <v>Covered</v>
      </c>
      <c r="CB391" s="505"/>
    </row>
    <row r="392" spans="1:80">
      <c r="A392" s="774" t="s">
        <v>3199</v>
      </c>
      <c r="B392" s="774" t="s">
        <v>2812</v>
      </c>
      <c r="C392" s="703" t="s">
        <v>2812</v>
      </c>
      <c r="D392" s="415" t="s">
        <v>3176</v>
      </c>
      <c r="E392" s="415" t="s">
        <v>36</v>
      </c>
      <c r="F392" s="415" t="s">
        <v>132</v>
      </c>
      <c r="G392" s="705" t="str">
        <f>VLOOKUP(WWWW[[#This Row],[Village  Name]],SiteDB6[[Site Name]:[Location Type]],8,FALSE)</f>
        <v>Village</v>
      </c>
      <c r="H392" s="415" t="s">
        <v>3180</v>
      </c>
      <c r="I392" s="773">
        <v>78</v>
      </c>
      <c r="J392" s="773">
        <v>302</v>
      </c>
      <c r="K392" s="418">
        <v>43081</v>
      </c>
      <c r="L392" s="55">
        <v>44104</v>
      </c>
      <c r="M392" s="773"/>
      <c r="N392" s="773"/>
      <c r="O392" s="773">
        <v>2</v>
      </c>
      <c r="P392" s="773"/>
      <c r="Q392" s="773"/>
      <c r="R392" s="773"/>
      <c r="S392" s="773"/>
      <c r="T392" s="773"/>
      <c r="U392" s="551"/>
      <c r="V392" s="773">
        <v>50</v>
      </c>
      <c r="W392" s="773"/>
      <c r="X392" s="773">
        <v>1</v>
      </c>
      <c r="Y392" s="773"/>
      <c r="Z392" s="773"/>
      <c r="AA392" s="773"/>
      <c r="AB392" s="773"/>
      <c r="AC392" s="551"/>
      <c r="AD392" s="773">
        <v>11</v>
      </c>
      <c r="AE392" s="773">
        <v>18</v>
      </c>
      <c r="AF392" s="773"/>
      <c r="AG392" s="773"/>
      <c r="AH392" s="773"/>
      <c r="AI392" s="773"/>
      <c r="AJ392" s="773"/>
      <c r="AK392" s="773"/>
      <c r="AL392" s="773"/>
      <c r="AM392" s="773"/>
      <c r="AN392" s="551"/>
      <c r="AO392" s="769"/>
      <c r="AP392" s="769"/>
      <c r="AQ392" s="773"/>
      <c r="AR392" s="773"/>
      <c r="AS392" s="773"/>
      <c r="AT392"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92" s="772">
        <f>WWWW[[#This Row],[%Equitable and continuous access to sufficient quantity of safe drinking water]]*WWWW[[#This Row],[Total PoP ]]</f>
        <v>302</v>
      </c>
      <c r="AV392"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2" s="772">
        <f>WWWW[[#This Row],[% Access to unimproved water points]]*WWWW[[#This Row],[Total PoP ]]</f>
        <v>0</v>
      </c>
      <c r="AX392"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92"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302</v>
      </c>
      <c r="AZ392" s="772">
        <f>WWWW[[#This Row],[HRP1]]/250</f>
        <v>1.208</v>
      </c>
      <c r="BA392" s="476">
        <f>1-WWWW[[#This Row],[% Equitable and continuous access to sufficient quantity of domestic water]]</f>
        <v>0</v>
      </c>
      <c r="BB392" s="772">
        <f>WWWW[[#This Row],[%equitable and continuous access to sufficient quantity of safe drinking and domestic water''s GAP]]*WWWW[[#This Row],[Total PoP ]]</f>
        <v>0</v>
      </c>
      <c r="BC392" s="770">
        <f>IF(WWWW[[#This Row],[Total required water points]]-WWWW[[#This Row],['#Water points coverage]]&lt;0,0,WWWW[[#This Row],[Total required water points]]-WWWW[[#This Row],['#Water points coverage]])</f>
        <v>0</v>
      </c>
      <c r="BD392" s="770">
        <f>ROUND(IF(WWWW[[#This Row],[Total PoP ]]&lt;250,1,WWWW[[#This Row],[Total PoP ]]/250),0)</f>
        <v>1</v>
      </c>
      <c r="BE39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0.99337748344370858</v>
      </c>
      <c r="BF392" s="772">
        <f>WWWW[[#This Row],[% people access to functioning Latrine]]*WWWW[[#This Row],[Total PoP ]]</f>
        <v>300</v>
      </c>
      <c r="BG392" s="770">
        <f>WWWW[[#This Row],['#_of_Functioning_latrines_in_school]]*50</f>
        <v>50</v>
      </c>
      <c r="BH392" s="770">
        <f>ROUND((WWWW[[#This Row],[Total PoP ]]/6),0)</f>
        <v>50</v>
      </c>
      <c r="BI392" s="770">
        <f>IF(WWWW[[#This Row],[Total required Latrines]]-(WWWW[[#This Row],['#_of_sanitary_fly-proof_HH_latrines]])&lt;0,0,WWWW[[#This Row],[Total required Latrines]]-(WWWW[[#This Row],['#_of_sanitary_fly-proof_HH_latrines]]))</f>
        <v>0</v>
      </c>
      <c r="BJ392" s="771">
        <f>1-WWWW[[#This Row],[% people access to functioning Latrine]]</f>
        <v>6.6225165562914245E-3</v>
      </c>
      <c r="BK392"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29</v>
      </c>
      <c r="BL392" s="772">
        <f>IF(WWWW[[#This Row],['#_of_functional_handwashing_facilities_at_HH_level]]*6&gt;WWWW[[#This Row],[Total PoP ]],WWWW[[#This Row],[Total PoP ]],WWWW[[#This Row],['#_of_functional_handwashing_facilities_at_HH_level]]*6)</f>
        <v>0</v>
      </c>
      <c r="BM392" s="770">
        <f>IF(WWWW[[#This Row],['# people reached by regular dedicated hygiene promotion]]&gt;WWWW[[#This Row],['# People received regular supply of hygiene items]],WWWW[[#This Row],['# people reached by regular dedicated hygiene promotion]],WWWW[[#This Row],['# People received regular supply of hygiene items]])</f>
        <v>29</v>
      </c>
      <c r="BN392" s="476">
        <f>IF(WWWW[[#This Row],[HRP3]]/WWWW[[#This Row],[Total PoP ]]&gt;100%,100%,WWWW[[#This Row],[HRP3]]/WWWW[[#This Row],[Total PoP ]])</f>
        <v>9.602649006622517E-2</v>
      </c>
      <c r="BO392" s="771">
        <f>1-WWWW[[#This Row],[Hygiene Coverage%]]</f>
        <v>0.90397350993377479</v>
      </c>
      <c r="BP392" s="769">
        <f>WWWW[[#This Row],['# people reached by regular dedicated hygiene promotion]]/WWWW[[#This Row],[Total PoP ]]</f>
        <v>9.602649006622517E-2</v>
      </c>
      <c r="BQ39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2" s="770">
        <f>WWWW[[#This Row],['#_of_affected_women_and_girls_receiving_a_sufficient_quantity_of_sanitary_pads]]</f>
        <v>0</v>
      </c>
      <c r="BS392" s="773">
        <f>IF(WWWW[[#This Row],['# People with access to soap]]&gt;WWWW[[#This Row],['# People with access to Sanity Pads]],WWWW[[#This Row],['# People with access to soap]],WWWW[[#This Row],['# People with access to Sanity Pads]])</f>
        <v>0</v>
      </c>
      <c r="BT392" s="772" t="str">
        <f>IF(OR(WWWW[[#This Row],['#of students in school]]="",WWWW[[#This Row],['#of students in school]]=0),"No","Yes")</f>
        <v>No</v>
      </c>
      <c r="BU392" s="480" t="str">
        <f>VLOOKUP(WWWW[[#This Row],[Village  Name]],SiteDB6[[Site Name]:[Location Type 1]],9,FALSE)</f>
        <v>Village</v>
      </c>
      <c r="BV392" s="480" t="str">
        <f>VLOOKUP(WWWW[[#This Row],[Village  Name]],SiteDB6[[Site Name]:[Type of Accommodation]],10,FALSE)</f>
        <v>Village</v>
      </c>
      <c r="BW392" s="480">
        <f>VLOOKUP(WWWW[[#This Row],[Village  Name]],SiteDB6[[Site Name]:[Ethnic or GCA/NGCA]],11,FALSE)</f>
        <v>0</v>
      </c>
      <c r="BX392" s="480">
        <f>VLOOKUP(WWWW[[#This Row],[Village  Name]],SiteDB6[[Site Name]:[Lat]],12,FALSE)</f>
        <v>0</v>
      </c>
      <c r="BY392" s="480">
        <f>VLOOKUP(WWWW[[#This Row],[Village  Name]],SiteDB6[[Site Name]:[Long]],13,FALSE)</f>
        <v>0</v>
      </c>
      <c r="BZ392" s="480">
        <f>VLOOKUP(WWWW[[#This Row],[Village  Name]],SiteDB6[[Site Name]:[Pcode]],3,FALSE)</f>
        <v>0</v>
      </c>
      <c r="CA392" s="480" t="str">
        <f t="shared" si="24"/>
        <v>Covered</v>
      </c>
      <c r="CB392" s="505"/>
    </row>
    <row r="393" spans="1:80">
      <c r="A393" s="774" t="s">
        <v>3199</v>
      </c>
      <c r="B393" s="774" t="s">
        <v>2812</v>
      </c>
      <c r="C393" s="703" t="s">
        <v>2812</v>
      </c>
      <c r="D393" s="415" t="s">
        <v>3176</v>
      </c>
      <c r="E393" s="415" t="s">
        <v>36</v>
      </c>
      <c r="F393" s="415" t="s">
        <v>132</v>
      </c>
      <c r="G393" s="705" t="str">
        <f>VLOOKUP(WWWW[[#This Row],[Village  Name]],SiteDB6[[Site Name]:[Location Type]],8,FALSE)</f>
        <v>Village</v>
      </c>
      <c r="H393" s="415" t="s">
        <v>3181</v>
      </c>
      <c r="I393" s="773">
        <v>62</v>
      </c>
      <c r="J393" s="773">
        <v>308</v>
      </c>
      <c r="K393" s="418">
        <v>43081</v>
      </c>
      <c r="L393" s="55">
        <v>44104</v>
      </c>
      <c r="M393" s="773"/>
      <c r="N393" s="773"/>
      <c r="O393" s="773">
        <v>1</v>
      </c>
      <c r="P393" s="773"/>
      <c r="Q393" s="773"/>
      <c r="R393" s="773"/>
      <c r="S393" s="773"/>
      <c r="T393" s="773"/>
      <c r="U393" s="551"/>
      <c r="V393" s="773">
        <v>59</v>
      </c>
      <c r="W393" s="773"/>
      <c r="X393" s="773">
        <v>2</v>
      </c>
      <c r="Y393" s="773"/>
      <c r="Z393" s="773"/>
      <c r="AA393" s="773"/>
      <c r="AB393" s="773"/>
      <c r="AC393" s="551"/>
      <c r="AD393" s="773">
        <v>10</v>
      </c>
      <c r="AE393" s="773">
        <v>15</v>
      </c>
      <c r="AF393" s="773"/>
      <c r="AG393" s="773"/>
      <c r="AH393" s="773"/>
      <c r="AI393" s="773"/>
      <c r="AJ393" s="773"/>
      <c r="AK393" s="773"/>
      <c r="AL393" s="773"/>
      <c r="AM393" s="773"/>
      <c r="AN393" s="551"/>
      <c r="AO393" s="769"/>
      <c r="AP393" s="769"/>
      <c r="AQ393" s="773"/>
      <c r="AR393" s="773"/>
      <c r="AS393" s="773"/>
      <c r="AT393"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93" s="772">
        <f>WWWW[[#This Row],[%Equitable and continuous access to sufficient quantity of safe drinking water]]*WWWW[[#This Row],[Total PoP ]]</f>
        <v>308</v>
      </c>
      <c r="AV393"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3" s="772">
        <f>WWWW[[#This Row],[% Access to unimproved water points]]*WWWW[[#This Row],[Total PoP ]]</f>
        <v>0</v>
      </c>
      <c r="AX393"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93"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308</v>
      </c>
      <c r="AZ393" s="772">
        <f>WWWW[[#This Row],[HRP1]]/250</f>
        <v>1.232</v>
      </c>
      <c r="BA393" s="476">
        <f>1-WWWW[[#This Row],[% Equitable and continuous access to sufficient quantity of domestic water]]</f>
        <v>0</v>
      </c>
      <c r="BB393" s="772">
        <f>WWWW[[#This Row],[%equitable and continuous access to sufficient quantity of safe drinking and domestic water''s GAP]]*WWWW[[#This Row],[Total PoP ]]</f>
        <v>0</v>
      </c>
      <c r="BC393" s="770">
        <f>IF(WWWW[[#This Row],[Total required water points]]-WWWW[[#This Row],['#Water points coverage]]&lt;0,0,WWWW[[#This Row],[Total required water points]]-WWWW[[#This Row],['#Water points coverage]])</f>
        <v>0</v>
      </c>
      <c r="BD393" s="770">
        <f>ROUND(IF(WWWW[[#This Row],[Total PoP ]]&lt;250,1,WWWW[[#This Row],[Total PoP ]]/250),0)</f>
        <v>1</v>
      </c>
      <c r="BE39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1</v>
      </c>
      <c r="BF393" s="772">
        <f>WWWW[[#This Row],[% people access to functioning Latrine]]*WWWW[[#This Row],[Total PoP ]]</f>
        <v>308</v>
      </c>
      <c r="BG393" s="770">
        <f>WWWW[[#This Row],['#_of_Functioning_latrines_in_school]]*50</f>
        <v>100</v>
      </c>
      <c r="BH393" s="770">
        <f>ROUND((WWWW[[#This Row],[Total PoP ]]/6),0)</f>
        <v>51</v>
      </c>
      <c r="BI393" s="770">
        <f>IF(WWWW[[#This Row],[Total required Latrines]]-(WWWW[[#This Row],['#_of_sanitary_fly-proof_HH_latrines]])&lt;0,0,WWWW[[#This Row],[Total required Latrines]]-(WWWW[[#This Row],['#_of_sanitary_fly-proof_HH_latrines]]))</f>
        <v>0</v>
      </c>
      <c r="BJ393" s="771">
        <f>1-WWWW[[#This Row],[% people access to functioning Latrine]]</f>
        <v>0</v>
      </c>
      <c r="BK393"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v>
      </c>
      <c r="BL393" s="772">
        <f>IF(WWWW[[#This Row],['#_of_functional_handwashing_facilities_at_HH_level]]*6&gt;WWWW[[#This Row],[Total PoP ]],WWWW[[#This Row],[Total PoP ]],WWWW[[#This Row],['#_of_functional_handwashing_facilities_at_HH_level]]*6)</f>
        <v>0</v>
      </c>
      <c r="BM393" s="770">
        <f>IF(WWWW[[#This Row],['# people reached by regular dedicated hygiene promotion]]&gt;WWWW[[#This Row],['# People received regular supply of hygiene items]],WWWW[[#This Row],['# people reached by regular dedicated hygiene promotion]],WWWW[[#This Row],['# People received regular supply of hygiene items]])</f>
        <v>25</v>
      </c>
      <c r="BN393" s="476">
        <f>IF(WWWW[[#This Row],[HRP3]]/WWWW[[#This Row],[Total PoP ]]&gt;100%,100%,WWWW[[#This Row],[HRP3]]/WWWW[[#This Row],[Total PoP ]])</f>
        <v>8.1168831168831168E-2</v>
      </c>
      <c r="BO393" s="771">
        <f>1-WWWW[[#This Row],[Hygiene Coverage%]]</f>
        <v>0.91883116883116878</v>
      </c>
      <c r="BP393" s="769">
        <f>WWWW[[#This Row],['# people reached by regular dedicated hygiene promotion]]/WWWW[[#This Row],[Total PoP ]]</f>
        <v>8.1168831168831168E-2</v>
      </c>
      <c r="BQ39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3" s="770">
        <f>WWWW[[#This Row],['#_of_affected_women_and_girls_receiving_a_sufficient_quantity_of_sanitary_pads]]</f>
        <v>0</v>
      </c>
      <c r="BS393" s="773">
        <f>IF(WWWW[[#This Row],['# People with access to soap]]&gt;WWWW[[#This Row],['# People with access to Sanity Pads]],WWWW[[#This Row],['# People with access to soap]],WWWW[[#This Row],['# People with access to Sanity Pads]])</f>
        <v>0</v>
      </c>
      <c r="BT393" s="772" t="str">
        <f>IF(OR(WWWW[[#This Row],['#of students in school]]="",WWWW[[#This Row],['#of students in school]]=0),"No","Yes")</f>
        <v>No</v>
      </c>
      <c r="BU393" s="480" t="str">
        <f>VLOOKUP(WWWW[[#This Row],[Village  Name]],SiteDB6[[Site Name]:[Location Type 1]],9,FALSE)</f>
        <v>Village</v>
      </c>
      <c r="BV393" s="480" t="str">
        <f>VLOOKUP(WWWW[[#This Row],[Village  Name]],SiteDB6[[Site Name]:[Type of Accommodation]],10,FALSE)</f>
        <v>Village</v>
      </c>
      <c r="BW393" s="480">
        <f>VLOOKUP(WWWW[[#This Row],[Village  Name]],SiteDB6[[Site Name]:[Ethnic or GCA/NGCA]],11,FALSE)</f>
        <v>0</v>
      </c>
      <c r="BX393" s="480">
        <f>VLOOKUP(WWWW[[#This Row],[Village  Name]],SiteDB6[[Site Name]:[Lat]],12,FALSE)</f>
        <v>0</v>
      </c>
      <c r="BY393" s="480">
        <f>VLOOKUP(WWWW[[#This Row],[Village  Name]],SiteDB6[[Site Name]:[Long]],13,FALSE)</f>
        <v>0</v>
      </c>
      <c r="BZ393" s="480">
        <f>VLOOKUP(WWWW[[#This Row],[Village  Name]],SiteDB6[[Site Name]:[Pcode]],3,FALSE)</f>
        <v>0</v>
      </c>
      <c r="CA393" s="480" t="str">
        <f t="shared" si="24"/>
        <v>Covered</v>
      </c>
      <c r="CB393" s="505"/>
    </row>
    <row r="394" spans="1:80">
      <c r="A394" s="774" t="s">
        <v>3199</v>
      </c>
      <c r="B394" s="774" t="s">
        <v>2812</v>
      </c>
      <c r="C394" s="703" t="s">
        <v>2812</v>
      </c>
      <c r="D394" s="415" t="s">
        <v>3176</v>
      </c>
      <c r="E394" s="415" t="s">
        <v>36</v>
      </c>
      <c r="F394" s="415" t="s">
        <v>132</v>
      </c>
      <c r="G394" s="705" t="str">
        <f>VLOOKUP(WWWW[[#This Row],[Village  Name]],SiteDB6[[Site Name]:[Location Type]],8,FALSE)</f>
        <v>Village</v>
      </c>
      <c r="H394" s="415" t="s">
        <v>3182</v>
      </c>
      <c r="I394" s="773">
        <v>17</v>
      </c>
      <c r="J394" s="773">
        <v>126</v>
      </c>
      <c r="K394" s="418">
        <v>43081</v>
      </c>
      <c r="L394" s="55">
        <v>44104</v>
      </c>
      <c r="M394" s="773"/>
      <c r="N394" s="773"/>
      <c r="O394" s="773">
        <v>1</v>
      </c>
      <c r="P394" s="773"/>
      <c r="Q394" s="773"/>
      <c r="R394" s="773"/>
      <c r="S394" s="773"/>
      <c r="T394" s="773"/>
      <c r="U394" s="551"/>
      <c r="V394" s="773">
        <v>13</v>
      </c>
      <c r="W394" s="773"/>
      <c r="X394" s="773"/>
      <c r="Y394" s="773"/>
      <c r="Z394" s="773"/>
      <c r="AA394" s="773"/>
      <c r="AB394" s="773"/>
      <c r="AC394" s="551"/>
      <c r="AD394" s="773">
        <v>6</v>
      </c>
      <c r="AE394" s="773">
        <v>10</v>
      </c>
      <c r="AF394" s="773"/>
      <c r="AG394" s="773"/>
      <c r="AH394" s="773"/>
      <c r="AI394" s="773"/>
      <c r="AJ394" s="773"/>
      <c r="AK394" s="773"/>
      <c r="AL394" s="773"/>
      <c r="AM394" s="773"/>
      <c r="AN394" s="551"/>
      <c r="AO394" s="769"/>
      <c r="AP394" s="769"/>
      <c r="AQ394" s="773"/>
      <c r="AR394" s="773"/>
      <c r="AS394" s="773"/>
      <c r="AT394"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94" s="772">
        <f>WWWW[[#This Row],[%Equitable and continuous access to sufficient quantity of safe drinking water]]*WWWW[[#This Row],[Total PoP ]]</f>
        <v>126</v>
      </c>
      <c r="AV394"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4" s="772">
        <f>WWWW[[#This Row],[% Access to unimproved water points]]*WWWW[[#This Row],[Total PoP ]]</f>
        <v>0</v>
      </c>
      <c r="AX394"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94"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126</v>
      </c>
      <c r="AZ394" s="772">
        <f>WWWW[[#This Row],[HRP1]]/250</f>
        <v>0.504</v>
      </c>
      <c r="BA394" s="476">
        <f>1-WWWW[[#This Row],[% Equitable and continuous access to sufficient quantity of domestic water]]</f>
        <v>0</v>
      </c>
      <c r="BB394" s="772">
        <f>WWWW[[#This Row],[%equitable and continuous access to sufficient quantity of safe drinking and domestic water''s GAP]]*WWWW[[#This Row],[Total PoP ]]</f>
        <v>0</v>
      </c>
      <c r="BC394" s="770">
        <f>IF(WWWW[[#This Row],[Total required water points]]-WWWW[[#This Row],['#Water points coverage]]&lt;0,0,WWWW[[#This Row],[Total required water points]]-WWWW[[#This Row],['#Water points coverage]])</f>
        <v>0.496</v>
      </c>
      <c r="BD394" s="770">
        <f>ROUND(IF(WWWW[[#This Row],[Total PoP ]]&lt;250,1,WWWW[[#This Row],[Total PoP ]]/250),0)</f>
        <v>1</v>
      </c>
      <c r="BE39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0.61904761904761907</v>
      </c>
      <c r="BF394" s="772">
        <f>WWWW[[#This Row],[% people access to functioning Latrine]]*WWWW[[#This Row],[Total PoP ]]</f>
        <v>78</v>
      </c>
      <c r="BG394" s="770">
        <f>WWWW[[#This Row],['#_of_Functioning_latrines_in_school]]*50</f>
        <v>0</v>
      </c>
      <c r="BH394" s="770">
        <f>ROUND((WWWW[[#This Row],[Total PoP ]]/6),0)</f>
        <v>21</v>
      </c>
      <c r="BI394" s="770">
        <f>IF(WWWW[[#This Row],[Total required Latrines]]-(WWWW[[#This Row],['#_of_sanitary_fly-proof_HH_latrines]])&lt;0,0,WWWW[[#This Row],[Total required Latrines]]-(WWWW[[#This Row],['#_of_sanitary_fly-proof_HH_latrines]]))</f>
        <v>8</v>
      </c>
      <c r="BJ394" s="771">
        <f>1-WWWW[[#This Row],[% people access to functioning Latrine]]</f>
        <v>0.38095238095238093</v>
      </c>
      <c r="BK394"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16</v>
      </c>
      <c r="BL394" s="772">
        <f>IF(WWWW[[#This Row],['#_of_functional_handwashing_facilities_at_HH_level]]*6&gt;WWWW[[#This Row],[Total PoP ]],WWWW[[#This Row],[Total PoP ]],WWWW[[#This Row],['#_of_functional_handwashing_facilities_at_HH_level]]*6)</f>
        <v>0</v>
      </c>
      <c r="BM394" s="770">
        <f>IF(WWWW[[#This Row],['# people reached by regular dedicated hygiene promotion]]&gt;WWWW[[#This Row],['# People received regular supply of hygiene items]],WWWW[[#This Row],['# people reached by regular dedicated hygiene promotion]],WWWW[[#This Row],['# People received regular supply of hygiene items]])</f>
        <v>16</v>
      </c>
      <c r="BN394" s="476">
        <f>IF(WWWW[[#This Row],[HRP3]]/WWWW[[#This Row],[Total PoP ]]&gt;100%,100%,WWWW[[#This Row],[HRP3]]/WWWW[[#This Row],[Total PoP ]])</f>
        <v>0.12698412698412698</v>
      </c>
      <c r="BO394" s="771">
        <f>1-WWWW[[#This Row],[Hygiene Coverage%]]</f>
        <v>0.87301587301587302</v>
      </c>
      <c r="BP394" s="769">
        <f>WWWW[[#This Row],['# people reached by regular dedicated hygiene promotion]]/WWWW[[#This Row],[Total PoP ]]</f>
        <v>0.12698412698412698</v>
      </c>
      <c r="BQ39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4" s="770">
        <f>WWWW[[#This Row],['#_of_affected_women_and_girls_receiving_a_sufficient_quantity_of_sanitary_pads]]</f>
        <v>0</v>
      </c>
      <c r="BS394" s="773">
        <f>IF(WWWW[[#This Row],['# People with access to soap]]&gt;WWWW[[#This Row],['# People with access to Sanity Pads]],WWWW[[#This Row],['# People with access to soap]],WWWW[[#This Row],['# People with access to Sanity Pads]])</f>
        <v>0</v>
      </c>
      <c r="BT394" s="772" t="str">
        <f>IF(OR(WWWW[[#This Row],['#of students in school]]="",WWWW[[#This Row],['#of students in school]]=0),"No","Yes")</f>
        <v>No</v>
      </c>
      <c r="BU394" s="480" t="str">
        <f>VLOOKUP(WWWW[[#This Row],[Village  Name]],SiteDB6[[Site Name]:[Location Type 1]],9,FALSE)</f>
        <v>Village</v>
      </c>
      <c r="BV394" s="480" t="str">
        <f>VLOOKUP(WWWW[[#This Row],[Village  Name]],SiteDB6[[Site Name]:[Type of Accommodation]],10,FALSE)</f>
        <v>Village</v>
      </c>
      <c r="BW394" s="480">
        <f>VLOOKUP(WWWW[[#This Row],[Village  Name]],SiteDB6[[Site Name]:[Ethnic or GCA/NGCA]],11,FALSE)</f>
        <v>0</v>
      </c>
      <c r="BX394" s="480">
        <f>VLOOKUP(WWWW[[#This Row],[Village  Name]],SiteDB6[[Site Name]:[Lat]],12,FALSE)</f>
        <v>0</v>
      </c>
      <c r="BY394" s="480">
        <f>VLOOKUP(WWWW[[#This Row],[Village  Name]],SiteDB6[[Site Name]:[Long]],13,FALSE)</f>
        <v>0</v>
      </c>
      <c r="BZ394" s="480">
        <f>VLOOKUP(WWWW[[#This Row],[Village  Name]],SiteDB6[[Site Name]:[Pcode]],3,FALSE)</f>
        <v>0</v>
      </c>
      <c r="CA394" s="480" t="str">
        <f t="shared" si="24"/>
        <v>Covered</v>
      </c>
      <c r="CB394" s="505"/>
    </row>
    <row r="395" spans="1:80">
      <c r="A395" s="774" t="s">
        <v>3199</v>
      </c>
      <c r="B395" s="774" t="s">
        <v>2812</v>
      </c>
      <c r="C395" s="703" t="s">
        <v>2812</v>
      </c>
      <c r="D395" s="415" t="s">
        <v>3176</v>
      </c>
      <c r="E395" s="415" t="s">
        <v>36</v>
      </c>
      <c r="F395" s="415" t="s">
        <v>132</v>
      </c>
      <c r="G395" s="705" t="str">
        <f>VLOOKUP(WWWW[[#This Row],[Village  Name]],SiteDB6[[Site Name]:[Location Type]],8,FALSE)</f>
        <v>Village</v>
      </c>
      <c r="H395" s="415" t="s">
        <v>1869</v>
      </c>
      <c r="I395" s="773">
        <v>31</v>
      </c>
      <c r="J395" s="773">
        <v>135</v>
      </c>
      <c r="K395" s="418">
        <v>43081</v>
      </c>
      <c r="L395" s="55">
        <v>44104</v>
      </c>
      <c r="M395" s="773"/>
      <c r="N395" s="773"/>
      <c r="O395" s="773">
        <v>1</v>
      </c>
      <c r="P395" s="773"/>
      <c r="Q395" s="773"/>
      <c r="R395" s="773"/>
      <c r="S395" s="773"/>
      <c r="T395" s="773"/>
      <c r="U395" s="551"/>
      <c r="V395" s="773"/>
      <c r="W395" s="773"/>
      <c r="X395" s="773"/>
      <c r="Y395" s="773"/>
      <c r="Z395" s="773"/>
      <c r="AA395" s="773"/>
      <c r="AB395" s="773"/>
      <c r="AC395" s="551"/>
      <c r="AD395" s="773">
        <v>9</v>
      </c>
      <c r="AE395" s="773">
        <v>8</v>
      </c>
      <c r="AF395" s="773"/>
      <c r="AG395" s="773"/>
      <c r="AH395" s="773"/>
      <c r="AI395" s="773"/>
      <c r="AJ395" s="773"/>
      <c r="AK395" s="773"/>
      <c r="AL395" s="773"/>
      <c r="AM395" s="773"/>
      <c r="AN395" s="551"/>
      <c r="AO395" s="769"/>
      <c r="AP395" s="769"/>
      <c r="AQ395" s="773"/>
      <c r="AR395" s="773"/>
      <c r="AS395" s="773"/>
      <c r="AT395"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95" s="772">
        <f>WWWW[[#This Row],[%Equitable and continuous access to sufficient quantity of safe drinking water]]*WWWW[[#This Row],[Total PoP ]]</f>
        <v>135</v>
      </c>
      <c r="AV395"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5" s="772">
        <f>WWWW[[#This Row],[% Access to unimproved water points]]*WWWW[[#This Row],[Total PoP ]]</f>
        <v>0</v>
      </c>
      <c r="AX395"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95"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135</v>
      </c>
      <c r="AZ395" s="772">
        <f>WWWW[[#This Row],[HRP1]]/250</f>
        <v>0.54</v>
      </c>
      <c r="BA395" s="476">
        <f>1-WWWW[[#This Row],[% Equitable and continuous access to sufficient quantity of domestic water]]</f>
        <v>0</v>
      </c>
      <c r="BB395" s="772">
        <f>WWWW[[#This Row],[%equitable and continuous access to sufficient quantity of safe drinking and domestic water''s GAP]]*WWWW[[#This Row],[Total PoP ]]</f>
        <v>0</v>
      </c>
      <c r="BC395" s="770">
        <f>IF(WWWW[[#This Row],[Total required water points]]-WWWW[[#This Row],['#Water points coverage]]&lt;0,0,WWWW[[#This Row],[Total required water points]]-WWWW[[#This Row],['#Water points coverage]])</f>
        <v>0.45999999999999996</v>
      </c>
      <c r="BD395" s="770">
        <f>ROUND(IF(WWWW[[#This Row],[Total PoP ]]&lt;250,1,WWWW[[#This Row],[Total PoP ]]/250),0)</f>
        <v>1</v>
      </c>
      <c r="BE39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95" s="772">
        <f>WWWW[[#This Row],[% people access to functioning Latrine]]*WWWW[[#This Row],[Total PoP ]]</f>
        <v>0</v>
      </c>
      <c r="BG395" s="770">
        <f>WWWW[[#This Row],['#_of_Functioning_latrines_in_school]]*50</f>
        <v>0</v>
      </c>
      <c r="BH395" s="770">
        <f>ROUND((WWWW[[#This Row],[Total PoP ]]/6),0)</f>
        <v>23</v>
      </c>
      <c r="BI395" s="770">
        <f>IF(WWWW[[#This Row],[Total required Latrines]]-(WWWW[[#This Row],['#_of_sanitary_fly-proof_HH_latrines]])&lt;0,0,WWWW[[#This Row],[Total required Latrines]]-(WWWW[[#This Row],['#_of_sanitary_fly-proof_HH_latrines]]))</f>
        <v>23</v>
      </c>
      <c r="BJ395" s="771">
        <f>1-WWWW[[#This Row],[% people access to functioning Latrine]]</f>
        <v>1</v>
      </c>
      <c r="BK395"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17</v>
      </c>
      <c r="BL395" s="772">
        <f>IF(WWWW[[#This Row],['#_of_functional_handwashing_facilities_at_HH_level]]*6&gt;WWWW[[#This Row],[Total PoP ]],WWWW[[#This Row],[Total PoP ]],WWWW[[#This Row],['#_of_functional_handwashing_facilities_at_HH_level]]*6)</f>
        <v>0</v>
      </c>
      <c r="BM395" s="770">
        <f>IF(WWWW[[#This Row],['# people reached by regular dedicated hygiene promotion]]&gt;WWWW[[#This Row],['# People received regular supply of hygiene items]],WWWW[[#This Row],['# people reached by regular dedicated hygiene promotion]],WWWW[[#This Row],['# People received regular supply of hygiene items]])</f>
        <v>17</v>
      </c>
      <c r="BN395" s="476">
        <f>IF(WWWW[[#This Row],[HRP3]]/WWWW[[#This Row],[Total PoP ]]&gt;100%,100%,WWWW[[#This Row],[HRP3]]/WWWW[[#This Row],[Total PoP ]])</f>
        <v>0.12592592592592591</v>
      </c>
      <c r="BO395" s="771">
        <f>1-WWWW[[#This Row],[Hygiene Coverage%]]</f>
        <v>0.87407407407407411</v>
      </c>
      <c r="BP395" s="769">
        <f>WWWW[[#This Row],['# people reached by regular dedicated hygiene promotion]]/WWWW[[#This Row],[Total PoP ]]</f>
        <v>0.12592592592592591</v>
      </c>
      <c r="BQ39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5" s="770">
        <f>WWWW[[#This Row],['#_of_affected_women_and_girls_receiving_a_sufficient_quantity_of_sanitary_pads]]</f>
        <v>0</v>
      </c>
      <c r="BS395" s="773">
        <f>IF(WWWW[[#This Row],['# People with access to soap]]&gt;WWWW[[#This Row],['# People with access to Sanity Pads]],WWWW[[#This Row],['# People with access to soap]],WWWW[[#This Row],['# People with access to Sanity Pads]])</f>
        <v>0</v>
      </c>
      <c r="BT395" s="772" t="str">
        <f>IF(OR(WWWW[[#This Row],['#of students in school]]="",WWWW[[#This Row],['#of students in school]]=0),"No","Yes")</f>
        <v>No</v>
      </c>
      <c r="BU395" s="480" t="str">
        <f>VLOOKUP(WWWW[[#This Row],[Village  Name]],SiteDB6[[Site Name]:[Location Type 1]],9,FALSE)</f>
        <v>Village</v>
      </c>
      <c r="BV395" s="480" t="str">
        <f>VLOOKUP(WWWW[[#This Row],[Village  Name]],SiteDB6[[Site Name]:[Type of Accommodation]],10,FALSE)</f>
        <v>Village</v>
      </c>
      <c r="BW395" s="480">
        <f>VLOOKUP(WWWW[[#This Row],[Village  Name]],SiteDB6[[Site Name]:[Ethnic or GCA/NGCA]],11,FALSE)</f>
        <v>0</v>
      </c>
      <c r="BX395" s="480">
        <f>VLOOKUP(WWWW[[#This Row],[Village  Name]],SiteDB6[[Site Name]:[Lat]],12,FALSE)</f>
        <v>0</v>
      </c>
      <c r="BY395" s="480">
        <f>VLOOKUP(WWWW[[#This Row],[Village  Name]],SiteDB6[[Site Name]:[Long]],13,FALSE)</f>
        <v>0</v>
      </c>
      <c r="BZ395" s="480">
        <f>VLOOKUP(WWWW[[#This Row],[Village  Name]],SiteDB6[[Site Name]:[Pcode]],3,FALSE)</f>
        <v>0</v>
      </c>
      <c r="CA395" s="480" t="str">
        <f t="shared" si="24"/>
        <v>Covered</v>
      </c>
      <c r="CB395" s="505"/>
    </row>
    <row r="396" spans="1:80">
      <c r="A396" s="774" t="s">
        <v>3199</v>
      </c>
      <c r="B396" s="774" t="s">
        <v>2812</v>
      </c>
      <c r="C396" s="703" t="s">
        <v>2812</v>
      </c>
      <c r="D396" s="415" t="s">
        <v>3176</v>
      </c>
      <c r="E396" s="415" t="s">
        <v>36</v>
      </c>
      <c r="F396" s="415" t="s">
        <v>149</v>
      </c>
      <c r="G396" s="705" t="str">
        <f>VLOOKUP(WWWW[[#This Row],[Village  Name]],SiteDB6[[Site Name]:[Location Type]],8,FALSE)</f>
        <v>Village</v>
      </c>
      <c r="H396" s="415" t="s">
        <v>3183</v>
      </c>
      <c r="I396" s="773">
        <v>97</v>
      </c>
      <c r="J396" s="773">
        <v>482</v>
      </c>
      <c r="K396" s="418">
        <v>43081</v>
      </c>
      <c r="L396" s="55">
        <v>44104</v>
      </c>
      <c r="M396" s="773"/>
      <c r="N396" s="773"/>
      <c r="O396" s="773">
        <v>2</v>
      </c>
      <c r="P396" s="773"/>
      <c r="Q396" s="773"/>
      <c r="R396" s="773"/>
      <c r="S396" s="773"/>
      <c r="T396" s="773"/>
      <c r="U396" s="551"/>
      <c r="V396" s="773">
        <v>50</v>
      </c>
      <c r="W396" s="773"/>
      <c r="X396" s="773">
        <v>2</v>
      </c>
      <c r="Y396" s="773"/>
      <c r="Z396" s="773"/>
      <c r="AA396" s="773"/>
      <c r="AB396" s="773"/>
      <c r="AC396" s="551"/>
      <c r="AD396" s="773">
        <v>15</v>
      </c>
      <c r="AE396" s="773">
        <v>12</v>
      </c>
      <c r="AF396" s="773"/>
      <c r="AG396" s="773"/>
      <c r="AH396" s="773"/>
      <c r="AI396" s="773"/>
      <c r="AJ396" s="773"/>
      <c r="AK396" s="773"/>
      <c r="AL396" s="773"/>
      <c r="AM396" s="773"/>
      <c r="AN396" s="551"/>
      <c r="AO396" s="769"/>
      <c r="AP396" s="769"/>
      <c r="AQ396" s="773"/>
      <c r="AR396" s="773"/>
      <c r="AS396" s="773"/>
      <c r="AT396"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96" s="772">
        <f>WWWW[[#This Row],[%Equitable and continuous access to sufficient quantity of safe drinking water]]*WWWW[[#This Row],[Total PoP ]]</f>
        <v>482</v>
      </c>
      <c r="AV396"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6" s="772">
        <f>WWWW[[#This Row],[% Access to unimproved water points]]*WWWW[[#This Row],[Total PoP ]]</f>
        <v>0</v>
      </c>
      <c r="AX396"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96"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482</v>
      </c>
      <c r="AZ396" s="772">
        <f>WWWW[[#This Row],[HRP1]]/250</f>
        <v>1.9279999999999999</v>
      </c>
      <c r="BA396" s="476">
        <f>1-WWWW[[#This Row],[% Equitable and continuous access to sufficient quantity of domestic water]]</f>
        <v>0</v>
      </c>
      <c r="BB396" s="772">
        <f>WWWW[[#This Row],[%equitable and continuous access to sufficient quantity of safe drinking and domestic water''s GAP]]*WWWW[[#This Row],[Total PoP ]]</f>
        <v>0</v>
      </c>
      <c r="BC396" s="770">
        <f>IF(WWWW[[#This Row],[Total required water points]]-WWWW[[#This Row],['#Water points coverage]]&lt;0,0,WWWW[[#This Row],[Total required water points]]-WWWW[[#This Row],['#Water points coverage]])</f>
        <v>7.2000000000000064E-2</v>
      </c>
      <c r="BD396" s="770">
        <f>ROUND(IF(WWWW[[#This Row],[Total PoP ]]&lt;250,1,WWWW[[#This Row],[Total PoP ]]/250),0)</f>
        <v>2</v>
      </c>
      <c r="BE39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0.62240663900414939</v>
      </c>
      <c r="BF396" s="772">
        <f>WWWW[[#This Row],[% people access to functioning Latrine]]*WWWW[[#This Row],[Total PoP ]]</f>
        <v>300</v>
      </c>
      <c r="BG396" s="770">
        <f>WWWW[[#This Row],['#_of_Functioning_latrines_in_school]]*50</f>
        <v>100</v>
      </c>
      <c r="BH396" s="770">
        <f>ROUND((WWWW[[#This Row],[Total PoP ]]/6),0)</f>
        <v>80</v>
      </c>
      <c r="BI396" s="770">
        <f>IF(WWWW[[#This Row],[Total required Latrines]]-(WWWW[[#This Row],['#_of_sanitary_fly-proof_HH_latrines]])&lt;0,0,WWWW[[#This Row],[Total required Latrines]]-(WWWW[[#This Row],['#_of_sanitary_fly-proof_HH_latrines]]))</f>
        <v>30</v>
      </c>
      <c r="BJ396" s="771">
        <f>1-WWWW[[#This Row],[% people access to functioning Latrine]]</f>
        <v>0.37759336099585061</v>
      </c>
      <c r="BK396"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27</v>
      </c>
      <c r="BL396" s="772">
        <f>IF(WWWW[[#This Row],['#_of_functional_handwashing_facilities_at_HH_level]]*6&gt;WWWW[[#This Row],[Total PoP ]],WWWW[[#This Row],[Total PoP ]],WWWW[[#This Row],['#_of_functional_handwashing_facilities_at_HH_level]]*6)</f>
        <v>0</v>
      </c>
      <c r="BM396" s="770">
        <f>IF(WWWW[[#This Row],['# people reached by regular dedicated hygiene promotion]]&gt;WWWW[[#This Row],['# People received regular supply of hygiene items]],WWWW[[#This Row],['# people reached by regular dedicated hygiene promotion]],WWWW[[#This Row],['# People received regular supply of hygiene items]])</f>
        <v>27</v>
      </c>
      <c r="BN396" s="476">
        <f>IF(WWWW[[#This Row],[HRP3]]/WWWW[[#This Row],[Total PoP ]]&gt;100%,100%,WWWW[[#This Row],[HRP3]]/WWWW[[#This Row],[Total PoP ]])</f>
        <v>5.6016597510373446E-2</v>
      </c>
      <c r="BO396" s="771">
        <f>1-WWWW[[#This Row],[Hygiene Coverage%]]</f>
        <v>0.94398340248962653</v>
      </c>
      <c r="BP396" s="769">
        <f>WWWW[[#This Row],['# people reached by regular dedicated hygiene promotion]]/WWWW[[#This Row],[Total PoP ]]</f>
        <v>5.6016597510373446E-2</v>
      </c>
      <c r="BQ39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6" s="770">
        <f>WWWW[[#This Row],['#_of_affected_women_and_girls_receiving_a_sufficient_quantity_of_sanitary_pads]]</f>
        <v>0</v>
      </c>
      <c r="BS396" s="773">
        <f>IF(WWWW[[#This Row],['# People with access to soap]]&gt;WWWW[[#This Row],['# People with access to Sanity Pads]],WWWW[[#This Row],['# People with access to soap]],WWWW[[#This Row],['# People with access to Sanity Pads]])</f>
        <v>0</v>
      </c>
      <c r="BT396" s="772" t="str">
        <f>IF(OR(WWWW[[#This Row],['#of students in school]]="",WWWW[[#This Row],['#of students in school]]=0),"No","Yes")</f>
        <v>No</v>
      </c>
      <c r="BU396" s="480" t="str">
        <f>VLOOKUP(WWWW[[#This Row],[Village  Name]],SiteDB6[[Site Name]:[Location Type 1]],9,FALSE)</f>
        <v>Village</v>
      </c>
      <c r="BV396" s="480" t="str">
        <f>VLOOKUP(WWWW[[#This Row],[Village  Name]],SiteDB6[[Site Name]:[Type of Accommodation]],10,FALSE)</f>
        <v>Village</v>
      </c>
      <c r="BW396" s="480">
        <f>VLOOKUP(WWWW[[#This Row],[Village  Name]],SiteDB6[[Site Name]:[Ethnic or GCA/NGCA]],11,FALSE)</f>
        <v>0</v>
      </c>
      <c r="BX396" s="480">
        <f>VLOOKUP(WWWW[[#This Row],[Village  Name]],SiteDB6[[Site Name]:[Lat]],12,FALSE)</f>
        <v>0</v>
      </c>
      <c r="BY396" s="480">
        <f>VLOOKUP(WWWW[[#This Row],[Village  Name]],SiteDB6[[Site Name]:[Long]],13,FALSE)</f>
        <v>0</v>
      </c>
      <c r="BZ396" s="480">
        <f>VLOOKUP(WWWW[[#This Row],[Village  Name]],SiteDB6[[Site Name]:[Pcode]],3,FALSE)</f>
        <v>0</v>
      </c>
      <c r="CA396" s="480" t="str">
        <f t="shared" si="24"/>
        <v>Covered</v>
      </c>
      <c r="CB396" s="505"/>
    </row>
    <row r="397" spans="1:80">
      <c r="A397" s="774" t="s">
        <v>3199</v>
      </c>
      <c r="B397" s="774" t="s">
        <v>2812</v>
      </c>
      <c r="C397" s="703" t="s">
        <v>2812</v>
      </c>
      <c r="D397" s="415" t="s">
        <v>3176</v>
      </c>
      <c r="E397" s="415" t="s">
        <v>36</v>
      </c>
      <c r="F397" s="415" t="s">
        <v>132</v>
      </c>
      <c r="G397" s="705" t="str">
        <f>VLOOKUP(WWWW[[#This Row],[Village  Name]],SiteDB6[[Site Name]:[Location Type]],8,FALSE)</f>
        <v>Village</v>
      </c>
      <c r="H397" s="415" t="s">
        <v>3184</v>
      </c>
      <c r="I397" s="773">
        <v>59</v>
      </c>
      <c r="J397" s="773">
        <v>305</v>
      </c>
      <c r="K397" s="418">
        <v>43081</v>
      </c>
      <c r="L397" s="55">
        <v>44104</v>
      </c>
      <c r="M397" s="773"/>
      <c r="N397" s="773"/>
      <c r="O397" s="773">
        <v>1</v>
      </c>
      <c r="P397" s="773"/>
      <c r="Q397" s="773"/>
      <c r="R397" s="773"/>
      <c r="S397" s="773"/>
      <c r="T397" s="773"/>
      <c r="U397" s="551"/>
      <c r="V397" s="773"/>
      <c r="W397" s="773"/>
      <c r="X397" s="773"/>
      <c r="Y397" s="773"/>
      <c r="Z397" s="773"/>
      <c r="AA397" s="773"/>
      <c r="AB397" s="773"/>
      <c r="AC397" s="551"/>
      <c r="AD397" s="773">
        <v>3</v>
      </c>
      <c r="AE397" s="773">
        <v>10</v>
      </c>
      <c r="AF397" s="773"/>
      <c r="AG397" s="773"/>
      <c r="AH397" s="773"/>
      <c r="AI397" s="773"/>
      <c r="AJ397" s="773"/>
      <c r="AK397" s="773"/>
      <c r="AL397" s="773"/>
      <c r="AM397" s="773"/>
      <c r="AN397" s="551"/>
      <c r="AO397" s="769"/>
      <c r="AP397" s="769"/>
      <c r="AQ397" s="773"/>
      <c r="AR397" s="773"/>
      <c r="AS397" s="773"/>
      <c r="AT397"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97" s="772">
        <f>WWWW[[#This Row],[%Equitable and continuous access to sufficient quantity of safe drinking water]]*WWWW[[#This Row],[Total PoP ]]</f>
        <v>305</v>
      </c>
      <c r="AV397"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7" s="772">
        <f>WWWW[[#This Row],[% Access to unimproved water points]]*WWWW[[#This Row],[Total PoP ]]</f>
        <v>0</v>
      </c>
      <c r="AX397"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97"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305</v>
      </c>
      <c r="AZ397" s="772">
        <f>WWWW[[#This Row],[HRP1]]/250</f>
        <v>1.22</v>
      </c>
      <c r="BA397" s="476">
        <f>1-WWWW[[#This Row],[% Equitable and continuous access to sufficient quantity of domestic water]]</f>
        <v>0</v>
      </c>
      <c r="BB397" s="772">
        <f>WWWW[[#This Row],[%equitable and continuous access to sufficient quantity of safe drinking and domestic water''s GAP]]*WWWW[[#This Row],[Total PoP ]]</f>
        <v>0</v>
      </c>
      <c r="BC397" s="770">
        <f>IF(WWWW[[#This Row],[Total required water points]]-WWWW[[#This Row],['#Water points coverage]]&lt;0,0,WWWW[[#This Row],[Total required water points]]-WWWW[[#This Row],['#Water points coverage]])</f>
        <v>0</v>
      </c>
      <c r="BD397" s="770">
        <f>ROUND(IF(WWWW[[#This Row],[Total PoP ]]&lt;250,1,WWWW[[#This Row],[Total PoP ]]/250),0)</f>
        <v>1</v>
      </c>
      <c r="BE39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97" s="772">
        <f>WWWW[[#This Row],[% people access to functioning Latrine]]*WWWW[[#This Row],[Total PoP ]]</f>
        <v>0</v>
      </c>
      <c r="BG397" s="770">
        <f>WWWW[[#This Row],['#_of_Functioning_latrines_in_school]]*50</f>
        <v>0</v>
      </c>
      <c r="BH397" s="770">
        <f>ROUND((WWWW[[#This Row],[Total PoP ]]/6),0)</f>
        <v>51</v>
      </c>
      <c r="BI397" s="770">
        <f>IF(WWWW[[#This Row],[Total required Latrines]]-(WWWW[[#This Row],['#_of_sanitary_fly-proof_HH_latrines]])&lt;0,0,WWWW[[#This Row],[Total required Latrines]]-(WWWW[[#This Row],['#_of_sanitary_fly-proof_HH_latrines]]))</f>
        <v>51</v>
      </c>
      <c r="BJ397" s="771">
        <f>1-WWWW[[#This Row],[% people access to functioning Latrine]]</f>
        <v>1</v>
      </c>
      <c r="BK397"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13</v>
      </c>
      <c r="BL397" s="772">
        <f>IF(WWWW[[#This Row],['#_of_functional_handwashing_facilities_at_HH_level]]*6&gt;WWWW[[#This Row],[Total PoP ]],WWWW[[#This Row],[Total PoP ]],WWWW[[#This Row],['#_of_functional_handwashing_facilities_at_HH_level]]*6)</f>
        <v>0</v>
      </c>
      <c r="BM397" s="770">
        <f>IF(WWWW[[#This Row],['# people reached by regular dedicated hygiene promotion]]&gt;WWWW[[#This Row],['# People received regular supply of hygiene items]],WWWW[[#This Row],['# people reached by regular dedicated hygiene promotion]],WWWW[[#This Row],['# People received regular supply of hygiene items]])</f>
        <v>13</v>
      </c>
      <c r="BN397" s="476">
        <f>IF(WWWW[[#This Row],[HRP3]]/WWWW[[#This Row],[Total PoP ]]&gt;100%,100%,WWWW[[#This Row],[HRP3]]/WWWW[[#This Row],[Total PoP ]])</f>
        <v>4.2622950819672129E-2</v>
      </c>
      <c r="BO397" s="771">
        <f>1-WWWW[[#This Row],[Hygiene Coverage%]]</f>
        <v>0.95737704918032784</v>
      </c>
      <c r="BP397" s="769">
        <f>WWWW[[#This Row],['# people reached by regular dedicated hygiene promotion]]/WWWW[[#This Row],[Total PoP ]]</f>
        <v>4.2622950819672129E-2</v>
      </c>
      <c r="BQ39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7" s="770">
        <f>WWWW[[#This Row],['#_of_affected_women_and_girls_receiving_a_sufficient_quantity_of_sanitary_pads]]</f>
        <v>0</v>
      </c>
      <c r="BS397" s="773">
        <f>IF(WWWW[[#This Row],['# People with access to soap]]&gt;WWWW[[#This Row],['# People with access to Sanity Pads]],WWWW[[#This Row],['# People with access to soap]],WWWW[[#This Row],['# People with access to Sanity Pads]])</f>
        <v>0</v>
      </c>
      <c r="BT397" s="772" t="str">
        <f>IF(OR(WWWW[[#This Row],['#of students in school]]="",WWWW[[#This Row],['#of students in school]]=0),"No","Yes")</f>
        <v>No</v>
      </c>
      <c r="BU397" s="480" t="str">
        <f>VLOOKUP(WWWW[[#This Row],[Village  Name]],SiteDB6[[Site Name]:[Location Type 1]],9,FALSE)</f>
        <v>Village</v>
      </c>
      <c r="BV397" s="480" t="str">
        <f>VLOOKUP(WWWW[[#This Row],[Village  Name]],SiteDB6[[Site Name]:[Type of Accommodation]],10,FALSE)</f>
        <v>Village</v>
      </c>
      <c r="BW397" s="480">
        <f>VLOOKUP(WWWW[[#This Row],[Village  Name]],SiteDB6[[Site Name]:[Ethnic or GCA/NGCA]],11,FALSE)</f>
        <v>0</v>
      </c>
      <c r="BX397" s="480">
        <f>VLOOKUP(WWWW[[#This Row],[Village  Name]],SiteDB6[[Site Name]:[Lat]],12,FALSE)</f>
        <v>0</v>
      </c>
      <c r="BY397" s="480">
        <f>VLOOKUP(WWWW[[#This Row],[Village  Name]],SiteDB6[[Site Name]:[Long]],13,FALSE)</f>
        <v>0</v>
      </c>
      <c r="BZ397" s="480">
        <f>VLOOKUP(WWWW[[#This Row],[Village  Name]],SiteDB6[[Site Name]:[Pcode]],3,FALSE)</f>
        <v>0</v>
      </c>
      <c r="CA397" s="480" t="str">
        <f t="shared" si="24"/>
        <v>Covered</v>
      </c>
      <c r="CB397" s="505"/>
    </row>
    <row r="398" spans="1:80">
      <c r="A398" s="774" t="s">
        <v>3199</v>
      </c>
      <c r="B398" s="774" t="s">
        <v>2812</v>
      </c>
      <c r="C398" s="703" t="s">
        <v>2812</v>
      </c>
      <c r="D398" s="415" t="s">
        <v>3176</v>
      </c>
      <c r="E398" s="415" t="s">
        <v>36</v>
      </c>
      <c r="F398" s="415" t="s">
        <v>132</v>
      </c>
      <c r="G398" s="705" t="str">
        <f>VLOOKUP(WWWW[[#This Row],[Village  Name]],SiteDB6[[Site Name]:[Location Type]],8,FALSE)</f>
        <v>Village</v>
      </c>
      <c r="H398" s="415" t="s">
        <v>3185</v>
      </c>
      <c r="I398" s="773">
        <v>72</v>
      </c>
      <c r="J398" s="773">
        <v>346</v>
      </c>
      <c r="K398" s="418">
        <v>43081</v>
      </c>
      <c r="L398" s="55">
        <v>44104</v>
      </c>
      <c r="M398" s="773"/>
      <c r="N398" s="773"/>
      <c r="O398" s="773"/>
      <c r="P398" s="773"/>
      <c r="Q398" s="773"/>
      <c r="R398" s="773"/>
      <c r="S398" s="773"/>
      <c r="T398" s="773"/>
      <c r="U398" s="551"/>
      <c r="V398" s="773">
        <v>25</v>
      </c>
      <c r="W398" s="773"/>
      <c r="X398" s="773"/>
      <c r="Y398" s="773"/>
      <c r="Z398" s="773"/>
      <c r="AA398" s="773"/>
      <c r="AB398" s="773"/>
      <c r="AC398" s="551"/>
      <c r="AD398" s="773">
        <v>5</v>
      </c>
      <c r="AE398" s="773">
        <v>20</v>
      </c>
      <c r="AF398" s="773"/>
      <c r="AG398" s="773"/>
      <c r="AH398" s="773"/>
      <c r="AI398" s="773"/>
      <c r="AJ398" s="773"/>
      <c r="AK398" s="773"/>
      <c r="AL398" s="773"/>
      <c r="AM398" s="773"/>
      <c r="AN398" s="551"/>
      <c r="AO398" s="769"/>
      <c r="AP398" s="769"/>
      <c r="AQ398" s="773"/>
      <c r="AR398" s="773"/>
      <c r="AS398" s="773"/>
      <c r="AT398"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398" s="772">
        <f>WWWW[[#This Row],[%Equitable and continuous access to sufficient quantity of safe drinking water]]*WWWW[[#This Row],[Total PoP ]]</f>
        <v>0</v>
      </c>
      <c r="AV398"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8" s="772">
        <f>WWWW[[#This Row],[% Access to unimproved water points]]*WWWW[[#This Row],[Total PoP ]]</f>
        <v>0</v>
      </c>
      <c r="AX398"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398"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398" s="772">
        <f>WWWW[[#This Row],[HRP1]]/250</f>
        <v>0</v>
      </c>
      <c r="BA398" s="476">
        <f>1-WWWW[[#This Row],[% Equitable and continuous access to sufficient quantity of domestic water]]</f>
        <v>1</v>
      </c>
      <c r="BB398" s="772">
        <f>WWWW[[#This Row],[%equitable and continuous access to sufficient quantity of safe drinking and domestic water''s GAP]]*WWWW[[#This Row],[Total PoP ]]</f>
        <v>346</v>
      </c>
      <c r="BC398" s="770">
        <f>IF(WWWW[[#This Row],[Total required water points]]-WWWW[[#This Row],['#Water points coverage]]&lt;0,0,WWWW[[#This Row],[Total required water points]]-WWWW[[#This Row],['#Water points coverage]])</f>
        <v>1</v>
      </c>
      <c r="BD398" s="770">
        <f>ROUND(IF(WWWW[[#This Row],[Total PoP ]]&lt;250,1,WWWW[[#This Row],[Total PoP ]]/250),0)</f>
        <v>1</v>
      </c>
      <c r="BE39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0.43352601156069365</v>
      </c>
      <c r="BF398" s="772">
        <f>WWWW[[#This Row],[% people access to functioning Latrine]]*WWWW[[#This Row],[Total PoP ]]</f>
        <v>150</v>
      </c>
      <c r="BG398" s="770">
        <f>WWWW[[#This Row],['#_of_Functioning_latrines_in_school]]*50</f>
        <v>0</v>
      </c>
      <c r="BH398" s="770">
        <f>ROUND((WWWW[[#This Row],[Total PoP ]]/6),0)</f>
        <v>58</v>
      </c>
      <c r="BI398" s="770">
        <f>IF(WWWW[[#This Row],[Total required Latrines]]-(WWWW[[#This Row],['#_of_sanitary_fly-proof_HH_latrines]])&lt;0,0,WWWW[[#This Row],[Total required Latrines]]-(WWWW[[#This Row],['#_of_sanitary_fly-proof_HH_latrines]]))</f>
        <v>33</v>
      </c>
      <c r="BJ398" s="771">
        <f>1-WWWW[[#This Row],[% people access to functioning Latrine]]</f>
        <v>0.56647398843930641</v>
      </c>
      <c r="BK398"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25</v>
      </c>
      <c r="BL398" s="772">
        <f>IF(WWWW[[#This Row],['#_of_functional_handwashing_facilities_at_HH_level]]*6&gt;WWWW[[#This Row],[Total PoP ]],WWWW[[#This Row],[Total PoP ]],WWWW[[#This Row],['#_of_functional_handwashing_facilities_at_HH_level]]*6)</f>
        <v>0</v>
      </c>
      <c r="BM398" s="770">
        <f>IF(WWWW[[#This Row],['# people reached by regular dedicated hygiene promotion]]&gt;WWWW[[#This Row],['# People received regular supply of hygiene items]],WWWW[[#This Row],['# people reached by regular dedicated hygiene promotion]],WWWW[[#This Row],['# People received regular supply of hygiene items]])</f>
        <v>25</v>
      </c>
      <c r="BN398" s="476">
        <f>IF(WWWW[[#This Row],[HRP3]]/WWWW[[#This Row],[Total PoP ]]&gt;100%,100%,WWWW[[#This Row],[HRP3]]/WWWW[[#This Row],[Total PoP ]])</f>
        <v>7.2254335260115612E-2</v>
      </c>
      <c r="BO398" s="771">
        <f>1-WWWW[[#This Row],[Hygiene Coverage%]]</f>
        <v>0.9277456647398844</v>
      </c>
      <c r="BP398" s="769">
        <f>WWWW[[#This Row],['# people reached by regular dedicated hygiene promotion]]/WWWW[[#This Row],[Total PoP ]]</f>
        <v>7.2254335260115612E-2</v>
      </c>
      <c r="BQ39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8" s="770">
        <f>WWWW[[#This Row],['#_of_affected_women_and_girls_receiving_a_sufficient_quantity_of_sanitary_pads]]</f>
        <v>0</v>
      </c>
      <c r="BS398" s="773">
        <f>IF(WWWW[[#This Row],['# People with access to soap]]&gt;WWWW[[#This Row],['# People with access to Sanity Pads]],WWWW[[#This Row],['# People with access to soap]],WWWW[[#This Row],['# People with access to Sanity Pads]])</f>
        <v>0</v>
      </c>
      <c r="BT398" s="772" t="str">
        <f>IF(OR(WWWW[[#This Row],['#of students in school]]="",WWWW[[#This Row],['#of students in school]]=0),"No","Yes")</f>
        <v>No</v>
      </c>
      <c r="BU398" s="480" t="str">
        <f>VLOOKUP(WWWW[[#This Row],[Village  Name]],SiteDB6[[Site Name]:[Location Type 1]],9,FALSE)</f>
        <v>Village</v>
      </c>
      <c r="BV398" s="480" t="str">
        <f>VLOOKUP(WWWW[[#This Row],[Village  Name]],SiteDB6[[Site Name]:[Type of Accommodation]],10,FALSE)</f>
        <v>Village</v>
      </c>
      <c r="BW398" s="480">
        <f>VLOOKUP(WWWW[[#This Row],[Village  Name]],SiteDB6[[Site Name]:[Ethnic or GCA/NGCA]],11,FALSE)</f>
        <v>0</v>
      </c>
      <c r="BX398" s="480">
        <f>VLOOKUP(WWWW[[#This Row],[Village  Name]],SiteDB6[[Site Name]:[Lat]],12,FALSE)</f>
        <v>0</v>
      </c>
      <c r="BY398" s="480">
        <f>VLOOKUP(WWWW[[#This Row],[Village  Name]],SiteDB6[[Site Name]:[Long]],13,FALSE)</f>
        <v>0</v>
      </c>
      <c r="BZ398" s="480">
        <f>VLOOKUP(WWWW[[#This Row],[Village  Name]],SiteDB6[[Site Name]:[Pcode]],3,FALSE)</f>
        <v>0</v>
      </c>
      <c r="CA398" s="480" t="str">
        <f t="shared" si="24"/>
        <v>Covered</v>
      </c>
      <c r="CB398" s="505"/>
    </row>
    <row r="399" spans="1:80">
      <c r="A399" s="774" t="s">
        <v>3199</v>
      </c>
      <c r="B399" s="774" t="s">
        <v>2812</v>
      </c>
      <c r="C399" s="703" t="s">
        <v>2812</v>
      </c>
      <c r="D399" s="415" t="s">
        <v>3176</v>
      </c>
      <c r="E399" s="415" t="s">
        <v>36</v>
      </c>
      <c r="F399" s="415" t="s">
        <v>132</v>
      </c>
      <c r="G399" s="705" t="str">
        <f>VLOOKUP(WWWW[[#This Row],[Village  Name]],SiteDB6[[Site Name]:[Location Type]],8,FALSE)</f>
        <v>Village</v>
      </c>
      <c r="H399" s="415" t="s">
        <v>3186</v>
      </c>
      <c r="I399" s="773">
        <v>44</v>
      </c>
      <c r="J399" s="773">
        <v>241</v>
      </c>
      <c r="K399" s="418">
        <v>43081</v>
      </c>
      <c r="L399" s="55">
        <v>44104</v>
      </c>
      <c r="M399" s="773"/>
      <c r="N399" s="773"/>
      <c r="O399" s="773">
        <v>1</v>
      </c>
      <c r="P399" s="773"/>
      <c r="Q399" s="773"/>
      <c r="R399" s="773"/>
      <c r="S399" s="773"/>
      <c r="T399" s="773"/>
      <c r="U399" s="551"/>
      <c r="V399" s="773"/>
      <c r="W399" s="773"/>
      <c r="X399" s="773"/>
      <c r="Y399" s="773"/>
      <c r="Z399" s="773"/>
      <c r="AA399" s="773"/>
      <c r="AB399" s="773"/>
      <c r="AC399" s="551"/>
      <c r="AD399" s="773">
        <v>3</v>
      </c>
      <c r="AE399" s="773">
        <v>10</v>
      </c>
      <c r="AF399" s="773"/>
      <c r="AG399" s="773"/>
      <c r="AH399" s="773"/>
      <c r="AI399" s="773"/>
      <c r="AJ399" s="773"/>
      <c r="AK399" s="773"/>
      <c r="AL399" s="773"/>
      <c r="AM399" s="773"/>
      <c r="AN399" s="551"/>
      <c r="AO399" s="769"/>
      <c r="AP399" s="769"/>
      <c r="AQ399" s="773"/>
      <c r="AR399" s="773"/>
      <c r="AS399" s="773"/>
      <c r="AT399"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399" s="772">
        <f>WWWW[[#This Row],[%Equitable and continuous access to sufficient quantity of safe drinking water]]*WWWW[[#This Row],[Total PoP ]]</f>
        <v>241</v>
      </c>
      <c r="AV399"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399" s="772">
        <f>WWWW[[#This Row],[% Access to unimproved water points]]*WWWW[[#This Row],[Total PoP ]]</f>
        <v>0</v>
      </c>
      <c r="AX399"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399"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241</v>
      </c>
      <c r="AZ399" s="772">
        <f>WWWW[[#This Row],[HRP1]]/250</f>
        <v>0.96399999999999997</v>
      </c>
      <c r="BA399" s="476">
        <f>1-WWWW[[#This Row],[% Equitable and continuous access to sufficient quantity of domestic water]]</f>
        <v>0</v>
      </c>
      <c r="BB399" s="772">
        <f>WWWW[[#This Row],[%equitable and continuous access to sufficient quantity of safe drinking and domestic water''s GAP]]*WWWW[[#This Row],[Total PoP ]]</f>
        <v>0</v>
      </c>
      <c r="BC399" s="770">
        <f>IF(WWWW[[#This Row],[Total required water points]]-WWWW[[#This Row],['#Water points coverage]]&lt;0,0,WWWW[[#This Row],[Total required water points]]-WWWW[[#This Row],['#Water points coverage]])</f>
        <v>3.6000000000000032E-2</v>
      </c>
      <c r="BD399" s="770">
        <f>ROUND(IF(WWWW[[#This Row],[Total PoP ]]&lt;250,1,WWWW[[#This Row],[Total PoP ]]/250),0)</f>
        <v>1</v>
      </c>
      <c r="BE39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399" s="772">
        <f>WWWW[[#This Row],[% people access to functioning Latrine]]*WWWW[[#This Row],[Total PoP ]]</f>
        <v>0</v>
      </c>
      <c r="BG399" s="770">
        <f>WWWW[[#This Row],['#_of_Functioning_latrines_in_school]]*50</f>
        <v>0</v>
      </c>
      <c r="BH399" s="770">
        <f>ROUND((WWWW[[#This Row],[Total PoP ]]/6),0)</f>
        <v>40</v>
      </c>
      <c r="BI399" s="770">
        <f>IF(WWWW[[#This Row],[Total required Latrines]]-(WWWW[[#This Row],['#_of_sanitary_fly-proof_HH_latrines]])&lt;0,0,WWWW[[#This Row],[Total required Latrines]]-(WWWW[[#This Row],['#_of_sanitary_fly-proof_HH_latrines]]))</f>
        <v>40</v>
      </c>
      <c r="BJ399" s="771">
        <f>1-WWWW[[#This Row],[% people access to functioning Latrine]]</f>
        <v>1</v>
      </c>
      <c r="BK399"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13</v>
      </c>
      <c r="BL399" s="772">
        <f>IF(WWWW[[#This Row],['#_of_functional_handwashing_facilities_at_HH_level]]*6&gt;WWWW[[#This Row],[Total PoP ]],WWWW[[#This Row],[Total PoP ]],WWWW[[#This Row],['#_of_functional_handwashing_facilities_at_HH_level]]*6)</f>
        <v>0</v>
      </c>
      <c r="BM399" s="770">
        <f>IF(WWWW[[#This Row],['# people reached by regular dedicated hygiene promotion]]&gt;WWWW[[#This Row],['# People received regular supply of hygiene items]],WWWW[[#This Row],['# people reached by regular dedicated hygiene promotion]],WWWW[[#This Row],['# People received regular supply of hygiene items]])</f>
        <v>13</v>
      </c>
      <c r="BN399" s="476">
        <f>IF(WWWW[[#This Row],[HRP3]]/WWWW[[#This Row],[Total PoP ]]&gt;100%,100%,WWWW[[#This Row],[HRP3]]/WWWW[[#This Row],[Total PoP ]])</f>
        <v>5.3941908713692949E-2</v>
      </c>
      <c r="BO399" s="771">
        <f>1-WWWW[[#This Row],[Hygiene Coverage%]]</f>
        <v>0.94605809128630702</v>
      </c>
      <c r="BP399" s="769">
        <f>WWWW[[#This Row],['# people reached by regular dedicated hygiene promotion]]/WWWW[[#This Row],[Total PoP ]]</f>
        <v>5.3941908713692949E-2</v>
      </c>
      <c r="BQ39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399" s="770">
        <f>WWWW[[#This Row],['#_of_affected_women_and_girls_receiving_a_sufficient_quantity_of_sanitary_pads]]</f>
        <v>0</v>
      </c>
      <c r="BS399" s="773">
        <f>IF(WWWW[[#This Row],['# People with access to soap]]&gt;WWWW[[#This Row],['# People with access to Sanity Pads]],WWWW[[#This Row],['# People with access to soap]],WWWW[[#This Row],['# People with access to Sanity Pads]])</f>
        <v>0</v>
      </c>
      <c r="BT399" s="772" t="str">
        <f>IF(OR(WWWW[[#This Row],['#of students in school]]="",WWWW[[#This Row],['#of students in school]]=0),"No","Yes")</f>
        <v>No</v>
      </c>
      <c r="BU399" s="480" t="str">
        <f>VLOOKUP(WWWW[[#This Row],[Village  Name]],SiteDB6[[Site Name]:[Location Type 1]],9,FALSE)</f>
        <v>Village</v>
      </c>
      <c r="BV399" s="480" t="str">
        <f>VLOOKUP(WWWW[[#This Row],[Village  Name]],SiteDB6[[Site Name]:[Type of Accommodation]],10,FALSE)</f>
        <v>Village</v>
      </c>
      <c r="BW399" s="480">
        <f>VLOOKUP(WWWW[[#This Row],[Village  Name]],SiteDB6[[Site Name]:[Ethnic or GCA/NGCA]],11,FALSE)</f>
        <v>0</v>
      </c>
      <c r="BX399" s="480">
        <f>VLOOKUP(WWWW[[#This Row],[Village  Name]],SiteDB6[[Site Name]:[Lat]],12,FALSE)</f>
        <v>0</v>
      </c>
      <c r="BY399" s="480">
        <f>VLOOKUP(WWWW[[#This Row],[Village  Name]],SiteDB6[[Site Name]:[Long]],13,FALSE)</f>
        <v>0</v>
      </c>
      <c r="BZ399" s="480">
        <f>VLOOKUP(WWWW[[#This Row],[Village  Name]],SiteDB6[[Site Name]:[Pcode]],3,FALSE)</f>
        <v>0</v>
      </c>
      <c r="CA399" s="480" t="str">
        <f t="shared" si="24"/>
        <v>Covered</v>
      </c>
      <c r="CB399" s="505"/>
    </row>
    <row r="400" spans="1:80">
      <c r="A400" s="774" t="s">
        <v>3199</v>
      </c>
      <c r="B400" s="774" t="s">
        <v>2812</v>
      </c>
      <c r="C400" s="703" t="s">
        <v>2812</v>
      </c>
      <c r="D400" s="415" t="s">
        <v>3176</v>
      </c>
      <c r="E400" s="415" t="s">
        <v>36</v>
      </c>
      <c r="F400" s="415" t="s">
        <v>132</v>
      </c>
      <c r="G400" s="705" t="str">
        <f>VLOOKUP(WWWW[[#This Row],[Village  Name]],SiteDB6[[Site Name]:[Location Type]],8,FALSE)</f>
        <v>Village</v>
      </c>
      <c r="H400" s="415" t="s">
        <v>3187</v>
      </c>
      <c r="I400" s="773">
        <v>30</v>
      </c>
      <c r="J400" s="773">
        <v>148</v>
      </c>
      <c r="K400" s="418">
        <v>43081</v>
      </c>
      <c r="L400" s="55">
        <v>44104</v>
      </c>
      <c r="M400" s="773"/>
      <c r="N400" s="773"/>
      <c r="O400" s="773"/>
      <c r="P400" s="773"/>
      <c r="Q400" s="773"/>
      <c r="R400" s="773"/>
      <c r="S400" s="773"/>
      <c r="T400" s="773"/>
      <c r="U400" s="551"/>
      <c r="V400" s="773">
        <v>24</v>
      </c>
      <c r="W400" s="773"/>
      <c r="X400" s="773"/>
      <c r="Y400" s="773"/>
      <c r="Z400" s="773"/>
      <c r="AA400" s="773"/>
      <c r="AB400" s="773"/>
      <c r="AC400" s="551"/>
      <c r="AD400" s="773"/>
      <c r="AE400" s="773">
        <v>20</v>
      </c>
      <c r="AF400" s="773"/>
      <c r="AG400" s="773"/>
      <c r="AH400" s="773"/>
      <c r="AI400" s="773"/>
      <c r="AJ400" s="773"/>
      <c r="AK400" s="773"/>
      <c r="AL400" s="773"/>
      <c r="AM400" s="773"/>
      <c r="AN400" s="551"/>
      <c r="AO400" s="769"/>
      <c r="AP400" s="769"/>
      <c r="AQ400" s="773"/>
      <c r="AR400" s="773"/>
      <c r="AS400" s="773"/>
      <c r="AT400"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00" s="772">
        <f>WWWW[[#This Row],[%Equitable and continuous access to sufficient quantity of safe drinking water]]*WWWW[[#This Row],[Total PoP ]]</f>
        <v>0</v>
      </c>
      <c r="AV400"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0" s="772">
        <f>WWWW[[#This Row],[% Access to unimproved water points]]*WWWW[[#This Row],[Total PoP ]]</f>
        <v>0</v>
      </c>
      <c r="AX400"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00"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00" s="772">
        <f>WWWW[[#This Row],[HRP1]]/250</f>
        <v>0</v>
      </c>
      <c r="BA400" s="476">
        <f>1-WWWW[[#This Row],[% Equitable and continuous access to sufficient quantity of domestic water]]</f>
        <v>1</v>
      </c>
      <c r="BB400" s="772">
        <f>WWWW[[#This Row],[%equitable and continuous access to sufficient quantity of safe drinking and domestic water''s GAP]]*WWWW[[#This Row],[Total PoP ]]</f>
        <v>148</v>
      </c>
      <c r="BC400" s="770">
        <f>IF(WWWW[[#This Row],[Total required water points]]-WWWW[[#This Row],['#Water points coverage]]&lt;0,0,WWWW[[#This Row],[Total required water points]]-WWWW[[#This Row],['#Water points coverage]])</f>
        <v>1</v>
      </c>
      <c r="BD400" s="770">
        <f>ROUND(IF(WWWW[[#This Row],[Total PoP ]]&lt;250,1,WWWW[[#This Row],[Total PoP ]]/250),0)</f>
        <v>1</v>
      </c>
      <c r="BE400"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0.97297297297297303</v>
      </c>
      <c r="BF400" s="772">
        <f>WWWW[[#This Row],[% people access to functioning Latrine]]*WWWW[[#This Row],[Total PoP ]]</f>
        <v>144</v>
      </c>
      <c r="BG400" s="770">
        <f>WWWW[[#This Row],['#_of_Functioning_latrines_in_school]]*50</f>
        <v>0</v>
      </c>
      <c r="BH400" s="770">
        <f>ROUND((WWWW[[#This Row],[Total PoP ]]/6),0)</f>
        <v>25</v>
      </c>
      <c r="BI400" s="770">
        <f>IF(WWWW[[#This Row],[Total required Latrines]]-(WWWW[[#This Row],['#_of_sanitary_fly-proof_HH_latrines]])&lt;0,0,WWWW[[#This Row],[Total required Latrines]]-(WWWW[[#This Row],['#_of_sanitary_fly-proof_HH_latrines]]))</f>
        <v>1</v>
      </c>
      <c r="BJ400" s="771">
        <f>1-WWWW[[#This Row],[% people access to functioning Latrine]]</f>
        <v>2.7027027027026973E-2</v>
      </c>
      <c r="BK400"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20</v>
      </c>
      <c r="BL400" s="772">
        <f>IF(WWWW[[#This Row],['#_of_functional_handwashing_facilities_at_HH_level]]*6&gt;WWWW[[#This Row],[Total PoP ]],WWWW[[#This Row],[Total PoP ]],WWWW[[#This Row],['#_of_functional_handwashing_facilities_at_HH_level]]*6)</f>
        <v>0</v>
      </c>
      <c r="BM400" s="770">
        <f>IF(WWWW[[#This Row],['# people reached by regular dedicated hygiene promotion]]&gt;WWWW[[#This Row],['# People received regular supply of hygiene items]],WWWW[[#This Row],['# people reached by regular dedicated hygiene promotion]],WWWW[[#This Row],['# People received regular supply of hygiene items]])</f>
        <v>20</v>
      </c>
      <c r="BN400" s="476">
        <f>IF(WWWW[[#This Row],[HRP3]]/WWWW[[#This Row],[Total PoP ]]&gt;100%,100%,WWWW[[#This Row],[HRP3]]/WWWW[[#This Row],[Total PoP ]])</f>
        <v>0.13513513513513514</v>
      </c>
      <c r="BO400" s="771">
        <f>1-WWWW[[#This Row],[Hygiene Coverage%]]</f>
        <v>0.86486486486486491</v>
      </c>
      <c r="BP400" s="769">
        <f>WWWW[[#This Row],['# people reached by regular dedicated hygiene promotion]]/WWWW[[#This Row],[Total PoP ]]</f>
        <v>0.13513513513513514</v>
      </c>
      <c r="BQ400"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0" s="770">
        <f>WWWW[[#This Row],['#_of_affected_women_and_girls_receiving_a_sufficient_quantity_of_sanitary_pads]]</f>
        <v>0</v>
      </c>
      <c r="BS400" s="773">
        <f>IF(WWWW[[#This Row],['# People with access to soap]]&gt;WWWW[[#This Row],['# People with access to Sanity Pads]],WWWW[[#This Row],['# People with access to soap]],WWWW[[#This Row],['# People with access to Sanity Pads]])</f>
        <v>0</v>
      </c>
      <c r="BT400" s="772" t="str">
        <f>IF(OR(WWWW[[#This Row],['#of students in school]]="",WWWW[[#This Row],['#of students in school]]=0),"No","Yes")</f>
        <v>No</v>
      </c>
      <c r="BU400" s="480" t="str">
        <f>VLOOKUP(WWWW[[#This Row],[Village  Name]],SiteDB6[[Site Name]:[Location Type 1]],9,FALSE)</f>
        <v>Village</v>
      </c>
      <c r="BV400" s="480" t="str">
        <f>VLOOKUP(WWWW[[#This Row],[Village  Name]],SiteDB6[[Site Name]:[Type of Accommodation]],10,FALSE)</f>
        <v>Village</v>
      </c>
      <c r="BW400" s="480">
        <f>VLOOKUP(WWWW[[#This Row],[Village  Name]],SiteDB6[[Site Name]:[Ethnic or GCA/NGCA]],11,FALSE)</f>
        <v>0</v>
      </c>
      <c r="BX400" s="480">
        <f>VLOOKUP(WWWW[[#This Row],[Village  Name]],SiteDB6[[Site Name]:[Lat]],12,FALSE)</f>
        <v>0</v>
      </c>
      <c r="BY400" s="480">
        <f>VLOOKUP(WWWW[[#This Row],[Village  Name]],SiteDB6[[Site Name]:[Long]],13,FALSE)</f>
        <v>0</v>
      </c>
      <c r="BZ400" s="480">
        <f>VLOOKUP(WWWW[[#This Row],[Village  Name]],SiteDB6[[Site Name]:[Pcode]],3,FALSE)</f>
        <v>0</v>
      </c>
      <c r="CA400" s="480" t="str">
        <f t="shared" si="24"/>
        <v>Covered</v>
      </c>
      <c r="CB400" s="505"/>
    </row>
    <row r="401" spans="1:80">
      <c r="A401" s="774" t="s">
        <v>3199</v>
      </c>
      <c r="B401" s="774" t="s">
        <v>2812</v>
      </c>
      <c r="C401" s="703" t="s">
        <v>2812</v>
      </c>
      <c r="D401" s="415" t="s">
        <v>3176</v>
      </c>
      <c r="E401" s="415" t="s">
        <v>36</v>
      </c>
      <c r="F401" s="415" t="s">
        <v>132</v>
      </c>
      <c r="G401" s="705" t="str">
        <f>VLOOKUP(WWWW[[#This Row],[Village  Name]],SiteDB6[[Site Name]:[Location Type]],8,FALSE)</f>
        <v>Village</v>
      </c>
      <c r="H401" s="415" t="s">
        <v>3188</v>
      </c>
      <c r="I401" s="773">
        <v>47</v>
      </c>
      <c r="J401" s="773">
        <v>233</v>
      </c>
      <c r="K401" s="418">
        <v>43081</v>
      </c>
      <c r="L401" s="55">
        <v>44104</v>
      </c>
      <c r="M401" s="773"/>
      <c r="N401" s="773"/>
      <c r="O401" s="773"/>
      <c r="P401" s="773"/>
      <c r="Q401" s="773"/>
      <c r="R401" s="773"/>
      <c r="S401" s="773"/>
      <c r="T401" s="773"/>
      <c r="U401" s="551"/>
      <c r="V401" s="773"/>
      <c r="W401" s="773"/>
      <c r="X401" s="773"/>
      <c r="Y401" s="773"/>
      <c r="Z401" s="773"/>
      <c r="AA401" s="773"/>
      <c r="AB401" s="773"/>
      <c r="AC401" s="551"/>
      <c r="AD401" s="773">
        <v>1</v>
      </c>
      <c r="AE401" s="773">
        <v>21</v>
      </c>
      <c r="AF401" s="773"/>
      <c r="AG401" s="773"/>
      <c r="AH401" s="773"/>
      <c r="AI401" s="773"/>
      <c r="AJ401" s="773"/>
      <c r="AK401" s="773"/>
      <c r="AL401" s="773"/>
      <c r="AM401" s="773"/>
      <c r="AN401" s="551"/>
      <c r="AO401" s="769"/>
      <c r="AP401" s="769"/>
      <c r="AQ401" s="773"/>
      <c r="AR401" s="773"/>
      <c r="AS401" s="773"/>
      <c r="AT401"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01" s="772">
        <f>WWWW[[#This Row],[%Equitable and continuous access to sufficient quantity of safe drinking water]]*WWWW[[#This Row],[Total PoP ]]</f>
        <v>0</v>
      </c>
      <c r="AV401"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1" s="772">
        <f>WWWW[[#This Row],[% Access to unimproved water points]]*WWWW[[#This Row],[Total PoP ]]</f>
        <v>0</v>
      </c>
      <c r="AX401"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01"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01" s="772">
        <f>WWWW[[#This Row],[HRP1]]/250</f>
        <v>0</v>
      </c>
      <c r="BA401" s="476">
        <f>1-WWWW[[#This Row],[% Equitable and continuous access to sufficient quantity of domestic water]]</f>
        <v>1</v>
      </c>
      <c r="BB401" s="772">
        <f>WWWW[[#This Row],[%equitable and continuous access to sufficient quantity of safe drinking and domestic water''s GAP]]*WWWW[[#This Row],[Total PoP ]]</f>
        <v>233</v>
      </c>
      <c r="BC401" s="770">
        <f>IF(WWWW[[#This Row],[Total required water points]]-WWWW[[#This Row],['#Water points coverage]]&lt;0,0,WWWW[[#This Row],[Total required water points]]-WWWW[[#This Row],['#Water points coverage]])</f>
        <v>1</v>
      </c>
      <c r="BD401" s="770">
        <f>ROUND(IF(WWWW[[#This Row],[Total PoP ]]&lt;250,1,WWWW[[#This Row],[Total PoP ]]/250),0)</f>
        <v>1</v>
      </c>
      <c r="BE401"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401" s="772">
        <f>WWWW[[#This Row],[% people access to functioning Latrine]]*WWWW[[#This Row],[Total PoP ]]</f>
        <v>0</v>
      </c>
      <c r="BG401" s="770">
        <f>WWWW[[#This Row],['#_of_Functioning_latrines_in_school]]*50</f>
        <v>0</v>
      </c>
      <c r="BH401" s="770">
        <f>ROUND((WWWW[[#This Row],[Total PoP ]]/6),0)</f>
        <v>39</v>
      </c>
      <c r="BI401" s="770">
        <f>IF(WWWW[[#This Row],[Total required Latrines]]-(WWWW[[#This Row],['#_of_sanitary_fly-proof_HH_latrines]])&lt;0,0,WWWW[[#This Row],[Total required Latrines]]-(WWWW[[#This Row],['#_of_sanitary_fly-proof_HH_latrines]]))</f>
        <v>39</v>
      </c>
      <c r="BJ401" s="771">
        <f>1-WWWW[[#This Row],[% people access to functioning Latrine]]</f>
        <v>1</v>
      </c>
      <c r="BK401"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22</v>
      </c>
      <c r="BL401" s="772">
        <f>IF(WWWW[[#This Row],['#_of_functional_handwashing_facilities_at_HH_level]]*6&gt;WWWW[[#This Row],[Total PoP ]],WWWW[[#This Row],[Total PoP ]],WWWW[[#This Row],['#_of_functional_handwashing_facilities_at_HH_level]]*6)</f>
        <v>0</v>
      </c>
      <c r="BM401" s="770">
        <f>IF(WWWW[[#This Row],['# people reached by regular dedicated hygiene promotion]]&gt;WWWW[[#This Row],['# People received regular supply of hygiene items]],WWWW[[#This Row],['# people reached by regular dedicated hygiene promotion]],WWWW[[#This Row],['# People received regular supply of hygiene items]])</f>
        <v>22</v>
      </c>
      <c r="BN401" s="476">
        <f>IF(WWWW[[#This Row],[HRP3]]/WWWW[[#This Row],[Total PoP ]]&gt;100%,100%,WWWW[[#This Row],[HRP3]]/WWWW[[#This Row],[Total PoP ]])</f>
        <v>9.4420600858369105E-2</v>
      </c>
      <c r="BO401" s="771">
        <f>1-WWWW[[#This Row],[Hygiene Coverage%]]</f>
        <v>0.90557939914163088</v>
      </c>
      <c r="BP401" s="769">
        <f>WWWW[[#This Row],['# people reached by regular dedicated hygiene promotion]]/WWWW[[#This Row],[Total PoP ]]</f>
        <v>9.4420600858369105E-2</v>
      </c>
      <c r="BQ401"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1" s="770">
        <f>WWWW[[#This Row],['#_of_affected_women_and_girls_receiving_a_sufficient_quantity_of_sanitary_pads]]</f>
        <v>0</v>
      </c>
      <c r="BS401" s="773">
        <f>IF(WWWW[[#This Row],['# People with access to soap]]&gt;WWWW[[#This Row],['# People with access to Sanity Pads]],WWWW[[#This Row],['# People with access to soap]],WWWW[[#This Row],['# People with access to Sanity Pads]])</f>
        <v>0</v>
      </c>
      <c r="BT401" s="772" t="str">
        <f>IF(OR(WWWW[[#This Row],['#of students in school]]="",WWWW[[#This Row],['#of students in school]]=0),"No","Yes")</f>
        <v>No</v>
      </c>
      <c r="BU401" s="480" t="str">
        <f>VLOOKUP(WWWW[[#This Row],[Village  Name]],SiteDB6[[Site Name]:[Location Type 1]],9,FALSE)</f>
        <v>Village</v>
      </c>
      <c r="BV401" s="480" t="str">
        <f>VLOOKUP(WWWW[[#This Row],[Village  Name]],SiteDB6[[Site Name]:[Type of Accommodation]],10,FALSE)</f>
        <v>Village</v>
      </c>
      <c r="BW401" s="480">
        <f>VLOOKUP(WWWW[[#This Row],[Village  Name]],SiteDB6[[Site Name]:[Ethnic or GCA/NGCA]],11,FALSE)</f>
        <v>0</v>
      </c>
      <c r="BX401" s="480">
        <f>VLOOKUP(WWWW[[#This Row],[Village  Name]],SiteDB6[[Site Name]:[Lat]],12,FALSE)</f>
        <v>0</v>
      </c>
      <c r="BY401" s="480">
        <f>VLOOKUP(WWWW[[#This Row],[Village  Name]],SiteDB6[[Site Name]:[Long]],13,FALSE)</f>
        <v>0</v>
      </c>
      <c r="BZ401" s="480">
        <f>VLOOKUP(WWWW[[#This Row],[Village  Name]],SiteDB6[[Site Name]:[Pcode]],3,FALSE)</f>
        <v>0</v>
      </c>
      <c r="CA401" s="480" t="str">
        <f t="shared" si="24"/>
        <v>Covered</v>
      </c>
      <c r="CB401" s="505"/>
    </row>
    <row r="402" spans="1:80">
      <c r="A402" s="774" t="s">
        <v>3199</v>
      </c>
      <c r="B402" s="774" t="s">
        <v>2812</v>
      </c>
      <c r="C402" s="703" t="s">
        <v>2812</v>
      </c>
      <c r="D402" s="415" t="s">
        <v>3176</v>
      </c>
      <c r="E402" s="415" t="s">
        <v>36</v>
      </c>
      <c r="F402" s="415" t="s">
        <v>132</v>
      </c>
      <c r="G402" s="705" t="str">
        <f>VLOOKUP(WWWW[[#This Row],[Village  Name]],SiteDB6[[Site Name]:[Location Type]],8,FALSE)</f>
        <v>Village</v>
      </c>
      <c r="H402" s="415" t="s">
        <v>3189</v>
      </c>
      <c r="I402" s="773">
        <v>123</v>
      </c>
      <c r="J402" s="773">
        <v>732</v>
      </c>
      <c r="K402" s="418">
        <v>43081</v>
      </c>
      <c r="L402" s="55">
        <v>44104</v>
      </c>
      <c r="M402" s="773"/>
      <c r="N402" s="773"/>
      <c r="O402" s="773"/>
      <c r="P402" s="773"/>
      <c r="Q402" s="773"/>
      <c r="R402" s="773"/>
      <c r="S402" s="773"/>
      <c r="T402" s="773"/>
      <c r="U402" s="551"/>
      <c r="V402" s="773"/>
      <c r="W402" s="773"/>
      <c r="X402" s="773"/>
      <c r="Y402" s="773"/>
      <c r="Z402" s="773"/>
      <c r="AA402" s="773"/>
      <c r="AB402" s="773"/>
      <c r="AC402" s="551"/>
      <c r="AD402" s="773">
        <v>20</v>
      </c>
      <c r="AE402" s="773">
        <v>40</v>
      </c>
      <c r="AF402" s="773"/>
      <c r="AG402" s="773"/>
      <c r="AH402" s="773"/>
      <c r="AI402" s="773"/>
      <c r="AJ402" s="773"/>
      <c r="AK402" s="773"/>
      <c r="AL402" s="773"/>
      <c r="AM402" s="773"/>
      <c r="AN402" s="551"/>
      <c r="AO402" s="769"/>
      <c r="AP402" s="769"/>
      <c r="AQ402" s="773"/>
      <c r="AR402" s="773"/>
      <c r="AS402" s="773"/>
      <c r="AT402"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02" s="772">
        <f>WWWW[[#This Row],[%Equitable and continuous access to sufficient quantity of safe drinking water]]*WWWW[[#This Row],[Total PoP ]]</f>
        <v>0</v>
      </c>
      <c r="AV402"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2" s="772">
        <f>WWWW[[#This Row],[% Access to unimproved water points]]*WWWW[[#This Row],[Total PoP ]]</f>
        <v>0</v>
      </c>
      <c r="AX402"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02"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02" s="772">
        <f>WWWW[[#This Row],[HRP1]]/250</f>
        <v>0</v>
      </c>
      <c r="BA402" s="476">
        <f>1-WWWW[[#This Row],[% Equitable and continuous access to sufficient quantity of domestic water]]</f>
        <v>1</v>
      </c>
      <c r="BB402" s="772">
        <f>WWWW[[#This Row],[%equitable and continuous access to sufficient quantity of safe drinking and domestic water''s GAP]]*WWWW[[#This Row],[Total PoP ]]</f>
        <v>732</v>
      </c>
      <c r="BC402" s="770">
        <f>IF(WWWW[[#This Row],[Total required water points]]-WWWW[[#This Row],['#Water points coverage]]&lt;0,0,WWWW[[#This Row],[Total required water points]]-WWWW[[#This Row],['#Water points coverage]])</f>
        <v>3</v>
      </c>
      <c r="BD402" s="770">
        <f>ROUND(IF(WWWW[[#This Row],[Total PoP ]]&lt;250,1,WWWW[[#This Row],[Total PoP ]]/250),0)</f>
        <v>3</v>
      </c>
      <c r="BE402"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402" s="772">
        <f>WWWW[[#This Row],[% people access to functioning Latrine]]*WWWW[[#This Row],[Total PoP ]]</f>
        <v>0</v>
      </c>
      <c r="BG402" s="770">
        <f>WWWW[[#This Row],['#_of_Functioning_latrines_in_school]]*50</f>
        <v>0</v>
      </c>
      <c r="BH402" s="770">
        <f>ROUND((WWWW[[#This Row],[Total PoP ]]/6),0)</f>
        <v>122</v>
      </c>
      <c r="BI402" s="770">
        <f>IF(WWWW[[#This Row],[Total required Latrines]]-(WWWW[[#This Row],['#_of_sanitary_fly-proof_HH_latrines]])&lt;0,0,WWWW[[#This Row],[Total required Latrines]]-(WWWW[[#This Row],['#_of_sanitary_fly-proof_HH_latrines]]))</f>
        <v>122</v>
      </c>
      <c r="BJ402" s="771">
        <f>1-WWWW[[#This Row],[% people access to functioning Latrine]]</f>
        <v>1</v>
      </c>
      <c r="BK402"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60</v>
      </c>
      <c r="BL402" s="772">
        <f>IF(WWWW[[#This Row],['#_of_functional_handwashing_facilities_at_HH_level]]*6&gt;WWWW[[#This Row],[Total PoP ]],WWWW[[#This Row],[Total PoP ]],WWWW[[#This Row],['#_of_functional_handwashing_facilities_at_HH_level]]*6)</f>
        <v>0</v>
      </c>
      <c r="BM402" s="770">
        <f>IF(WWWW[[#This Row],['# people reached by regular dedicated hygiene promotion]]&gt;WWWW[[#This Row],['# People received regular supply of hygiene items]],WWWW[[#This Row],['# people reached by regular dedicated hygiene promotion]],WWWW[[#This Row],['# People received regular supply of hygiene items]])</f>
        <v>60</v>
      </c>
      <c r="BN402" s="476">
        <f>IF(WWWW[[#This Row],[HRP3]]/WWWW[[#This Row],[Total PoP ]]&gt;100%,100%,WWWW[[#This Row],[HRP3]]/WWWW[[#This Row],[Total PoP ]])</f>
        <v>8.1967213114754092E-2</v>
      </c>
      <c r="BO402" s="771">
        <f>1-WWWW[[#This Row],[Hygiene Coverage%]]</f>
        <v>0.91803278688524592</v>
      </c>
      <c r="BP402" s="769">
        <f>WWWW[[#This Row],['# people reached by regular dedicated hygiene promotion]]/WWWW[[#This Row],[Total PoP ]]</f>
        <v>8.1967213114754092E-2</v>
      </c>
      <c r="BQ402"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2" s="770">
        <f>WWWW[[#This Row],['#_of_affected_women_and_girls_receiving_a_sufficient_quantity_of_sanitary_pads]]</f>
        <v>0</v>
      </c>
      <c r="BS402" s="773">
        <f>IF(WWWW[[#This Row],['# People with access to soap]]&gt;WWWW[[#This Row],['# People with access to Sanity Pads]],WWWW[[#This Row],['# People with access to soap]],WWWW[[#This Row],['# People with access to Sanity Pads]])</f>
        <v>0</v>
      </c>
      <c r="BT402" s="772" t="str">
        <f>IF(OR(WWWW[[#This Row],['#of students in school]]="",WWWW[[#This Row],['#of students in school]]=0),"No","Yes")</f>
        <v>No</v>
      </c>
      <c r="BU402" s="480" t="str">
        <f>VLOOKUP(WWWW[[#This Row],[Village  Name]],SiteDB6[[Site Name]:[Location Type 1]],9,FALSE)</f>
        <v>Village</v>
      </c>
      <c r="BV402" s="480" t="str">
        <f>VLOOKUP(WWWW[[#This Row],[Village  Name]],SiteDB6[[Site Name]:[Type of Accommodation]],10,FALSE)</f>
        <v>Village</v>
      </c>
      <c r="BW402" s="480">
        <f>VLOOKUP(WWWW[[#This Row],[Village  Name]],SiteDB6[[Site Name]:[Ethnic or GCA/NGCA]],11,FALSE)</f>
        <v>0</v>
      </c>
      <c r="BX402" s="480">
        <f>VLOOKUP(WWWW[[#This Row],[Village  Name]],SiteDB6[[Site Name]:[Lat]],12,FALSE)</f>
        <v>0</v>
      </c>
      <c r="BY402" s="480">
        <f>VLOOKUP(WWWW[[#This Row],[Village  Name]],SiteDB6[[Site Name]:[Long]],13,FALSE)</f>
        <v>0</v>
      </c>
      <c r="BZ402" s="480">
        <f>VLOOKUP(WWWW[[#This Row],[Village  Name]],SiteDB6[[Site Name]:[Pcode]],3,FALSE)</f>
        <v>0</v>
      </c>
      <c r="CA402" s="480" t="str">
        <f t="shared" si="24"/>
        <v>Covered</v>
      </c>
      <c r="CB402" s="505"/>
    </row>
    <row r="403" spans="1:80">
      <c r="A403" s="774" t="s">
        <v>3199</v>
      </c>
      <c r="B403" s="774" t="s">
        <v>2812</v>
      </c>
      <c r="C403" s="703" t="s">
        <v>2812</v>
      </c>
      <c r="D403" s="415" t="s">
        <v>3176</v>
      </c>
      <c r="E403" s="415" t="s">
        <v>36</v>
      </c>
      <c r="F403" s="415" t="s">
        <v>132</v>
      </c>
      <c r="G403" s="705" t="str">
        <f>VLOOKUP(WWWW[[#This Row],[Village  Name]],SiteDB6[[Site Name]:[Location Type]],8,FALSE)</f>
        <v>Village</v>
      </c>
      <c r="H403" s="415" t="s">
        <v>3190</v>
      </c>
      <c r="I403" s="773">
        <v>55</v>
      </c>
      <c r="J403" s="773">
        <v>332</v>
      </c>
      <c r="K403" s="418">
        <v>43081</v>
      </c>
      <c r="L403" s="55">
        <v>44104</v>
      </c>
      <c r="M403" s="773"/>
      <c r="N403" s="773"/>
      <c r="O403" s="773"/>
      <c r="P403" s="773"/>
      <c r="Q403" s="773"/>
      <c r="R403" s="773"/>
      <c r="S403" s="773"/>
      <c r="T403" s="773"/>
      <c r="U403" s="551"/>
      <c r="V403" s="773"/>
      <c r="W403" s="773"/>
      <c r="X403" s="773">
        <v>2</v>
      </c>
      <c r="Y403" s="773"/>
      <c r="Z403" s="773"/>
      <c r="AA403" s="773"/>
      <c r="AB403" s="773"/>
      <c r="AC403" s="551"/>
      <c r="AD403" s="773"/>
      <c r="AE403" s="773"/>
      <c r="AF403" s="773"/>
      <c r="AG403" s="773"/>
      <c r="AH403" s="773"/>
      <c r="AI403" s="773"/>
      <c r="AJ403" s="773"/>
      <c r="AK403" s="773"/>
      <c r="AL403" s="773"/>
      <c r="AM403" s="773"/>
      <c r="AN403" s="551"/>
      <c r="AO403" s="769"/>
      <c r="AP403" s="769"/>
      <c r="AQ403" s="773"/>
      <c r="AR403" s="773"/>
      <c r="AS403" s="773"/>
      <c r="AT403"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03" s="772">
        <f>WWWW[[#This Row],[%Equitable and continuous access to sufficient quantity of safe drinking water]]*WWWW[[#This Row],[Total PoP ]]</f>
        <v>0</v>
      </c>
      <c r="AV403"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3" s="772">
        <f>WWWW[[#This Row],[% Access to unimproved water points]]*WWWW[[#This Row],[Total PoP ]]</f>
        <v>0</v>
      </c>
      <c r="AX403"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03"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03" s="772">
        <f>WWWW[[#This Row],[HRP1]]/250</f>
        <v>0</v>
      </c>
      <c r="BA403" s="476">
        <f>1-WWWW[[#This Row],[% Equitable and continuous access to sufficient quantity of domestic water]]</f>
        <v>1</v>
      </c>
      <c r="BB403" s="772">
        <f>WWWW[[#This Row],[%equitable and continuous access to sufficient quantity of safe drinking and domestic water''s GAP]]*WWWW[[#This Row],[Total PoP ]]</f>
        <v>332</v>
      </c>
      <c r="BC403" s="770">
        <f>IF(WWWW[[#This Row],[Total required water points]]-WWWW[[#This Row],['#Water points coverage]]&lt;0,0,WWWW[[#This Row],[Total required water points]]-WWWW[[#This Row],['#Water points coverage]])</f>
        <v>1</v>
      </c>
      <c r="BD403" s="770">
        <f>ROUND(IF(WWWW[[#This Row],[Total PoP ]]&lt;250,1,WWWW[[#This Row],[Total PoP ]]/250),0)</f>
        <v>1</v>
      </c>
      <c r="BE403"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403" s="772">
        <f>WWWW[[#This Row],[% people access to functioning Latrine]]*WWWW[[#This Row],[Total PoP ]]</f>
        <v>0</v>
      </c>
      <c r="BG403" s="770">
        <f>WWWW[[#This Row],['#_of_Functioning_latrines_in_school]]*50</f>
        <v>100</v>
      </c>
      <c r="BH403" s="770">
        <f>ROUND((WWWW[[#This Row],[Total PoP ]]/6),0)</f>
        <v>55</v>
      </c>
      <c r="BI403" s="770">
        <f>IF(WWWW[[#This Row],[Total required Latrines]]-(WWWW[[#This Row],['#_of_sanitary_fly-proof_HH_latrines]])&lt;0,0,WWWW[[#This Row],[Total required Latrines]]-(WWWW[[#This Row],['#_of_sanitary_fly-proof_HH_latrines]]))</f>
        <v>55</v>
      </c>
      <c r="BJ403" s="771">
        <f>1-WWWW[[#This Row],[% people access to functioning Latrine]]</f>
        <v>1</v>
      </c>
      <c r="BK403"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03" s="772">
        <f>IF(WWWW[[#This Row],['#_of_functional_handwashing_facilities_at_HH_level]]*6&gt;WWWW[[#This Row],[Total PoP ]],WWWW[[#This Row],[Total PoP ]],WWWW[[#This Row],['#_of_functional_handwashing_facilities_at_HH_level]]*6)</f>
        <v>0</v>
      </c>
      <c r="BM403" s="770">
        <f>IF(WWWW[[#This Row],['# people reached by regular dedicated hygiene promotion]]&gt;WWWW[[#This Row],['# People received regular supply of hygiene items]],WWWW[[#This Row],['# people reached by regular dedicated hygiene promotion]],WWWW[[#This Row],['# People received regular supply of hygiene items]])</f>
        <v>0</v>
      </c>
      <c r="BN403" s="476">
        <f>IF(WWWW[[#This Row],[HRP3]]/WWWW[[#This Row],[Total PoP ]]&gt;100%,100%,WWWW[[#This Row],[HRP3]]/WWWW[[#This Row],[Total PoP ]])</f>
        <v>0</v>
      </c>
      <c r="BO403" s="771">
        <f>1-WWWW[[#This Row],[Hygiene Coverage%]]</f>
        <v>1</v>
      </c>
      <c r="BP403" s="769">
        <f>WWWW[[#This Row],['# people reached by regular dedicated hygiene promotion]]/WWWW[[#This Row],[Total PoP ]]</f>
        <v>0</v>
      </c>
      <c r="BQ403"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3" s="770">
        <f>WWWW[[#This Row],['#_of_affected_women_and_girls_receiving_a_sufficient_quantity_of_sanitary_pads]]</f>
        <v>0</v>
      </c>
      <c r="BS403" s="773">
        <f>IF(WWWW[[#This Row],['# People with access to soap]]&gt;WWWW[[#This Row],['# People with access to Sanity Pads]],WWWW[[#This Row],['# People with access to soap]],WWWW[[#This Row],['# People with access to Sanity Pads]])</f>
        <v>0</v>
      </c>
      <c r="BT403" s="772" t="str">
        <f>IF(OR(WWWW[[#This Row],['#of students in school]]="",WWWW[[#This Row],['#of students in school]]=0),"No","Yes")</f>
        <v>No</v>
      </c>
      <c r="BU403" s="480" t="str">
        <f>VLOOKUP(WWWW[[#This Row],[Village  Name]],SiteDB6[[Site Name]:[Location Type 1]],9,FALSE)</f>
        <v>Village</v>
      </c>
      <c r="BV403" s="480" t="str">
        <f>VLOOKUP(WWWW[[#This Row],[Village  Name]],SiteDB6[[Site Name]:[Type of Accommodation]],10,FALSE)</f>
        <v>Village</v>
      </c>
      <c r="BW403" s="480">
        <f>VLOOKUP(WWWW[[#This Row],[Village  Name]],SiteDB6[[Site Name]:[Ethnic or GCA/NGCA]],11,FALSE)</f>
        <v>0</v>
      </c>
      <c r="BX403" s="480">
        <f>VLOOKUP(WWWW[[#This Row],[Village  Name]],SiteDB6[[Site Name]:[Lat]],12,FALSE)</f>
        <v>0</v>
      </c>
      <c r="BY403" s="480">
        <f>VLOOKUP(WWWW[[#This Row],[Village  Name]],SiteDB6[[Site Name]:[Long]],13,FALSE)</f>
        <v>0</v>
      </c>
      <c r="BZ403" s="480">
        <f>VLOOKUP(WWWW[[#This Row],[Village  Name]],SiteDB6[[Site Name]:[Pcode]],3,FALSE)</f>
        <v>0</v>
      </c>
      <c r="CA403" s="480" t="str">
        <f t="shared" si="24"/>
        <v>Covered</v>
      </c>
      <c r="CB403" s="505"/>
    </row>
    <row r="404" spans="1:80">
      <c r="A404" s="774" t="s">
        <v>3199</v>
      </c>
      <c r="B404" s="774" t="s">
        <v>2812</v>
      </c>
      <c r="C404" s="703" t="s">
        <v>2812</v>
      </c>
      <c r="D404" s="415" t="s">
        <v>3176</v>
      </c>
      <c r="E404" s="415" t="s">
        <v>36</v>
      </c>
      <c r="F404" s="415" t="s">
        <v>132</v>
      </c>
      <c r="G404" s="705" t="str">
        <f>VLOOKUP(WWWW[[#This Row],[Village  Name]],SiteDB6[[Site Name]:[Location Type]],8,FALSE)</f>
        <v>Village</v>
      </c>
      <c r="H404" s="415" t="s">
        <v>3191</v>
      </c>
      <c r="I404" s="773">
        <v>114</v>
      </c>
      <c r="J404" s="773">
        <v>350</v>
      </c>
      <c r="K404" s="418">
        <v>43476</v>
      </c>
      <c r="L404" s="55">
        <v>44104</v>
      </c>
      <c r="M404" s="773"/>
      <c r="N404" s="773"/>
      <c r="O404" s="773"/>
      <c r="P404" s="773"/>
      <c r="Q404" s="773"/>
      <c r="R404" s="773"/>
      <c r="S404" s="773"/>
      <c r="T404" s="773"/>
      <c r="U404" s="551"/>
      <c r="V404" s="773"/>
      <c r="W404" s="773"/>
      <c r="X404" s="773"/>
      <c r="Y404" s="773"/>
      <c r="Z404" s="773"/>
      <c r="AA404" s="773"/>
      <c r="AB404" s="773"/>
      <c r="AC404" s="551"/>
      <c r="AD404" s="773"/>
      <c r="AE404" s="773"/>
      <c r="AF404" s="773"/>
      <c r="AG404" s="773"/>
      <c r="AH404" s="773"/>
      <c r="AI404" s="773"/>
      <c r="AJ404" s="773"/>
      <c r="AK404" s="773"/>
      <c r="AL404" s="773"/>
      <c r="AM404" s="773"/>
      <c r="AN404" s="551"/>
      <c r="AO404" s="769"/>
      <c r="AP404" s="769"/>
      <c r="AQ404" s="773"/>
      <c r="AR404" s="773"/>
      <c r="AS404" s="773"/>
      <c r="AT404"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04" s="772">
        <f>WWWW[[#This Row],[%Equitable and continuous access to sufficient quantity of safe drinking water]]*WWWW[[#This Row],[Total PoP ]]</f>
        <v>0</v>
      </c>
      <c r="AV404"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4" s="772">
        <f>WWWW[[#This Row],[% Access to unimproved water points]]*WWWW[[#This Row],[Total PoP ]]</f>
        <v>0</v>
      </c>
      <c r="AX404"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04"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04" s="772">
        <f>WWWW[[#This Row],[HRP1]]/250</f>
        <v>0</v>
      </c>
      <c r="BA404" s="476">
        <f>1-WWWW[[#This Row],[% Equitable and continuous access to sufficient quantity of domestic water]]</f>
        <v>1</v>
      </c>
      <c r="BB404" s="772">
        <f>WWWW[[#This Row],[%equitable and continuous access to sufficient quantity of safe drinking and domestic water''s GAP]]*WWWW[[#This Row],[Total PoP ]]</f>
        <v>350</v>
      </c>
      <c r="BC404" s="770">
        <f>IF(WWWW[[#This Row],[Total required water points]]-WWWW[[#This Row],['#Water points coverage]]&lt;0,0,WWWW[[#This Row],[Total required water points]]-WWWW[[#This Row],['#Water points coverage]])</f>
        <v>1</v>
      </c>
      <c r="BD404" s="770">
        <f>ROUND(IF(WWWW[[#This Row],[Total PoP ]]&lt;250,1,WWWW[[#This Row],[Total PoP ]]/250),0)</f>
        <v>1</v>
      </c>
      <c r="BE404"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404" s="772">
        <f>WWWW[[#This Row],[% people access to functioning Latrine]]*WWWW[[#This Row],[Total PoP ]]</f>
        <v>0</v>
      </c>
      <c r="BG404" s="770">
        <f>WWWW[[#This Row],['#_of_Functioning_latrines_in_school]]*50</f>
        <v>0</v>
      </c>
      <c r="BH404" s="770">
        <f>ROUND((WWWW[[#This Row],[Total PoP ]]/6),0)</f>
        <v>58</v>
      </c>
      <c r="BI404" s="770">
        <f>IF(WWWW[[#This Row],[Total required Latrines]]-(WWWW[[#This Row],['#_of_sanitary_fly-proof_HH_latrines]])&lt;0,0,WWWW[[#This Row],[Total required Latrines]]-(WWWW[[#This Row],['#_of_sanitary_fly-proof_HH_latrines]]))</f>
        <v>58</v>
      </c>
      <c r="BJ404" s="771">
        <f>1-WWWW[[#This Row],[% people access to functioning Latrine]]</f>
        <v>1</v>
      </c>
      <c r="BK404"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04" s="772">
        <f>IF(WWWW[[#This Row],['#_of_functional_handwashing_facilities_at_HH_level]]*6&gt;WWWW[[#This Row],[Total PoP ]],WWWW[[#This Row],[Total PoP ]],WWWW[[#This Row],['#_of_functional_handwashing_facilities_at_HH_level]]*6)</f>
        <v>0</v>
      </c>
      <c r="BM404" s="770">
        <f>IF(WWWW[[#This Row],['# people reached by regular dedicated hygiene promotion]]&gt;WWWW[[#This Row],['# People received regular supply of hygiene items]],WWWW[[#This Row],['# people reached by regular dedicated hygiene promotion]],WWWW[[#This Row],['# People received regular supply of hygiene items]])</f>
        <v>0</v>
      </c>
      <c r="BN404" s="476">
        <f>IF(WWWW[[#This Row],[HRP3]]/WWWW[[#This Row],[Total PoP ]]&gt;100%,100%,WWWW[[#This Row],[HRP3]]/WWWW[[#This Row],[Total PoP ]])</f>
        <v>0</v>
      </c>
      <c r="BO404" s="771">
        <f>1-WWWW[[#This Row],[Hygiene Coverage%]]</f>
        <v>1</v>
      </c>
      <c r="BP404" s="769">
        <f>WWWW[[#This Row],['# people reached by regular dedicated hygiene promotion]]/WWWW[[#This Row],[Total PoP ]]</f>
        <v>0</v>
      </c>
      <c r="BQ404"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4" s="770">
        <f>WWWW[[#This Row],['#_of_affected_women_and_girls_receiving_a_sufficient_quantity_of_sanitary_pads]]</f>
        <v>0</v>
      </c>
      <c r="BS404" s="773">
        <f>IF(WWWW[[#This Row],['# People with access to soap]]&gt;WWWW[[#This Row],['# People with access to Sanity Pads]],WWWW[[#This Row],['# People with access to soap]],WWWW[[#This Row],['# People with access to Sanity Pads]])</f>
        <v>0</v>
      </c>
      <c r="BT404" s="772" t="str">
        <f>IF(OR(WWWW[[#This Row],['#of students in school]]="",WWWW[[#This Row],['#of students in school]]=0),"No","Yes")</f>
        <v>No</v>
      </c>
      <c r="BU404" s="480" t="str">
        <f>VLOOKUP(WWWW[[#This Row],[Village  Name]],SiteDB6[[Site Name]:[Location Type 1]],9,FALSE)</f>
        <v>Village</v>
      </c>
      <c r="BV404" s="480" t="str">
        <f>VLOOKUP(WWWW[[#This Row],[Village  Name]],SiteDB6[[Site Name]:[Type of Accommodation]],10,FALSE)</f>
        <v>Village</v>
      </c>
      <c r="BW404" s="480">
        <f>VLOOKUP(WWWW[[#This Row],[Village  Name]],SiteDB6[[Site Name]:[Ethnic or GCA/NGCA]],11,FALSE)</f>
        <v>0</v>
      </c>
      <c r="BX404" s="480">
        <f>VLOOKUP(WWWW[[#This Row],[Village  Name]],SiteDB6[[Site Name]:[Lat]],12,FALSE)</f>
        <v>0</v>
      </c>
      <c r="BY404" s="480">
        <f>VLOOKUP(WWWW[[#This Row],[Village  Name]],SiteDB6[[Site Name]:[Long]],13,FALSE)</f>
        <v>0</v>
      </c>
      <c r="BZ404" s="480">
        <f>VLOOKUP(WWWW[[#This Row],[Village  Name]],SiteDB6[[Site Name]:[Pcode]],3,FALSE)</f>
        <v>0</v>
      </c>
      <c r="CA404" s="480" t="str">
        <f t="shared" si="24"/>
        <v>Covered</v>
      </c>
      <c r="CB404" s="505"/>
    </row>
    <row r="405" spans="1:80">
      <c r="A405" s="774" t="s">
        <v>3199</v>
      </c>
      <c r="B405" s="774" t="s">
        <v>2812</v>
      </c>
      <c r="C405" s="703" t="s">
        <v>2812</v>
      </c>
      <c r="D405" s="415" t="s">
        <v>3176</v>
      </c>
      <c r="E405" s="415" t="s">
        <v>36</v>
      </c>
      <c r="F405" s="415" t="s">
        <v>132</v>
      </c>
      <c r="G405" s="705" t="str">
        <f>VLOOKUP(WWWW[[#This Row],[Village  Name]],SiteDB6[[Site Name]:[Location Type]],8,FALSE)</f>
        <v>Village</v>
      </c>
      <c r="H405" s="415" t="s">
        <v>3192</v>
      </c>
      <c r="I405" s="773">
        <v>47</v>
      </c>
      <c r="J405" s="773">
        <v>137</v>
      </c>
      <c r="K405" s="418">
        <v>43476</v>
      </c>
      <c r="L405" s="55">
        <v>44104</v>
      </c>
      <c r="M405" s="773"/>
      <c r="N405" s="773"/>
      <c r="O405" s="773"/>
      <c r="P405" s="773"/>
      <c r="Q405" s="773"/>
      <c r="R405" s="773"/>
      <c r="S405" s="773"/>
      <c r="T405" s="773"/>
      <c r="U405" s="551"/>
      <c r="V405" s="773"/>
      <c r="W405" s="773"/>
      <c r="X405" s="773"/>
      <c r="Y405" s="773"/>
      <c r="Z405" s="773"/>
      <c r="AA405" s="773"/>
      <c r="AB405" s="773"/>
      <c r="AC405" s="551"/>
      <c r="AD405" s="773"/>
      <c r="AE405" s="773"/>
      <c r="AF405" s="773"/>
      <c r="AG405" s="773"/>
      <c r="AH405" s="773"/>
      <c r="AI405" s="773"/>
      <c r="AJ405" s="773"/>
      <c r="AK405" s="773"/>
      <c r="AL405" s="773"/>
      <c r="AM405" s="773"/>
      <c r="AN405" s="551"/>
      <c r="AO405" s="769"/>
      <c r="AP405" s="769"/>
      <c r="AQ405" s="773"/>
      <c r="AR405" s="773"/>
      <c r="AS405" s="773"/>
      <c r="AT405"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05" s="772">
        <f>WWWW[[#This Row],[%Equitable and continuous access to sufficient quantity of safe drinking water]]*WWWW[[#This Row],[Total PoP ]]</f>
        <v>0</v>
      </c>
      <c r="AV405"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5" s="772">
        <f>WWWW[[#This Row],[% Access to unimproved water points]]*WWWW[[#This Row],[Total PoP ]]</f>
        <v>0</v>
      </c>
      <c r="AX405"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05"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05" s="772">
        <f>WWWW[[#This Row],[HRP1]]/250</f>
        <v>0</v>
      </c>
      <c r="BA405" s="476">
        <f>1-WWWW[[#This Row],[% Equitable and continuous access to sufficient quantity of domestic water]]</f>
        <v>1</v>
      </c>
      <c r="BB405" s="772">
        <f>WWWW[[#This Row],[%equitable and continuous access to sufficient quantity of safe drinking and domestic water''s GAP]]*WWWW[[#This Row],[Total PoP ]]</f>
        <v>137</v>
      </c>
      <c r="BC405" s="770">
        <f>IF(WWWW[[#This Row],[Total required water points]]-WWWW[[#This Row],['#Water points coverage]]&lt;0,0,WWWW[[#This Row],[Total required water points]]-WWWW[[#This Row],['#Water points coverage]])</f>
        <v>1</v>
      </c>
      <c r="BD405" s="770">
        <f>ROUND(IF(WWWW[[#This Row],[Total PoP ]]&lt;250,1,WWWW[[#This Row],[Total PoP ]]/250),0)</f>
        <v>1</v>
      </c>
      <c r="BE405"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405" s="772">
        <f>WWWW[[#This Row],[% people access to functioning Latrine]]*WWWW[[#This Row],[Total PoP ]]</f>
        <v>0</v>
      </c>
      <c r="BG405" s="770">
        <f>WWWW[[#This Row],['#_of_Functioning_latrines_in_school]]*50</f>
        <v>0</v>
      </c>
      <c r="BH405" s="770">
        <f>ROUND((WWWW[[#This Row],[Total PoP ]]/6),0)</f>
        <v>23</v>
      </c>
      <c r="BI405" s="770">
        <f>IF(WWWW[[#This Row],[Total required Latrines]]-(WWWW[[#This Row],['#_of_sanitary_fly-proof_HH_latrines]])&lt;0,0,WWWW[[#This Row],[Total required Latrines]]-(WWWW[[#This Row],['#_of_sanitary_fly-proof_HH_latrines]]))</f>
        <v>23</v>
      </c>
      <c r="BJ405" s="771">
        <f>1-WWWW[[#This Row],[% people access to functioning Latrine]]</f>
        <v>1</v>
      </c>
      <c r="BK405"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05" s="772">
        <f>IF(WWWW[[#This Row],['#_of_functional_handwashing_facilities_at_HH_level]]*6&gt;WWWW[[#This Row],[Total PoP ]],WWWW[[#This Row],[Total PoP ]],WWWW[[#This Row],['#_of_functional_handwashing_facilities_at_HH_level]]*6)</f>
        <v>0</v>
      </c>
      <c r="BM405" s="770">
        <f>IF(WWWW[[#This Row],['# people reached by regular dedicated hygiene promotion]]&gt;WWWW[[#This Row],['# People received regular supply of hygiene items]],WWWW[[#This Row],['# people reached by regular dedicated hygiene promotion]],WWWW[[#This Row],['# People received regular supply of hygiene items]])</f>
        <v>0</v>
      </c>
      <c r="BN405" s="476">
        <f>IF(WWWW[[#This Row],[HRP3]]/WWWW[[#This Row],[Total PoP ]]&gt;100%,100%,WWWW[[#This Row],[HRP3]]/WWWW[[#This Row],[Total PoP ]])</f>
        <v>0</v>
      </c>
      <c r="BO405" s="771">
        <f>1-WWWW[[#This Row],[Hygiene Coverage%]]</f>
        <v>1</v>
      </c>
      <c r="BP405" s="769">
        <f>WWWW[[#This Row],['# people reached by regular dedicated hygiene promotion]]/WWWW[[#This Row],[Total PoP ]]</f>
        <v>0</v>
      </c>
      <c r="BQ405"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5" s="770">
        <f>WWWW[[#This Row],['#_of_affected_women_and_girls_receiving_a_sufficient_quantity_of_sanitary_pads]]</f>
        <v>0</v>
      </c>
      <c r="BS405" s="773">
        <f>IF(WWWW[[#This Row],['# People with access to soap]]&gt;WWWW[[#This Row],['# People with access to Sanity Pads]],WWWW[[#This Row],['# People with access to soap]],WWWW[[#This Row],['# People with access to Sanity Pads]])</f>
        <v>0</v>
      </c>
      <c r="BT405" s="772" t="str">
        <f>IF(OR(WWWW[[#This Row],['#of students in school]]="",WWWW[[#This Row],['#of students in school]]=0),"No","Yes")</f>
        <v>No</v>
      </c>
      <c r="BU405" s="480" t="str">
        <f>VLOOKUP(WWWW[[#This Row],[Village  Name]],SiteDB6[[Site Name]:[Location Type 1]],9,FALSE)</f>
        <v>Village</v>
      </c>
      <c r="BV405" s="480" t="str">
        <f>VLOOKUP(WWWW[[#This Row],[Village  Name]],SiteDB6[[Site Name]:[Type of Accommodation]],10,FALSE)</f>
        <v>Village</v>
      </c>
      <c r="BW405" s="480">
        <f>VLOOKUP(WWWW[[#This Row],[Village  Name]],SiteDB6[[Site Name]:[Ethnic or GCA/NGCA]],11,FALSE)</f>
        <v>0</v>
      </c>
      <c r="BX405" s="480">
        <f>VLOOKUP(WWWW[[#This Row],[Village  Name]],SiteDB6[[Site Name]:[Lat]],12,FALSE)</f>
        <v>0</v>
      </c>
      <c r="BY405" s="480">
        <f>VLOOKUP(WWWW[[#This Row],[Village  Name]],SiteDB6[[Site Name]:[Long]],13,FALSE)</f>
        <v>0</v>
      </c>
      <c r="BZ405" s="480">
        <f>VLOOKUP(WWWW[[#This Row],[Village  Name]],SiteDB6[[Site Name]:[Pcode]],3,FALSE)</f>
        <v>0</v>
      </c>
      <c r="CA405" s="480" t="str">
        <f t="shared" si="24"/>
        <v>Covered</v>
      </c>
      <c r="CB405" s="505"/>
    </row>
    <row r="406" spans="1:80">
      <c r="A406" s="774" t="s">
        <v>3199</v>
      </c>
      <c r="B406" s="774" t="s">
        <v>2812</v>
      </c>
      <c r="C406" s="703" t="s">
        <v>2812</v>
      </c>
      <c r="D406" s="415" t="s">
        <v>3176</v>
      </c>
      <c r="E406" s="415" t="s">
        <v>36</v>
      </c>
      <c r="F406" s="415" t="s">
        <v>132</v>
      </c>
      <c r="G406" s="705" t="str">
        <f>VLOOKUP(WWWW[[#This Row],[Village  Name]],SiteDB6[[Site Name]:[Location Type]],8,FALSE)</f>
        <v>Village</v>
      </c>
      <c r="H406" s="415" t="s">
        <v>3193</v>
      </c>
      <c r="I406" s="773">
        <v>138</v>
      </c>
      <c r="J406" s="773">
        <v>578</v>
      </c>
      <c r="K406" s="418">
        <v>43476</v>
      </c>
      <c r="L406" s="55">
        <v>44104</v>
      </c>
      <c r="M406" s="773"/>
      <c r="N406" s="773"/>
      <c r="O406" s="773">
        <v>1</v>
      </c>
      <c r="P406" s="773"/>
      <c r="Q406" s="773"/>
      <c r="R406" s="773"/>
      <c r="S406" s="773"/>
      <c r="T406" s="773"/>
      <c r="U406" s="551"/>
      <c r="V406" s="773"/>
      <c r="W406" s="773"/>
      <c r="X406" s="773"/>
      <c r="Y406" s="773"/>
      <c r="Z406" s="773"/>
      <c r="AA406" s="773"/>
      <c r="AB406" s="773"/>
      <c r="AC406" s="551"/>
      <c r="AD406" s="773"/>
      <c r="AE406" s="773"/>
      <c r="AF406" s="773"/>
      <c r="AG406" s="773"/>
      <c r="AH406" s="773"/>
      <c r="AI406" s="773"/>
      <c r="AJ406" s="773"/>
      <c r="AK406" s="773"/>
      <c r="AL406" s="773"/>
      <c r="AM406" s="773"/>
      <c r="AN406" s="551"/>
      <c r="AO406" s="769"/>
      <c r="AP406" s="769"/>
      <c r="AQ406" s="773"/>
      <c r="AR406" s="773"/>
      <c r="AS406" s="773"/>
      <c r="AT406"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406" s="772">
        <f>WWWW[[#This Row],[%Equitable and continuous access to sufficient quantity of safe drinking water]]*WWWW[[#This Row],[Total PoP ]]</f>
        <v>578</v>
      </c>
      <c r="AV406"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6" s="772">
        <f>WWWW[[#This Row],[% Access to unimproved water points]]*WWWW[[#This Row],[Total PoP ]]</f>
        <v>0</v>
      </c>
      <c r="AX406"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406"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578</v>
      </c>
      <c r="AZ406" s="772">
        <f>WWWW[[#This Row],[HRP1]]/250</f>
        <v>2.3119999999999998</v>
      </c>
      <c r="BA406" s="476">
        <f>1-WWWW[[#This Row],[% Equitable and continuous access to sufficient quantity of domestic water]]</f>
        <v>0</v>
      </c>
      <c r="BB406" s="772">
        <f>WWWW[[#This Row],[%equitable and continuous access to sufficient quantity of safe drinking and domestic water''s GAP]]*WWWW[[#This Row],[Total PoP ]]</f>
        <v>0</v>
      </c>
      <c r="BC406" s="770">
        <f>IF(WWWW[[#This Row],[Total required water points]]-WWWW[[#This Row],['#Water points coverage]]&lt;0,0,WWWW[[#This Row],[Total required water points]]-WWWW[[#This Row],['#Water points coverage]])</f>
        <v>0</v>
      </c>
      <c r="BD406" s="770">
        <f>ROUND(IF(WWWW[[#This Row],[Total PoP ]]&lt;250,1,WWWW[[#This Row],[Total PoP ]]/250),0)</f>
        <v>2</v>
      </c>
      <c r="BE406"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406" s="772">
        <f>WWWW[[#This Row],[% people access to functioning Latrine]]*WWWW[[#This Row],[Total PoP ]]</f>
        <v>0</v>
      </c>
      <c r="BG406" s="770">
        <f>WWWW[[#This Row],['#_of_Functioning_latrines_in_school]]*50</f>
        <v>0</v>
      </c>
      <c r="BH406" s="770">
        <f>ROUND((WWWW[[#This Row],[Total PoP ]]/6),0)</f>
        <v>96</v>
      </c>
      <c r="BI406" s="770">
        <f>IF(WWWW[[#This Row],[Total required Latrines]]-(WWWW[[#This Row],['#_of_sanitary_fly-proof_HH_latrines]])&lt;0,0,WWWW[[#This Row],[Total required Latrines]]-(WWWW[[#This Row],['#_of_sanitary_fly-proof_HH_latrines]]))</f>
        <v>96</v>
      </c>
      <c r="BJ406" s="771">
        <f>1-WWWW[[#This Row],[% people access to functioning Latrine]]</f>
        <v>1</v>
      </c>
      <c r="BK406"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06" s="772">
        <f>IF(WWWW[[#This Row],['#_of_functional_handwashing_facilities_at_HH_level]]*6&gt;WWWW[[#This Row],[Total PoP ]],WWWW[[#This Row],[Total PoP ]],WWWW[[#This Row],['#_of_functional_handwashing_facilities_at_HH_level]]*6)</f>
        <v>0</v>
      </c>
      <c r="BM406" s="770">
        <f>IF(WWWW[[#This Row],['# people reached by regular dedicated hygiene promotion]]&gt;WWWW[[#This Row],['# People received regular supply of hygiene items]],WWWW[[#This Row],['# people reached by regular dedicated hygiene promotion]],WWWW[[#This Row],['# People received regular supply of hygiene items]])</f>
        <v>0</v>
      </c>
      <c r="BN406" s="476">
        <f>IF(WWWW[[#This Row],[HRP3]]/WWWW[[#This Row],[Total PoP ]]&gt;100%,100%,WWWW[[#This Row],[HRP3]]/WWWW[[#This Row],[Total PoP ]])</f>
        <v>0</v>
      </c>
      <c r="BO406" s="771">
        <f>1-WWWW[[#This Row],[Hygiene Coverage%]]</f>
        <v>1</v>
      </c>
      <c r="BP406" s="769">
        <f>WWWW[[#This Row],['# people reached by regular dedicated hygiene promotion]]/WWWW[[#This Row],[Total PoP ]]</f>
        <v>0</v>
      </c>
      <c r="BQ406"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6" s="770">
        <f>WWWW[[#This Row],['#_of_affected_women_and_girls_receiving_a_sufficient_quantity_of_sanitary_pads]]</f>
        <v>0</v>
      </c>
      <c r="BS406" s="773">
        <f>IF(WWWW[[#This Row],['# People with access to soap]]&gt;WWWW[[#This Row],['# People with access to Sanity Pads]],WWWW[[#This Row],['# People with access to soap]],WWWW[[#This Row],['# People with access to Sanity Pads]])</f>
        <v>0</v>
      </c>
      <c r="BT406" s="772" t="str">
        <f>IF(OR(WWWW[[#This Row],['#of students in school]]="",WWWW[[#This Row],['#of students in school]]=0),"No","Yes")</f>
        <v>No</v>
      </c>
      <c r="BU406" s="480" t="str">
        <f>VLOOKUP(WWWW[[#This Row],[Village  Name]],SiteDB6[[Site Name]:[Location Type 1]],9,FALSE)</f>
        <v>Village</v>
      </c>
      <c r="BV406" s="480" t="str">
        <f>VLOOKUP(WWWW[[#This Row],[Village  Name]],SiteDB6[[Site Name]:[Type of Accommodation]],10,FALSE)</f>
        <v>Village</v>
      </c>
      <c r="BW406" s="480">
        <f>VLOOKUP(WWWW[[#This Row],[Village  Name]],SiteDB6[[Site Name]:[Ethnic or GCA/NGCA]],11,FALSE)</f>
        <v>0</v>
      </c>
      <c r="BX406" s="480">
        <f>VLOOKUP(WWWW[[#This Row],[Village  Name]],SiteDB6[[Site Name]:[Lat]],12,FALSE)</f>
        <v>0</v>
      </c>
      <c r="BY406" s="480">
        <f>VLOOKUP(WWWW[[#This Row],[Village  Name]],SiteDB6[[Site Name]:[Long]],13,FALSE)</f>
        <v>0</v>
      </c>
      <c r="BZ406" s="480">
        <f>VLOOKUP(WWWW[[#This Row],[Village  Name]],SiteDB6[[Site Name]:[Pcode]],3,FALSE)</f>
        <v>0</v>
      </c>
      <c r="CA406" s="480" t="str">
        <f t="shared" si="24"/>
        <v>Covered</v>
      </c>
      <c r="CB406" s="505"/>
    </row>
    <row r="407" spans="1:80">
      <c r="A407" s="774" t="s">
        <v>3199</v>
      </c>
      <c r="B407" s="774" t="s">
        <v>2812</v>
      </c>
      <c r="C407" s="703" t="s">
        <v>2812</v>
      </c>
      <c r="D407" s="415" t="s">
        <v>3176</v>
      </c>
      <c r="E407" s="415" t="s">
        <v>36</v>
      </c>
      <c r="F407" s="415" t="s">
        <v>132</v>
      </c>
      <c r="G407" s="705" t="str">
        <f>VLOOKUP(WWWW[[#This Row],[Village  Name]],SiteDB6[[Site Name]:[Location Type]],8,FALSE)</f>
        <v>Village</v>
      </c>
      <c r="H407" s="415" t="s">
        <v>3194</v>
      </c>
      <c r="I407" s="773">
        <v>37</v>
      </c>
      <c r="J407" s="773">
        <v>68</v>
      </c>
      <c r="K407" s="418">
        <v>43476</v>
      </c>
      <c r="L407" s="55">
        <v>44104</v>
      </c>
      <c r="M407" s="773"/>
      <c r="N407" s="773"/>
      <c r="O407" s="773">
        <v>1</v>
      </c>
      <c r="P407" s="773"/>
      <c r="Q407" s="773"/>
      <c r="R407" s="773"/>
      <c r="S407" s="773"/>
      <c r="T407" s="773"/>
      <c r="U407" s="551"/>
      <c r="V407" s="773"/>
      <c r="W407" s="773"/>
      <c r="X407" s="773"/>
      <c r="Y407" s="773"/>
      <c r="Z407" s="773"/>
      <c r="AA407" s="773"/>
      <c r="AB407" s="773"/>
      <c r="AC407" s="551"/>
      <c r="AD407" s="773"/>
      <c r="AE407" s="773"/>
      <c r="AF407" s="773"/>
      <c r="AG407" s="773"/>
      <c r="AH407" s="773"/>
      <c r="AI407" s="773"/>
      <c r="AJ407" s="773"/>
      <c r="AK407" s="773"/>
      <c r="AL407" s="773"/>
      <c r="AM407" s="773"/>
      <c r="AN407" s="551"/>
      <c r="AO407" s="769"/>
      <c r="AP407" s="769"/>
      <c r="AQ407" s="773"/>
      <c r="AR407" s="773"/>
      <c r="AS407" s="773"/>
      <c r="AT407"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1</v>
      </c>
      <c r="AU407" s="772">
        <f>WWWW[[#This Row],[%Equitable and continuous access to sufficient quantity of safe drinking water]]*WWWW[[#This Row],[Total PoP ]]</f>
        <v>68</v>
      </c>
      <c r="AV407"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7" s="772">
        <f>WWWW[[#This Row],[% Access to unimproved water points]]*WWWW[[#This Row],[Total PoP ]]</f>
        <v>0</v>
      </c>
      <c r="AX407"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1</v>
      </c>
      <c r="AY407"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68</v>
      </c>
      <c r="AZ407" s="772">
        <f>WWWW[[#This Row],[HRP1]]/250</f>
        <v>0.27200000000000002</v>
      </c>
      <c r="BA407" s="476">
        <f>1-WWWW[[#This Row],[% Equitable and continuous access to sufficient quantity of domestic water]]</f>
        <v>0</v>
      </c>
      <c r="BB407" s="772">
        <f>WWWW[[#This Row],[%equitable and continuous access to sufficient quantity of safe drinking and domestic water''s GAP]]*WWWW[[#This Row],[Total PoP ]]</f>
        <v>0</v>
      </c>
      <c r="BC407" s="770">
        <f>IF(WWWW[[#This Row],[Total required water points]]-WWWW[[#This Row],['#Water points coverage]]&lt;0,0,WWWW[[#This Row],[Total required water points]]-WWWW[[#This Row],['#Water points coverage]])</f>
        <v>0.72799999999999998</v>
      </c>
      <c r="BD407" s="770">
        <f>ROUND(IF(WWWW[[#This Row],[Total PoP ]]&lt;250,1,WWWW[[#This Row],[Total PoP ]]/250),0)</f>
        <v>1</v>
      </c>
      <c r="BE407"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407" s="772">
        <f>WWWW[[#This Row],[% people access to functioning Latrine]]*WWWW[[#This Row],[Total PoP ]]</f>
        <v>0</v>
      </c>
      <c r="BG407" s="770">
        <f>WWWW[[#This Row],['#_of_Functioning_latrines_in_school]]*50</f>
        <v>0</v>
      </c>
      <c r="BH407" s="770">
        <f>ROUND((WWWW[[#This Row],[Total PoP ]]/6),0)</f>
        <v>11</v>
      </c>
      <c r="BI407" s="770">
        <f>IF(WWWW[[#This Row],[Total required Latrines]]-(WWWW[[#This Row],['#_of_sanitary_fly-proof_HH_latrines]])&lt;0,0,WWWW[[#This Row],[Total required Latrines]]-(WWWW[[#This Row],['#_of_sanitary_fly-proof_HH_latrines]]))</f>
        <v>11</v>
      </c>
      <c r="BJ407" s="771">
        <f>1-WWWW[[#This Row],[% people access to functioning Latrine]]</f>
        <v>1</v>
      </c>
      <c r="BK407"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07" s="772">
        <f>IF(WWWW[[#This Row],['#_of_functional_handwashing_facilities_at_HH_level]]*6&gt;WWWW[[#This Row],[Total PoP ]],WWWW[[#This Row],[Total PoP ]],WWWW[[#This Row],['#_of_functional_handwashing_facilities_at_HH_level]]*6)</f>
        <v>0</v>
      </c>
      <c r="BM407" s="770">
        <f>IF(WWWW[[#This Row],['# people reached by regular dedicated hygiene promotion]]&gt;WWWW[[#This Row],['# People received regular supply of hygiene items]],WWWW[[#This Row],['# people reached by regular dedicated hygiene promotion]],WWWW[[#This Row],['# People received regular supply of hygiene items]])</f>
        <v>0</v>
      </c>
      <c r="BN407" s="476">
        <f>IF(WWWW[[#This Row],[HRP3]]/WWWW[[#This Row],[Total PoP ]]&gt;100%,100%,WWWW[[#This Row],[HRP3]]/WWWW[[#This Row],[Total PoP ]])</f>
        <v>0</v>
      </c>
      <c r="BO407" s="771">
        <f>1-WWWW[[#This Row],[Hygiene Coverage%]]</f>
        <v>1</v>
      </c>
      <c r="BP407" s="769">
        <f>WWWW[[#This Row],['# people reached by regular dedicated hygiene promotion]]/WWWW[[#This Row],[Total PoP ]]</f>
        <v>0</v>
      </c>
      <c r="BQ407"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7" s="770">
        <f>WWWW[[#This Row],['#_of_affected_women_and_girls_receiving_a_sufficient_quantity_of_sanitary_pads]]</f>
        <v>0</v>
      </c>
      <c r="BS407" s="773">
        <f>IF(WWWW[[#This Row],['# People with access to soap]]&gt;WWWW[[#This Row],['# People with access to Sanity Pads]],WWWW[[#This Row],['# People with access to soap]],WWWW[[#This Row],['# People with access to Sanity Pads]])</f>
        <v>0</v>
      </c>
      <c r="BT407" s="772" t="str">
        <f>IF(OR(WWWW[[#This Row],['#of students in school]]="",WWWW[[#This Row],['#of students in school]]=0),"No","Yes")</f>
        <v>No</v>
      </c>
      <c r="BU407" s="480" t="str">
        <f>VLOOKUP(WWWW[[#This Row],[Village  Name]],SiteDB6[[Site Name]:[Location Type 1]],9,FALSE)</f>
        <v>Village</v>
      </c>
      <c r="BV407" s="480" t="str">
        <f>VLOOKUP(WWWW[[#This Row],[Village  Name]],SiteDB6[[Site Name]:[Type of Accommodation]],10,FALSE)</f>
        <v>Village</v>
      </c>
      <c r="BW407" s="480">
        <f>VLOOKUP(WWWW[[#This Row],[Village  Name]],SiteDB6[[Site Name]:[Ethnic or GCA/NGCA]],11,FALSE)</f>
        <v>0</v>
      </c>
      <c r="BX407" s="480">
        <f>VLOOKUP(WWWW[[#This Row],[Village  Name]],SiteDB6[[Site Name]:[Lat]],12,FALSE)</f>
        <v>0</v>
      </c>
      <c r="BY407" s="480">
        <f>VLOOKUP(WWWW[[#This Row],[Village  Name]],SiteDB6[[Site Name]:[Long]],13,FALSE)</f>
        <v>0</v>
      </c>
      <c r="BZ407" s="480">
        <f>VLOOKUP(WWWW[[#This Row],[Village  Name]],SiteDB6[[Site Name]:[Pcode]],3,FALSE)</f>
        <v>0</v>
      </c>
      <c r="CA407" s="480" t="str">
        <f t="shared" si="24"/>
        <v>Covered</v>
      </c>
      <c r="CB407" s="505"/>
    </row>
    <row r="408" spans="1:80">
      <c r="A408" s="774" t="s">
        <v>3199</v>
      </c>
      <c r="B408" s="774" t="s">
        <v>2812</v>
      </c>
      <c r="C408" s="703" t="s">
        <v>2812</v>
      </c>
      <c r="D408" s="415" t="s">
        <v>3176</v>
      </c>
      <c r="E408" s="415" t="s">
        <v>36</v>
      </c>
      <c r="F408" s="415" t="s">
        <v>132</v>
      </c>
      <c r="G408" s="705" t="str">
        <f>VLOOKUP(WWWW[[#This Row],[Village  Name]],SiteDB6[[Site Name]:[Location Type]],8,FALSE)</f>
        <v>Village</v>
      </c>
      <c r="H408" s="415" t="s">
        <v>3195</v>
      </c>
      <c r="I408" s="773">
        <v>55</v>
      </c>
      <c r="J408" s="773">
        <v>167</v>
      </c>
      <c r="K408" s="418">
        <v>43476</v>
      </c>
      <c r="L408" s="55">
        <v>44104</v>
      </c>
      <c r="M408" s="773"/>
      <c r="N408" s="773"/>
      <c r="O408" s="773"/>
      <c r="P408" s="773"/>
      <c r="Q408" s="773"/>
      <c r="R408" s="773"/>
      <c r="S408" s="773"/>
      <c r="T408" s="773"/>
      <c r="U408" s="551"/>
      <c r="V408" s="773"/>
      <c r="W408" s="773"/>
      <c r="X408" s="773"/>
      <c r="Y408" s="773"/>
      <c r="Z408" s="773"/>
      <c r="AA408" s="773"/>
      <c r="AB408" s="773"/>
      <c r="AC408" s="551"/>
      <c r="AD408" s="773"/>
      <c r="AE408" s="773"/>
      <c r="AF408" s="773"/>
      <c r="AG408" s="773"/>
      <c r="AH408" s="773"/>
      <c r="AI408" s="773"/>
      <c r="AJ408" s="773"/>
      <c r="AK408" s="773"/>
      <c r="AL408" s="773"/>
      <c r="AM408" s="773"/>
      <c r="AN408" s="551"/>
      <c r="AO408" s="769"/>
      <c r="AP408" s="769"/>
      <c r="AQ408" s="773"/>
      <c r="AR408" s="773"/>
      <c r="AS408" s="773"/>
      <c r="AT408"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08" s="772">
        <f>WWWW[[#This Row],[%Equitable and continuous access to sufficient quantity of safe drinking water]]*WWWW[[#This Row],[Total PoP ]]</f>
        <v>0</v>
      </c>
      <c r="AV408"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8" s="772">
        <f>WWWW[[#This Row],[% Access to unimproved water points]]*WWWW[[#This Row],[Total PoP ]]</f>
        <v>0</v>
      </c>
      <c r="AX408"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08"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08" s="772">
        <f>WWWW[[#This Row],[HRP1]]/250</f>
        <v>0</v>
      </c>
      <c r="BA408" s="476">
        <f>1-WWWW[[#This Row],[% Equitable and continuous access to sufficient quantity of domestic water]]</f>
        <v>1</v>
      </c>
      <c r="BB408" s="772">
        <f>WWWW[[#This Row],[%equitable and continuous access to sufficient quantity of safe drinking and domestic water''s GAP]]*WWWW[[#This Row],[Total PoP ]]</f>
        <v>167</v>
      </c>
      <c r="BC408" s="770">
        <f>IF(WWWW[[#This Row],[Total required water points]]-WWWW[[#This Row],['#Water points coverage]]&lt;0,0,WWWW[[#This Row],[Total required water points]]-WWWW[[#This Row],['#Water points coverage]])</f>
        <v>1</v>
      </c>
      <c r="BD408" s="770">
        <f>ROUND(IF(WWWW[[#This Row],[Total PoP ]]&lt;250,1,WWWW[[#This Row],[Total PoP ]]/250),0)</f>
        <v>1</v>
      </c>
      <c r="BE408"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408" s="772">
        <f>WWWW[[#This Row],[% people access to functioning Latrine]]*WWWW[[#This Row],[Total PoP ]]</f>
        <v>0</v>
      </c>
      <c r="BG408" s="770">
        <f>WWWW[[#This Row],['#_of_Functioning_latrines_in_school]]*50</f>
        <v>0</v>
      </c>
      <c r="BH408" s="770">
        <f>ROUND((WWWW[[#This Row],[Total PoP ]]/6),0)</f>
        <v>28</v>
      </c>
      <c r="BI408" s="770">
        <f>IF(WWWW[[#This Row],[Total required Latrines]]-(WWWW[[#This Row],['#_of_sanitary_fly-proof_HH_latrines]])&lt;0,0,WWWW[[#This Row],[Total required Latrines]]-(WWWW[[#This Row],['#_of_sanitary_fly-proof_HH_latrines]]))</f>
        <v>28</v>
      </c>
      <c r="BJ408" s="771">
        <f>1-WWWW[[#This Row],[% people access to functioning Latrine]]</f>
        <v>1</v>
      </c>
      <c r="BK408"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08" s="772">
        <f>IF(WWWW[[#This Row],['#_of_functional_handwashing_facilities_at_HH_level]]*6&gt;WWWW[[#This Row],[Total PoP ]],WWWW[[#This Row],[Total PoP ]],WWWW[[#This Row],['#_of_functional_handwashing_facilities_at_HH_level]]*6)</f>
        <v>0</v>
      </c>
      <c r="BM408" s="770">
        <f>IF(WWWW[[#This Row],['# people reached by regular dedicated hygiene promotion]]&gt;WWWW[[#This Row],['# People received regular supply of hygiene items]],WWWW[[#This Row],['# people reached by regular dedicated hygiene promotion]],WWWW[[#This Row],['# People received regular supply of hygiene items]])</f>
        <v>0</v>
      </c>
      <c r="BN408" s="476">
        <f>IF(WWWW[[#This Row],[HRP3]]/WWWW[[#This Row],[Total PoP ]]&gt;100%,100%,WWWW[[#This Row],[HRP3]]/WWWW[[#This Row],[Total PoP ]])</f>
        <v>0</v>
      </c>
      <c r="BO408" s="771">
        <f>1-WWWW[[#This Row],[Hygiene Coverage%]]</f>
        <v>1</v>
      </c>
      <c r="BP408" s="769">
        <f>WWWW[[#This Row],['# people reached by regular dedicated hygiene promotion]]/WWWW[[#This Row],[Total PoP ]]</f>
        <v>0</v>
      </c>
      <c r="BQ408"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8" s="770">
        <f>WWWW[[#This Row],['#_of_affected_women_and_girls_receiving_a_sufficient_quantity_of_sanitary_pads]]</f>
        <v>0</v>
      </c>
      <c r="BS408" s="773">
        <f>IF(WWWW[[#This Row],['# People with access to soap]]&gt;WWWW[[#This Row],['# People with access to Sanity Pads]],WWWW[[#This Row],['# People with access to soap]],WWWW[[#This Row],['# People with access to Sanity Pads]])</f>
        <v>0</v>
      </c>
      <c r="BT408" s="772" t="str">
        <f>IF(OR(WWWW[[#This Row],['#of students in school]]="",WWWW[[#This Row],['#of students in school]]=0),"No","Yes")</f>
        <v>No</v>
      </c>
      <c r="BU408" s="480" t="str">
        <f>VLOOKUP(WWWW[[#This Row],[Village  Name]],SiteDB6[[Site Name]:[Location Type 1]],9,FALSE)</f>
        <v>Village</v>
      </c>
      <c r="BV408" s="480" t="str">
        <f>VLOOKUP(WWWW[[#This Row],[Village  Name]],SiteDB6[[Site Name]:[Type of Accommodation]],10,FALSE)</f>
        <v>Village</v>
      </c>
      <c r="BW408" s="480">
        <f>VLOOKUP(WWWW[[#This Row],[Village  Name]],SiteDB6[[Site Name]:[Ethnic or GCA/NGCA]],11,FALSE)</f>
        <v>0</v>
      </c>
      <c r="BX408" s="480">
        <f>VLOOKUP(WWWW[[#This Row],[Village  Name]],SiteDB6[[Site Name]:[Lat]],12,FALSE)</f>
        <v>0</v>
      </c>
      <c r="BY408" s="480">
        <f>VLOOKUP(WWWW[[#This Row],[Village  Name]],SiteDB6[[Site Name]:[Long]],13,FALSE)</f>
        <v>0</v>
      </c>
      <c r="BZ408" s="480">
        <f>VLOOKUP(WWWW[[#This Row],[Village  Name]],SiteDB6[[Site Name]:[Pcode]],3,FALSE)</f>
        <v>0</v>
      </c>
      <c r="CA408" s="480" t="str">
        <f t="shared" si="24"/>
        <v>Covered</v>
      </c>
      <c r="CB408" s="505"/>
    </row>
    <row r="409" spans="1:80">
      <c r="A409" s="774" t="s">
        <v>3199</v>
      </c>
      <c r="B409" s="774" t="s">
        <v>2812</v>
      </c>
      <c r="C409" s="703" t="s">
        <v>2812</v>
      </c>
      <c r="D409" s="415" t="s">
        <v>3176</v>
      </c>
      <c r="E409" s="415" t="s">
        <v>36</v>
      </c>
      <c r="F409" s="415" t="s">
        <v>132</v>
      </c>
      <c r="G409" s="705" t="str">
        <f>VLOOKUP(WWWW[[#This Row],[Village  Name]],SiteDB6[[Site Name]:[Location Type]],8,FALSE)</f>
        <v>Village</v>
      </c>
      <c r="H409" s="415" t="s">
        <v>3196</v>
      </c>
      <c r="I409" s="773">
        <v>46</v>
      </c>
      <c r="J409" s="773">
        <v>126</v>
      </c>
      <c r="K409" s="418">
        <v>43476</v>
      </c>
      <c r="L409" s="55">
        <v>44104</v>
      </c>
      <c r="M409" s="773"/>
      <c r="N409" s="773"/>
      <c r="O409" s="773"/>
      <c r="P409" s="773"/>
      <c r="Q409" s="773"/>
      <c r="R409" s="773"/>
      <c r="S409" s="773"/>
      <c r="T409" s="773"/>
      <c r="U409" s="551"/>
      <c r="V409" s="773"/>
      <c r="W409" s="773"/>
      <c r="X409" s="773"/>
      <c r="Y409" s="773"/>
      <c r="Z409" s="773"/>
      <c r="AA409" s="773"/>
      <c r="AB409" s="773"/>
      <c r="AC409" s="551"/>
      <c r="AD409" s="773"/>
      <c r="AE409" s="773"/>
      <c r="AF409" s="773"/>
      <c r="AG409" s="773"/>
      <c r="AH409" s="773"/>
      <c r="AI409" s="773"/>
      <c r="AJ409" s="773"/>
      <c r="AK409" s="773"/>
      <c r="AL409" s="773"/>
      <c r="AM409" s="773"/>
      <c r="AN409" s="551"/>
      <c r="AO409" s="769"/>
      <c r="AP409" s="769"/>
      <c r="AQ409" s="773"/>
      <c r="AR409" s="773"/>
      <c r="AS409" s="773"/>
      <c r="AT409" s="771">
        <f>IF(WWWW[[#This Row],[Total PoP ]]="","",IF((WWWW[[#This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]]&gt;1,1,(WWWW[[#This Row],['#_Functioning_protected_hand_dug_well/open_well]]*250)+(WWWW[[#This Row],['#_Functioning_Tube_wells/boreholes/hand_pumps_including_community''s_own_hand_pumps]]*250)+(WWWW[[#This Row],['#_of_total_(Liters)_stored_in_Constructed/Existing_water_storage_tank_with_gravity_fed_reticulation_system]]/15)+(WWWW[[#This Row],['#_Functioning_water_points_at_school]]*250)/WWWW[[#This Row],[Total PoP ]]))</f>
        <v>0</v>
      </c>
      <c r="AU409" s="772">
        <f>WWWW[[#This Row],[%Equitable and continuous access to sufficient quantity of safe drinking water]]*WWWW[[#This Row],[Total PoP ]]</f>
        <v>0</v>
      </c>
      <c r="AV409" s="771">
        <f>IF((WWWW[[#This Row],['#_Existing_protected/fenced_ponds]]*250)+WWWW[[#This Row],['#_of_people_accessing_to_other_types_of_un-improved_water_sources_(river,_spring)]]/WWWW[[#This Row],[Total PoP ]]&gt;1,1,(WWWW[[#This Row],['#_Existing_protected/fenced_ponds]]*250)+WWWW[[#This Row],['#_of_people_accessing_to_other_types_of_un-improved_water_sources_(river,_spring)]]/WWWW[[#This Row],[Total PoP ]])</f>
        <v>0</v>
      </c>
      <c r="AW409" s="772">
        <f>WWWW[[#This Row],[% Access to unimproved water points]]*WWWW[[#This Row],[Total PoP ]]</f>
        <v>0</v>
      </c>
      <c r="AX409" s="769">
        <f>IF(WWWW[[#This Row],[% Access to unimproved water points]]+WWWW[[#This Row],[%Equitable and continuous access to sufficient quantity of safe drinking water]]&gt;1,1,WWWW[[#This Row],[% Access to unimproved water points]]+WWWW[[#This Row],[%Equitable and continuous access to sufficient quantity of safe drinking water]])</f>
        <v>0</v>
      </c>
      <c r="AY409" s="772">
        <f>IF(WWWW[[#This Row],['# people with equitable and continuous access to sufficient quantity of safe drinking water]]+WWWW[[#This Row],['#People access to unimproved water sources]]&gt;WWWW[[#This Row],[Total PoP ]],WWWW[[#This Row],[Total PoP ]],WWWW[[#This Row],['# people with equitable and continuous access to sufficient quantity of safe drinking water]]+WWWW[[#This Row],['#People access to unimproved water sources]])</f>
        <v>0</v>
      </c>
      <c r="AZ409" s="772">
        <f>WWWW[[#This Row],[HRP1]]/250</f>
        <v>0</v>
      </c>
      <c r="BA409" s="476">
        <f>1-WWWW[[#This Row],[% Equitable and continuous access to sufficient quantity of domestic water]]</f>
        <v>1</v>
      </c>
      <c r="BB409" s="772">
        <f>WWWW[[#This Row],[%equitable and continuous access to sufficient quantity of safe drinking and domestic water''s GAP]]*WWWW[[#This Row],[Total PoP ]]</f>
        <v>126</v>
      </c>
      <c r="BC409" s="770">
        <f>IF(WWWW[[#This Row],[Total required water points]]-WWWW[[#This Row],['#Water points coverage]]&lt;0,0,WWWW[[#This Row],[Total required water points]]-WWWW[[#This Row],['#Water points coverage]])</f>
        <v>1</v>
      </c>
      <c r="BD409" s="770">
        <f>ROUND(IF(WWWW[[#This Row],[Total PoP ]]&lt;250,1,WWWW[[#This Row],[Total PoP ]]/250),0)</f>
        <v>1</v>
      </c>
      <c r="BE409" s="771">
        <f>IF(WWWW[[#This Row],[Total PoP ]]="",0,IF(((WWWW[[#This Row],['#_of_sanitary_fly-proof_HH_latrines]]*6)+WWWW[[#This Row],['#_of_PWD_with_adapted_sanitation_option_at_HH_level_]])/WWWW[[#This Row],[Total PoP ]]&gt;1,1,((WWWW[[#This Row],['#_of_sanitary_fly-proof_HH_latrines]]*6)+WWWW[[#This Row],['#_of_PWD_with_adapted_sanitation_option_at_HH_level_]])/WWWW[[#This Row],[Total PoP ]]))</f>
        <v>0</v>
      </c>
      <c r="BF409" s="772">
        <f>WWWW[[#This Row],[% people access to functioning Latrine]]*WWWW[[#This Row],[Total PoP ]]</f>
        <v>0</v>
      </c>
      <c r="BG409" s="770">
        <f>WWWW[[#This Row],['#_of_Functioning_latrines_in_school]]*50</f>
        <v>0</v>
      </c>
      <c r="BH409" s="770">
        <f>ROUND((WWWW[[#This Row],[Total PoP ]]/6),0)</f>
        <v>21</v>
      </c>
      <c r="BI409" s="770">
        <f>IF(WWWW[[#This Row],[Total required Latrines]]-(WWWW[[#This Row],['#_of_sanitary_fly-proof_HH_latrines]])&lt;0,0,WWWW[[#This Row],[Total required Latrines]]-(WWWW[[#This Row],['#_of_sanitary_fly-proof_HH_latrines]]))</f>
        <v>21</v>
      </c>
      <c r="BJ409" s="771">
        <f>1-WWWW[[#This Row],[% people access to functioning Latrine]]</f>
        <v>1</v>
      </c>
      <c r="BK409" s="772">
        <f>IF(WWWW[[#This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Row],['#_of_students_(girls)_who_received_appropirate_hygiene_messages]]&gt;WWWW[[#This Row],[Total PoP ]],WWWW[[#This Row],[Total PoP ]],WWWW[[#This Row],['#_of_Men_who_received_appropirate/community_tailored_hygiene_messages]]+WWWW[[#This Row],['#_of_Women_who_received_appropirate/community_tailored_hygiene_messages]]+WWWW[[#This Row],['#_of_Boys_who_received_appropirate/community_tailored_hygiene_messages]]+WWWW[[#This Row],['#_of_Girls_who_received_appropirate/community_tailored_hygiene_messages]]+WWWW[[#This Row],['#_of_students_(boys)_who_received_appropirate_hygiene_messages]]+WWWW[[#This Row],['#_of_students_(girls)_who_received_appropirate_hygiene_messages]])</f>
        <v>0</v>
      </c>
      <c r="BL409" s="772">
        <f>IF(WWWW[[#This Row],['#_of_functional_handwashing_facilities_at_HH_level]]*6&gt;WWWW[[#This Row],[Total PoP ]],WWWW[[#This Row],[Total PoP ]],WWWW[[#This Row],['#_of_functional_handwashing_facilities_at_HH_level]]*6)</f>
        <v>0</v>
      </c>
      <c r="BM409" s="770">
        <f>IF(WWWW[[#This Row],['# people reached by regular dedicated hygiene promotion]]&gt;WWWW[[#This Row],['# People received regular supply of hygiene items]],WWWW[[#This Row],['# people reached by regular dedicated hygiene promotion]],WWWW[[#This Row],['# People received regular supply of hygiene items]])</f>
        <v>0</v>
      </c>
      <c r="BN409" s="476">
        <f>IF(WWWW[[#This Row],[HRP3]]/WWWW[[#This Row],[Total PoP ]]&gt;100%,100%,WWWW[[#This Row],[HRP3]]/WWWW[[#This Row],[Total PoP ]])</f>
        <v>0</v>
      </c>
      <c r="BO409" s="771">
        <f>1-WWWW[[#This Row],[Hygiene Coverage%]]</f>
        <v>1</v>
      </c>
      <c r="BP409" s="769">
        <f>WWWW[[#This Row],['# people reached by regular dedicated hygiene promotion]]/WWWW[[#This Row],[Total PoP ]]</f>
        <v>0</v>
      </c>
      <c r="BQ409" s="770">
        <f>IF(WWWW[[#This Row],['#_of_affected_households_receiving_a_sufficient_quantity_of_soap]]=0,0, IF(WWWW[[#This Row],['#_of_affected_households_receiving_a_sufficient_quantity_of_soap]]&gt;=WWWW[[#This Row],[Total HH]],WWWW[[#This Row],[Total PoP ]],IF(WWWW[[#This Row],['#_of_affected_households_receiving_a_sufficient_quantity_of_soap]]*6&gt;WWWW[[#This Row],[Total PoP ]],WWWW[[#This Row],[Total PoP ]],WWWW[[#This Row],['#_of_affected_households_receiving_a_sufficient_quantity_of_soap]]*6)))</f>
        <v>0</v>
      </c>
      <c r="BR409" s="770">
        <f>WWWW[[#This Row],['#_of_affected_women_and_girls_receiving_a_sufficient_quantity_of_sanitary_pads]]</f>
        <v>0</v>
      </c>
      <c r="BS409" s="773">
        <f>IF(WWWW[[#This Row],['# People with access to soap]]&gt;WWWW[[#This Row],['# People with access to Sanity Pads]],WWWW[[#This Row],['# People with access to soap]],WWWW[[#This Row],['# People with access to Sanity Pads]])</f>
        <v>0</v>
      </c>
      <c r="BT409" s="772" t="str">
        <f>IF(OR(WWWW[[#This Row],['#of students in school]]="",WWWW[[#This Row],['#of students in school]]=0),"No","Yes")</f>
        <v>No</v>
      </c>
      <c r="BU409" s="480" t="str">
        <f>VLOOKUP(WWWW[[#This Row],[Village  Name]],SiteDB6[[Site Name]:[Location Type 1]],9,FALSE)</f>
        <v>Village</v>
      </c>
      <c r="BV409" s="480" t="str">
        <f>VLOOKUP(WWWW[[#This Row],[Village  Name]],SiteDB6[[Site Name]:[Type of Accommodation]],10,FALSE)</f>
        <v>Village</v>
      </c>
      <c r="BW409" s="480">
        <f>VLOOKUP(WWWW[[#This Row],[Village  Name]],SiteDB6[[Site Name]:[Ethnic or GCA/NGCA]],11,FALSE)</f>
        <v>0</v>
      </c>
      <c r="BX409" s="480">
        <f>VLOOKUP(WWWW[[#This Row],[Village  Name]],SiteDB6[[Site Name]:[Lat]],12,FALSE)</f>
        <v>0</v>
      </c>
      <c r="BY409" s="480">
        <f>VLOOKUP(WWWW[[#This Row],[Village  Name]],SiteDB6[[Site Name]:[Long]],13,FALSE)</f>
        <v>0</v>
      </c>
      <c r="BZ409" s="480">
        <f>VLOOKUP(WWWW[[#This Row],[Village  Name]],SiteDB6[[Site Name]:[Pcode]],3,FALSE)</f>
        <v>0</v>
      </c>
      <c r="CA409" s="480" t="str">
        <f t="shared" si="24"/>
        <v>Covered</v>
      </c>
      <c r="CB409" s="505"/>
    </row>
  </sheetData>
  <mergeCells count="14">
    <mergeCell ref="BH2:BH3"/>
    <mergeCell ref="BI2:BJ3"/>
    <mergeCell ref="BC2:BD3"/>
    <mergeCell ref="AZ2:AZ3"/>
    <mergeCell ref="BG2:BG3"/>
    <mergeCell ref="BF2:BF3"/>
    <mergeCell ref="BA2:BB3"/>
    <mergeCell ref="AX2:AX3"/>
    <mergeCell ref="AY2:AY3"/>
    <mergeCell ref="BA5:BB5"/>
    <mergeCell ref="K1:L1"/>
    <mergeCell ref="AT2:AT3"/>
    <mergeCell ref="AU2:AU3"/>
    <mergeCell ref="AV2:AW3"/>
  </mergeCells>
  <phoneticPr fontId="133" type="noConversion"/>
  <conditionalFormatting sqref="BO2 BK2:BL2">
    <cfRule type="iconSet" priority="180">
      <iconSet reverse="1">
        <cfvo type="percent" val="0"/>
        <cfvo type="percent" val="0" gte="0"/>
        <cfvo type="percent" val="30"/>
      </iconSet>
    </cfRule>
  </conditionalFormatting>
  <conditionalFormatting sqref="BK5:BL5">
    <cfRule type="iconSet" priority="28">
      <iconSet reverse="1">
        <cfvo type="percent" val="0"/>
        <cfvo type="percent" val="0" gte="0"/>
        <cfvo type="percent" val="30"/>
      </iconSet>
    </cfRule>
  </conditionalFormatting>
  <conditionalFormatting sqref="BO4">
    <cfRule type="iconSet" priority="25">
      <iconSet reverse="1">
        <cfvo type="percent" val="0"/>
        <cfvo type="percent" val="0" gte="0"/>
        <cfvo type="percent" val="30"/>
      </iconSet>
    </cfRule>
  </conditionalFormatting>
  <conditionalFormatting sqref="BA4">
    <cfRule type="iconSet" priority="27">
      <iconSet reverse="1">
        <cfvo type="percent" val="0"/>
        <cfvo type="percent" val="0" gte="0"/>
        <cfvo type="percent" val="30"/>
      </iconSet>
    </cfRule>
  </conditionalFormatting>
  <conditionalFormatting sqref="BO3">
    <cfRule type="iconSet" priority="22">
      <iconSet reverse="1">
        <cfvo type="percent" val="0"/>
        <cfvo type="percent" val="0" gte="0"/>
        <cfvo type="percent" val="30"/>
      </iconSet>
    </cfRule>
  </conditionalFormatting>
  <conditionalFormatting sqref="BJ4">
    <cfRule type="iconSet" priority="11716">
      <iconSet reverse="1">
        <cfvo type="percent" val="0"/>
        <cfvo type="percent" val="0" gte="0"/>
        <cfvo type="percent" val="30"/>
      </iconSet>
    </cfRule>
  </conditionalFormatting>
  <conditionalFormatting sqref="BB4">
    <cfRule type="iconSet" priority="18">
      <iconSet reverse="1">
        <cfvo type="percent" val="0"/>
        <cfvo type="percent" val="0" gte="0"/>
        <cfvo type="percent" val="30"/>
      </iconSet>
    </cfRule>
  </conditionalFormatting>
  <conditionalFormatting sqref="BG5">
    <cfRule type="iconSet" priority="12177">
      <iconSet reverse="1">
        <cfvo type="percent" val="0"/>
        <cfvo type="percent" val="0" gte="0"/>
        <cfvo type="percent" val="10"/>
      </iconSet>
    </cfRule>
  </conditionalFormatting>
  <conditionalFormatting sqref="CI7:CI201 CI239:CI1048576">
    <cfRule type="iconSet" priority="12499">
      <iconSet reverse="1">
        <cfvo type="percent" val="0"/>
        <cfvo type="percent" val="0" gte="0"/>
        <cfvo type="percent" val="30"/>
      </iconSet>
    </cfRule>
  </conditionalFormatting>
  <conditionalFormatting sqref="BJ7:BJ201">
    <cfRule type="iconSet" priority="12529">
      <iconSet reverse="1">
        <cfvo type="percent" val="0"/>
        <cfvo type="percent" val="0" gte="0"/>
        <cfvo type="percent" val="30"/>
      </iconSet>
    </cfRule>
  </conditionalFormatting>
  <conditionalFormatting sqref="BA7:BA201">
    <cfRule type="iconSet" priority="12531">
      <iconSet reverse="1">
        <cfvo type="percent" val="0"/>
        <cfvo type="percent" val="0" gte="0"/>
        <cfvo type="percent" val="30"/>
      </iconSet>
    </cfRule>
  </conditionalFormatting>
  <conditionalFormatting sqref="BO7:BO201">
    <cfRule type="iconSet" priority="12533">
      <iconSet reverse="1">
        <cfvo type="percent" val="0"/>
        <cfvo type="percent" val="0" gte="0"/>
        <cfvo type="percent" val="30"/>
      </iconSet>
    </cfRule>
  </conditionalFormatting>
  <conditionalFormatting sqref="CI202:CI238">
    <cfRule type="iconSet" priority="1">
      <iconSet reverse="1">
        <cfvo type="percent" val="0"/>
        <cfvo type="percent" val="0" gte="0"/>
        <cfvo type="percent" val="30"/>
      </iconSet>
    </cfRule>
  </conditionalFormatting>
  <conditionalFormatting sqref="BJ202:BJ238">
    <cfRule type="iconSet" priority="2">
      <iconSet reverse="1">
        <cfvo type="percent" val="0"/>
        <cfvo type="percent" val="0" gte="0"/>
        <cfvo type="percent" val="30"/>
      </iconSet>
    </cfRule>
  </conditionalFormatting>
  <conditionalFormatting sqref="BA202:BA238">
    <cfRule type="iconSet" priority="3">
      <iconSet reverse="1">
        <cfvo type="percent" val="0"/>
        <cfvo type="percent" val="0" gte="0"/>
        <cfvo type="percent" val="30"/>
      </iconSet>
    </cfRule>
  </conditionalFormatting>
  <conditionalFormatting sqref="BO202:BO238">
    <cfRule type="iconSet" priority="4">
      <iconSet reverse="1">
        <cfvo type="percent" val="0"/>
        <cfvo type="percent" val="0" gte="0"/>
        <cfvo type="percent" val="30"/>
      </iconSet>
    </cfRule>
  </conditionalFormatting>
  <dataValidations count="8">
    <dataValidation type="list" allowBlank="1" showInputMessage="1" showErrorMessage="1" sqref="H410:H1048576 E410:F1048576 C410:C1048576 H230:H242 F230:F238" xr:uid="{00000000-0002-0000-0200-000000000000}">
      <formula1>#REF!</formula1>
    </dataValidation>
    <dataValidation type="whole" allowBlank="1" showInputMessage="1" showErrorMessage="1" sqref="AD7:AM42 X7:AB229 O7:V229 O338:P346 V338:V346" xr:uid="{80C2E29D-2256-4657-88F5-332E690081BA}">
      <formula1>0</formula1>
      <formula2>100000</formula2>
    </dataValidation>
    <dataValidation type="list" allowBlank="1" showInputMessage="1" showErrorMessage="1" sqref="W7:W229" xr:uid="{EED640AA-28BB-4B14-B744-16BBD7DBE544}">
      <formula1>"Yes,No,NA"</formula1>
    </dataValidation>
    <dataValidation type="whole" operator="lessThan" allowBlank="1" showInputMessage="1" showErrorMessage="1" sqref="M7:N229" xr:uid="{00000000-0002-0000-0200-000005000000}">
      <formula1>999999</formula1>
    </dataValidation>
    <dataValidation type="list" allowBlank="1" showInputMessage="1" showErrorMessage="1" sqref="CA7:CA229" xr:uid="{00000000-0002-0000-0200-000002000000}">
      <formula1>"Covered, Not_covered"</formula1>
    </dataValidation>
    <dataValidation type="list" allowBlank="1" showInputMessage="1" showErrorMessage="1" sqref="H7:H201 H243:H409" xr:uid="{00000000-0002-0000-0200-000004000000}">
      <formula1>OFFSET(Township_start,MATCH(F7,Township_list, 0),1, COUNTIF(Township_list,F7),1)</formula1>
    </dataValidation>
    <dataValidation type="list" allowBlank="1" showInputMessage="1" showErrorMessage="1" sqref="F7:F229 F239:F409" xr:uid="{00000000-0002-0000-0200-00000B000000}">
      <formula1>OFFSET(Statestart_1,MATCH(E7, State_list, 0), 1,COUNTIF(State_list,E7),1)</formula1>
    </dataValidation>
    <dataValidation type="list" allowBlank="1" showInputMessage="1" showErrorMessage="1" sqref="E7:E409" xr:uid="{6F23944D-29AF-4449-96F7-753203CE9B63}">
      <formula1>"Kachin, Central Rakhine, Northern Rakhine, Shan (North), Kayin, Chin"</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E000000}">
          <x14:formula1>
            <xm:f>Lookup!$A$4:$A$32</xm:f>
          </x14:formula1>
          <xm:sqref>A7:A201 A243:A351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373"/>
  <sheetViews>
    <sheetView zoomScale="110" zoomScaleNormal="110" workbookViewId="0">
      <pane xSplit="1" ySplit="2" topLeftCell="B1350" activePane="bottomRight" state="frozen"/>
      <selection activeCell="E391" sqref="E391"/>
      <selection pane="topRight" activeCell="E391" sqref="E391"/>
      <selection pane="bottomLeft" activeCell="E391" sqref="E391"/>
      <selection pane="bottomRight" activeCell="Q1365" sqref="Q1365:T1373"/>
    </sheetView>
  </sheetViews>
  <sheetFormatPr defaultColWidth="9" defaultRowHeight="14.25" customHeight="1"/>
  <cols>
    <col min="1" max="1" width="13.09765625" bestFit="1" customWidth="1"/>
    <col min="2" max="2" width="17" style="17" customWidth="1"/>
    <col min="3" max="3" width="24.19921875" style="98" customWidth="1"/>
    <col min="4" max="4" width="16.5" style="43" customWidth="1"/>
    <col min="5" max="5" width="13.59765625" style="17" customWidth="1"/>
    <col min="6" max="7" width="19.5" style="17" customWidth="1"/>
    <col min="8" max="8" width="13.19921875" style="17" customWidth="1"/>
    <col min="9" max="9" width="16.19921875" style="17" customWidth="1"/>
    <col min="10" max="10" width="11.19921875" style="17" customWidth="1"/>
    <col min="11" max="11" width="7.69921875" style="17" customWidth="1"/>
    <col min="12" max="12" width="12.69921875" style="17" customWidth="1"/>
    <col min="13" max="13" width="14.69921875" style="17" customWidth="1"/>
    <col min="14" max="14" width="15" style="17" customWidth="1"/>
    <col min="15" max="15" width="8.5" style="17" customWidth="1"/>
    <col min="16" max="17" width="7.69921875" style="17" customWidth="1"/>
    <col min="18" max="18" width="18.19921875" style="17" customWidth="1"/>
    <col min="19" max="20" width="10.5" style="17" customWidth="1"/>
    <col min="21" max="21" width="10.09765625" style="42" customWidth="1"/>
    <col min="22" max="22" width="8.59765625"/>
    <col min="23" max="23" width="12.09765625" style="100" customWidth="1"/>
    <col min="24" max="24" width="55" style="44" customWidth="1"/>
    <col min="25" max="25" width="16.59765625" style="17" customWidth="1"/>
    <col min="26" max="26" width="9" style="99"/>
    <col min="27" max="16384" width="9" style="17"/>
  </cols>
  <sheetData>
    <row r="1" spans="1:26" ht="14.25" customHeight="1">
      <c r="A1" s="470"/>
      <c r="C1" s="493"/>
      <c r="V1" s="470"/>
    </row>
    <row r="2" spans="1:26" ht="14.25" customHeight="1">
      <c r="A2" s="17" t="s">
        <v>19</v>
      </c>
      <c r="B2" s="17" t="s">
        <v>20</v>
      </c>
      <c r="C2" s="68" t="s">
        <v>21</v>
      </c>
      <c r="D2" s="17" t="s">
        <v>1653</v>
      </c>
      <c r="E2" s="17" t="s">
        <v>31</v>
      </c>
      <c r="F2" s="17" t="s">
        <v>1654</v>
      </c>
      <c r="G2" s="17" t="s">
        <v>1655</v>
      </c>
      <c r="H2" s="17" t="s">
        <v>25</v>
      </c>
      <c r="I2" s="17" t="s">
        <v>26</v>
      </c>
      <c r="J2" s="17" t="s">
        <v>124</v>
      </c>
      <c r="K2" s="17" t="s">
        <v>125</v>
      </c>
      <c r="L2" s="17" t="s">
        <v>750</v>
      </c>
      <c r="M2" s="17" t="s">
        <v>28</v>
      </c>
      <c r="N2" s="17" t="s">
        <v>29</v>
      </c>
      <c r="O2" s="17" t="s">
        <v>30</v>
      </c>
      <c r="P2" s="17" t="s">
        <v>751</v>
      </c>
      <c r="Q2" s="17" t="s">
        <v>752</v>
      </c>
      <c r="R2" s="67" t="s">
        <v>2710</v>
      </c>
      <c r="S2" s="67" t="s">
        <v>2711</v>
      </c>
      <c r="T2" s="100" t="s">
        <v>753</v>
      </c>
      <c r="U2" s="44" t="s">
        <v>33</v>
      </c>
      <c r="V2" s="17" t="s">
        <v>754</v>
      </c>
      <c r="W2" s="17" t="s">
        <v>2208</v>
      </c>
      <c r="X2" s="17"/>
      <c r="Z2" s="17"/>
    </row>
    <row r="3" spans="1:26" s="68" customFormat="1" ht="14.25" customHeight="1">
      <c r="A3" s="400" t="s">
        <v>2648</v>
      </c>
      <c r="B3" s="167" t="s">
        <v>357</v>
      </c>
      <c r="C3" s="168" t="s">
        <v>2703</v>
      </c>
      <c r="D3" s="398" t="s">
        <v>1656</v>
      </c>
      <c r="E3" s="414">
        <v>198645</v>
      </c>
      <c r="F3" s="163"/>
      <c r="G3" s="163"/>
      <c r="H3" s="163"/>
      <c r="I3" s="163"/>
      <c r="J3" s="163" t="s">
        <v>794</v>
      </c>
      <c r="K3" s="163" t="s">
        <v>794</v>
      </c>
      <c r="L3" s="163" t="s">
        <v>794</v>
      </c>
      <c r="M3" s="163" t="s">
        <v>294</v>
      </c>
      <c r="N3" s="163">
        <v>19.18421936</v>
      </c>
      <c r="O3" s="163">
        <v>93.699806210000006</v>
      </c>
      <c r="P3" s="163" t="s">
        <v>795</v>
      </c>
      <c r="Q3" s="163" t="s">
        <v>776</v>
      </c>
      <c r="R3" s="164"/>
      <c r="S3" s="162"/>
      <c r="T3" s="165"/>
      <c r="U3" s="166"/>
      <c r="V3" s="163" t="s">
        <v>360</v>
      </c>
      <c r="W3" s="399"/>
    </row>
    <row r="4" spans="1:26" s="68" customFormat="1" ht="14.25" customHeight="1">
      <c r="A4" s="400" t="s">
        <v>2648</v>
      </c>
      <c r="B4" s="175" t="s">
        <v>357</v>
      </c>
      <c r="C4" s="176" t="s">
        <v>362</v>
      </c>
      <c r="D4" s="398" t="s">
        <v>1656</v>
      </c>
      <c r="E4" s="171">
        <v>198647</v>
      </c>
      <c r="F4" s="171"/>
      <c r="G4" s="171"/>
      <c r="H4" s="171"/>
      <c r="I4" s="171"/>
      <c r="J4" s="171" t="s">
        <v>794</v>
      </c>
      <c r="K4" s="171" t="s">
        <v>794</v>
      </c>
      <c r="L4" s="171" t="s">
        <v>794</v>
      </c>
      <c r="M4" s="171" t="s">
        <v>294</v>
      </c>
      <c r="N4" s="171">
        <v>19.18943977</v>
      </c>
      <c r="O4" s="171">
        <v>93.733673100000004</v>
      </c>
      <c r="P4" s="171" t="s">
        <v>795</v>
      </c>
      <c r="Q4" s="171" t="s">
        <v>776</v>
      </c>
      <c r="R4" s="172"/>
      <c r="S4" s="170"/>
      <c r="T4" s="173"/>
      <c r="U4" s="174"/>
      <c r="V4" s="171" t="s">
        <v>362</v>
      </c>
      <c r="W4" s="399"/>
    </row>
    <row r="5" spans="1:26" s="68" customFormat="1" ht="14.25" customHeight="1">
      <c r="A5" s="400" t="s">
        <v>2648</v>
      </c>
      <c r="B5" s="167" t="s">
        <v>357</v>
      </c>
      <c r="C5" s="168" t="s">
        <v>2548</v>
      </c>
      <c r="D5" s="398"/>
      <c r="E5" s="163">
        <v>198667</v>
      </c>
      <c r="F5" s="163"/>
      <c r="G5" s="163"/>
      <c r="H5" s="163"/>
      <c r="I5" s="163"/>
      <c r="J5" s="163" t="s">
        <v>794</v>
      </c>
      <c r="K5" s="163" t="s">
        <v>794</v>
      </c>
      <c r="L5" s="163" t="s">
        <v>794</v>
      </c>
      <c r="M5" s="163" t="s">
        <v>294</v>
      </c>
      <c r="N5" s="163">
        <v>19.243989944458001</v>
      </c>
      <c r="O5" s="163">
        <v>93.714859008789105</v>
      </c>
      <c r="P5" s="482" t="s">
        <v>795</v>
      </c>
      <c r="Q5" s="163"/>
      <c r="R5" s="164"/>
      <c r="S5" s="162"/>
      <c r="T5" s="165"/>
      <c r="U5" s="166"/>
      <c r="V5" s="163"/>
      <c r="W5" s="399"/>
    </row>
    <row r="6" spans="1:26" s="68" customFormat="1" ht="14.25" customHeight="1">
      <c r="A6" s="400" t="s">
        <v>2648</v>
      </c>
      <c r="B6" s="396" t="s">
        <v>357</v>
      </c>
      <c r="C6" s="68" t="s">
        <v>367</v>
      </c>
      <c r="D6" s="431" t="s">
        <v>2288</v>
      </c>
      <c r="E6" s="68" t="s">
        <v>1347</v>
      </c>
      <c r="F6" s="68" t="s">
        <v>1735</v>
      </c>
      <c r="G6" s="68" t="s">
        <v>367</v>
      </c>
      <c r="H6" s="68" t="s">
        <v>40</v>
      </c>
      <c r="J6" s="68" t="s">
        <v>794</v>
      </c>
      <c r="K6" s="68" t="s">
        <v>794</v>
      </c>
      <c r="L6" s="68" t="s">
        <v>817</v>
      </c>
      <c r="M6" s="68" t="s">
        <v>294</v>
      </c>
      <c r="N6" s="68">
        <v>19.421102000000001</v>
      </c>
      <c r="O6" s="68">
        <v>93.552452000000002</v>
      </c>
      <c r="P6" s="68" t="s">
        <v>795</v>
      </c>
      <c r="Q6" s="68" t="s">
        <v>776</v>
      </c>
      <c r="R6" s="95">
        <v>65</v>
      </c>
      <c r="S6" s="96">
        <v>327</v>
      </c>
      <c r="T6" s="101"/>
      <c r="U6" s="97"/>
      <c r="V6" s="68" t="s">
        <v>367</v>
      </c>
      <c r="W6" s="396"/>
    </row>
    <row r="7" spans="1:26" s="68" customFormat="1" ht="14.25" customHeight="1">
      <c r="A7" s="400" t="s">
        <v>2648</v>
      </c>
      <c r="B7" s="396" t="s">
        <v>357</v>
      </c>
      <c r="C7" s="68" t="s">
        <v>3125</v>
      </c>
      <c r="D7" s="431"/>
      <c r="E7" s="68">
        <v>198475</v>
      </c>
      <c r="J7" s="68" t="s">
        <v>794</v>
      </c>
      <c r="K7" s="68" t="s">
        <v>794</v>
      </c>
      <c r="L7" s="163" t="s">
        <v>794</v>
      </c>
      <c r="M7" s="68" t="s">
        <v>294</v>
      </c>
      <c r="N7" s="68">
        <v>19.4781608581543</v>
      </c>
      <c r="O7" s="68">
        <v>93.622062683105497</v>
      </c>
      <c r="P7" s="482" t="s">
        <v>795</v>
      </c>
      <c r="R7" s="95"/>
      <c r="S7" s="400"/>
      <c r="T7" s="101"/>
      <c r="U7" s="97"/>
    </row>
    <row r="8" spans="1:26" s="68" customFormat="1" ht="14.25" customHeight="1">
      <c r="A8" s="400" t="s">
        <v>2648</v>
      </c>
      <c r="B8" s="396" t="s">
        <v>357</v>
      </c>
      <c r="C8" s="68" t="s">
        <v>359</v>
      </c>
      <c r="D8" s="431" t="s">
        <v>1656</v>
      </c>
      <c r="E8" s="68">
        <v>198611</v>
      </c>
      <c r="J8" s="68" t="s">
        <v>794</v>
      </c>
      <c r="K8" s="68" t="s">
        <v>794</v>
      </c>
      <c r="L8" s="68" t="s">
        <v>794</v>
      </c>
      <c r="M8" s="68" t="s">
        <v>294</v>
      </c>
      <c r="N8" s="68">
        <v>19.17564964</v>
      </c>
      <c r="O8" s="68">
        <v>93.596443179999994</v>
      </c>
      <c r="P8" s="68" t="s">
        <v>795</v>
      </c>
      <c r="Q8" s="68" t="s">
        <v>776</v>
      </c>
      <c r="R8" s="95"/>
      <c r="S8" s="96"/>
      <c r="T8" s="101"/>
      <c r="U8" s="97"/>
      <c r="V8" s="68" t="s">
        <v>359</v>
      </c>
    </row>
    <row r="9" spans="1:26" s="68" customFormat="1" ht="14.25" customHeight="1">
      <c r="A9" s="400" t="s">
        <v>2648</v>
      </c>
      <c r="B9" s="396" t="s">
        <v>357</v>
      </c>
      <c r="C9" s="68" t="s">
        <v>368</v>
      </c>
      <c r="D9" s="431" t="s">
        <v>2712</v>
      </c>
      <c r="E9" s="68" t="s">
        <v>1348</v>
      </c>
      <c r="F9" s="68" t="s">
        <v>1736</v>
      </c>
      <c r="G9" s="68" t="s">
        <v>1737</v>
      </c>
      <c r="H9" s="68" t="s">
        <v>40</v>
      </c>
      <c r="J9" s="68" t="s">
        <v>42</v>
      </c>
      <c r="K9" s="68" t="s">
        <v>42</v>
      </c>
      <c r="L9" s="68" t="s">
        <v>790</v>
      </c>
      <c r="M9" s="68" t="s">
        <v>791</v>
      </c>
      <c r="N9" s="68">
        <v>19.424576999999999</v>
      </c>
      <c r="O9" s="68">
        <v>93.512326000000002</v>
      </c>
      <c r="P9" s="68" t="s">
        <v>757</v>
      </c>
      <c r="Q9" s="68" t="s">
        <v>776</v>
      </c>
      <c r="R9" s="399">
        <v>415</v>
      </c>
      <c r="S9" s="400">
        <v>1050</v>
      </c>
      <c r="T9" s="101"/>
      <c r="U9" s="97"/>
      <c r="V9" s="68" t="s">
        <v>797</v>
      </c>
    </row>
    <row r="10" spans="1:26" s="68" customFormat="1" ht="14.25" customHeight="1">
      <c r="A10" s="400" t="s">
        <v>2648</v>
      </c>
      <c r="B10" s="397" t="s">
        <v>357</v>
      </c>
      <c r="C10" s="397" t="s">
        <v>2547</v>
      </c>
      <c r="D10" s="431"/>
      <c r="E10" s="68">
        <v>198508</v>
      </c>
      <c r="J10" s="68" t="s">
        <v>794</v>
      </c>
      <c r="K10" s="68" t="s">
        <v>794</v>
      </c>
      <c r="L10" s="163" t="s">
        <v>794</v>
      </c>
      <c r="M10" s="68" t="s">
        <v>294</v>
      </c>
      <c r="N10" s="68">
        <v>19.378620147705099</v>
      </c>
      <c r="O10" s="68">
        <v>93.483879089355497</v>
      </c>
      <c r="P10" s="482" t="s">
        <v>795</v>
      </c>
      <c r="R10" s="399"/>
      <c r="S10" s="96"/>
      <c r="T10" s="101"/>
      <c r="U10" s="97"/>
    </row>
    <row r="11" spans="1:26" s="68" customFormat="1" ht="14.25" customHeight="1">
      <c r="A11" s="400" t="s">
        <v>2648</v>
      </c>
      <c r="B11" s="396" t="s">
        <v>357</v>
      </c>
      <c r="C11" s="68" t="s">
        <v>796</v>
      </c>
      <c r="D11" s="431" t="s">
        <v>1656</v>
      </c>
      <c r="E11" s="68">
        <v>198612</v>
      </c>
      <c r="J11" s="68" t="s">
        <v>794</v>
      </c>
      <c r="K11" s="68" t="s">
        <v>794</v>
      </c>
      <c r="L11" s="68" t="s">
        <v>794</v>
      </c>
      <c r="M11" s="68" t="s">
        <v>294</v>
      </c>
      <c r="N11" s="68">
        <v>19.195390700000001</v>
      </c>
      <c r="O11" s="68">
        <v>93.585678099999996</v>
      </c>
      <c r="P11" s="68" t="s">
        <v>795</v>
      </c>
      <c r="R11" s="95"/>
      <c r="S11" s="400"/>
      <c r="T11" s="101"/>
      <c r="U11" s="97"/>
      <c r="V11" s="68" t="s">
        <v>796</v>
      </c>
      <c r="W11" s="396"/>
    </row>
    <row r="12" spans="1:26" s="68" customFormat="1" ht="14.25" customHeight="1">
      <c r="A12" s="400" t="s">
        <v>2648</v>
      </c>
      <c r="B12" s="396" t="s">
        <v>357</v>
      </c>
      <c r="C12" s="396" t="s">
        <v>2270</v>
      </c>
      <c r="D12" s="431"/>
      <c r="E12" s="68">
        <v>198464</v>
      </c>
      <c r="F12" s="68" t="s">
        <v>2270</v>
      </c>
      <c r="J12" s="68" t="s">
        <v>794</v>
      </c>
      <c r="K12" s="68" t="s">
        <v>794</v>
      </c>
      <c r="L12" s="68" t="s">
        <v>794</v>
      </c>
      <c r="M12" s="68" t="s">
        <v>294</v>
      </c>
      <c r="N12" s="68">
        <v>19.417640689999999</v>
      </c>
      <c r="O12" s="68">
        <v>93.565246579999993</v>
      </c>
      <c r="P12" s="482" t="s">
        <v>795</v>
      </c>
      <c r="Q12" s="68" t="s">
        <v>2236</v>
      </c>
      <c r="R12" s="399"/>
      <c r="S12" s="96"/>
      <c r="T12" s="101">
        <v>43462</v>
      </c>
      <c r="U12" s="97"/>
      <c r="W12" s="68" t="s">
        <v>2271</v>
      </c>
    </row>
    <row r="13" spans="1:26" s="68" customFormat="1" ht="14.25" customHeight="1">
      <c r="A13" s="400" t="s">
        <v>2648</v>
      </c>
      <c r="B13" s="396" t="s">
        <v>357</v>
      </c>
      <c r="C13" s="396" t="s">
        <v>364</v>
      </c>
      <c r="D13" s="431" t="s">
        <v>1656</v>
      </c>
      <c r="E13" s="68">
        <v>198516</v>
      </c>
      <c r="J13" s="68" t="s">
        <v>794</v>
      </c>
      <c r="K13" s="68" t="s">
        <v>794</v>
      </c>
      <c r="L13" s="68" t="s">
        <v>794</v>
      </c>
      <c r="M13" s="68" t="s">
        <v>294</v>
      </c>
      <c r="N13" s="68">
        <v>19.249820710000002</v>
      </c>
      <c r="O13" s="68">
        <v>93.551040650000004</v>
      </c>
      <c r="P13" s="68" t="s">
        <v>795</v>
      </c>
      <c r="Q13" s="68" t="s">
        <v>776</v>
      </c>
      <c r="R13" s="95"/>
      <c r="S13" s="400"/>
      <c r="T13" s="101"/>
      <c r="U13" s="97"/>
      <c r="V13" s="68" t="s">
        <v>364</v>
      </c>
    </row>
    <row r="14" spans="1:26" s="68" customFormat="1" ht="14.25" customHeight="1">
      <c r="A14" s="400" t="s">
        <v>2648</v>
      </c>
      <c r="B14" s="396" t="s">
        <v>357</v>
      </c>
      <c r="C14" s="396" t="s">
        <v>361</v>
      </c>
      <c r="D14" s="431" t="s">
        <v>1656</v>
      </c>
      <c r="E14" s="68">
        <v>198643</v>
      </c>
      <c r="J14" s="68" t="s">
        <v>794</v>
      </c>
      <c r="K14" s="68" t="s">
        <v>794</v>
      </c>
      <c r="L14" s="68" t="s">
        <v>794</v>
      </c>
      <c r="M14" s="68" t="s">
        <v>294</v>
      </c>
      <c r="N14" s="68">
        <v>19.18865967</v>
      </c>
      <c r="O14" s="68">
        <v>93.720703130000004</v>
      </c>
      <c r="P14" s="68" t="s">
        <v>795</v>
      </c>
      <c r="Q14" s="68" t="s">
        <v>776</v>
      </c>
      <c r="R14" s="95"/>
      <c r="S14" s="400"/>
      <c r="T14" s="101"/>
      <c r="U14" s="97"/>
      <c r="V14" s="68" t="s">
        <v>361</v>
      </c>
    </row>
    <row r="15" spans="1:26" s="68" customFormat="1" ht="14.25" customHeight="1">
      <c r="A15" s="400" t="s">
        <v>2648</v>
      </c>
      <c r="B15" s="397" t="s">
        <v>357</v>
      </c>
      <c r="C15" s="397" t="s">
        <v>3126</v>
      </c>
      <c r="D15" s="431"/>
      <c r="E15" s="68">
        <v>198476</v>
      </c>
      <c r="J15" s="68" t="s">
        <v>794</v>
      </c>
      <c r="K15" s="68" t="s">
        <v>794</v>
      </c>
      <c r="L15" s="163" t="s">
        <v>794</v>
      </c>
      <c r="M15" s="68" t="s">
        <v>294</v>
      </c>
      <c r="N15" s="68">
        <v>19.483570098876999</v>
      </c>
      <c r="O15" s="68">
        <v>93.639602661132798</v>
      </c>
      <c r="P15" s="482" t="s">
        <v>795</v>
      </c>
      <c r="R15" s="95"/>
      <c r="S15" s="400"/>
      <c r="T15" s="101"/>
      <c r="U15" s="97"/>
    </row>
    <row r="16" spans="1:26" s="68" customFormat="1" ht="14.25" customHeight="1">
      <c r="A16" s="400" t="s">
        <v>2648</v>
      </c>
      <c r="B16" s="397" t="s">
        <v>357</v>
      </c>
      <c r="C16" s="397" t="s">
        <v>363</v>
      </c>
      <c r="D16" s="431" t="s">
        <v>1656</v>
      </c>
      <c r="E16" s="68">
        <v>198514</v>
      </c>
      <c r="J16" s="68" t="s">
        <v>794</v>
      </c>
      <c r="K16" s="68" t="s">
        <v>794</v>
      </c>
      <c r="L16" s="68" t="s">
        <v>794</v>
      </c>
      <c r="M16" s="68" t="s">
        <v>294</v>
      </c>
      <c r="N16" s="68">
        <v>19.221920010000002</v>
      </c>
      <c r="O16" s="68">
        <v>93.571296689999997</v>
      </c>
      <c r="P16" s="68" t="s">
        <v>795</v>
      </c>
      <c r="Q16" s="68" t="s">
        <v>776</v>
      </c>
      <c r="R16" s="95"/>
      <c r="S16" s="400"/>
      <c r="T16" s="101"/>
      <c r="U16" s="97"/>
      <c r="V16" s="68" t="s">
        <v>363</v>
      </c>
      <c r="W16" s="396"/>
    </row>
    <row r="17" spans="1:23" s="68" customFormat="1" ht="14.25" customHeight="1">
      <c r="A17" s="400" t="s">
        <v>2648</v>
      </c>
      <c r="B17" s="397" t="s">
        <v>357</v>
      </c>
      <c r="C17" s="397" t="s">
        <v>365</v>
      </c>
      <c r="D17" s="431" t="s">
        <v>1656</v>
      </c>
      <c r="E17" s="396">
        <v>198512</v>
      </c>
      <c r="F17" s="396"/>
      <c r="G17" s="396"/>
      <c r="H17" s="396"/>
      <c r="I17" s="396"/>
      <c r="J17" s="396" t="s">
        <v>794</v>
      </c>
      <c r="K17" s="68" t="s">
        <v>794</v>
      </c>
      <c r="L17" s="68" t="s">
        <v>794</v>
      </c>
      <c r="M17" s="68" t="s">
        <v>294</v>
      </c>
      <c r="N17" s="396">
        <v>19.254320140000001</v>
      </c>
      <c r="O17" s="396">
        <v>93.548591610000003</v>
      </c>
      <c r="P17" s="68" t="s">
        <v>795</v>
      </c>
      <c r="Q17" s="396" t="s">
        <v>776</v>
      </c>
      <c r="R17" s="399"/>
      <c r="S17" s="400"/>
      <c r="T17" s="412"/>
      <c r="U17" s="401"/>
      <c r="V17" s="396" t="s">
        <v>365</v>
      </c>
    </row>
    <row r="18" spans="1:23" s="68" customFormat="1" ht="14.25" customHeight="1">
      <c r="A18" s="400" t="s">
        <v>2648</v>
      </c>
      <c r="B18" s="397" t="s">
        <v>357</v>
      </c>
      <c r="C18" s="397" t="s">
        <v>358</v>
      </c>
      <c r="D18" s="431" t="s">
        <v>1656</v>
      </c>
      <c r="E18" s="402">
        <v>198657</v>
      </c>
      <c r="J18" s="68" t="s">
        <v>794</v>
      </c>
      <c r="K18" s="68" t="s">
        <v>794</v>
      </c>
      <c r="L18" s="68" t="s">
        <v>794</v>
      </c>
      <c r="M18" s="68" t="s">
        <v>294</v>
      </c>
      <c r="N18" s="396">
        <v>19.170919420000001</v>
      </c>
      <c r="O18" s="396">
        <v>93.692680359999997</v>
      </c>
      <c r="P18" s="68" t="s">
        <v>795</v>
      </c>
      <c r="Q18" s="68" t="s">
        <v>776</v>
      </c>
      <c r="R18" s="95"/>
      <c r="S18" s="96"/>
      <c r="T18" s="101"/>
      <c r="U18" s="97"/>
      <c r="V18" s="68" t="s">
        <v>358</v>
      </c>
      <c r="W18" s="396"/>
    </row>
    <row r="19" spans="1:23" s="68" customFormat="1" ht="14.25" customHeight="1">
      <c r="A19" s="403" t="s">
        <v>2648</v>
      </c>
      <c r="B19" s="403" t="s">
        <v>302</v>
      </c>
      <c r="C19" s="404" t="s">
        <v>636</v>
      </c>
      <c r="D19" s="398"/>
      <c r="E19" s="396">
        <v>196824</v>
      </c>
      <c r="J19" s="68" t="s">
        <v>794</v>
      </c>
      <c r="K19" s="68" t="s">
        <v>794</v>
      </c>
      <c r="L19" s="68" t="s">
        <v>794</v>
      </c>
      <c r="M19" s="68" t="s">
        <v>1989</v>
      </c>
      <c r="N19" s="396">
        <v>20.855012890000001</v>
      </c>
      <c r="O19" s="396">
        <v>92.91</v>
      </c>
      <c r="P19" s="482" t="s">
        <v>795</v>
      </c>
      <c r="R19" s="405"/>
      <c r="S19" s="400"/>
      <c r="T19" s="101">
        <v>43591</v>
      </c>
      <c r="U19" s="405"/>
      <c r="W19" s="399"/>
    </row>
    <row r="20" spans="1:23" s="68" customFormat="1" ht="14.25" customHeight="1">
      <c r="A20" s="400" t="s">
        <v>2648</v>
      </c>
      <c r="B20" s="396" t="s">
        <v>302</v>
      </c>
      <c r="C20" s="68" t="s">
        <v>945</v>
      </c>
      <c r="D20" s="431" t="s">
        <v>2712</v>
      </c>
      <c r="E20" s="396" t="s">
        <v>1413</v>
      </c>
      <c r="F20" s="68" t="s">
        <v>1861</v>
      </c>
      <c r="G20" s="68" t="s">
        <v>945</v>
      </c>
      <c r="J20" s="68" t="s">
        <v>794</v>
      </c>
      <c r="K20" s="68" t="s">
        <v>794</v>
      </c>
      <c r="L20" s="68" t="s">
        <v>879</v>
      </c>
      <c r="M20" s="68" t="s">
        <v>791</v>
      </c>
      <c r="N20" s="406">
        <v>20.921424999999999</v>
      </c>
      <c r="O20" s="406">
        <v>93.003204999999994</v>
      </c>
      <c r="P20" s="68" t="s">
        <v>795</v>
      </c>
      <c r="R20" s="399">
        <v>24</v>
      </c>
      <c r="S20" s="400">
        <v>140</v>
      </c>
      <c r="T20" s="101"/>
      <c r="U20" s="97" t="s">
        <v>856</v>
      </c>
      <c r="V20" s="68" t="s">
        <v>945</v>
      </c>
    </row>
    <row r="21" spans="1:23" s="68" customFormat="1" ht="14.25" customHeight="1">
      <c r="A21" s="400" t="s">
        <v>2648</v>
      </c>
      <c r="B21" s="396" t="s">
        <v>302</v>
      </c>
      <c r="C21" s="396" t="s">
        <v>944</v>
      </c>
      <c r="D21" s="431" t="s">
        <v>2712</v>
      </c>
      <c r="E21" s="397" t="s">
        <v>1412</v>
      </c>
      <c r="F21" s="396" t="s">
        <v>944</v>
      </c>
      <c r="G21" s="68" t="s">
        <v>1860</v>
      </c>
      <c r="J21" s="68" t="s">
        <v>794</v>
      </c>
      <c r="K21" s="68" t="s">
        <v>794</v>
      </c>
      <c r="L21" s="68" t="s">
        <v>879</v>
      </c>
      <c r="M21" s="68" t="s">
        <v>791</v>
      </c>
      <c r="N21" s="406">
        <v>20.896740000000001</v>
      </c>
      <c r="O21" s="406">
        <v>93.014349999999993</v>
      </c>
      <c r="P21" s="68" t="s">
        <v>795</v>
      </c>
      <c r="R21" s="399">
        <v>14</v>
      </c>
      <c r="S21" s="400">
        <v>84</v>
      </c>
      <c r="T21" s="101"/>
      <c r="U21" s="97" t="s">
        <v>856</v>
      </c>
      <c r="V21" s="68" t="s">
        <v>944</v>
      </c>
      <c r="W21" s="396"/>
    </row>
    <row r="22" spans="1:23" s="68" customFormat="1" ht="14.25" customHeight="1">
      <c r="A22" s="400" t="s">
        <v>2648</v>
      </c>
      <c r="B22" s="396" t="s">
        <v>302</v>
      </c>
      <c r="C22" s="396" t="s">
        <v>303</v>
      </c>
      <c r="D22" s="431" t="s">
        <v>1656</v>
      </c>
      <c r="E22" s="396"/>
      <c r="F22" s="396"/>
      <c r="G22" s="396"/>
      <c r="H22" s="396"/>
      <c r="I22" s="396"/>
      <c r="J22" s="396" t="s">
        <v>794</v>
      </c>
      <c r="K22" s="396" t="s">
        <v>794</v>
      </c>
      <c r="L22" s="396" t="s">
        <v>794</v>
      </c>
      <c r="M22" s="396" t="s">
        <v>294</v>
      </c>
      <c r="N22" s="396"/>
      <c r="O22" s="396"/>
      <c r="P22" s="396" t="s">
        <v>795</v>
      </c>
      <c r="Q22" s="396" t="s">
        <v>776</v>
      </c>
      <c r="R22" s="399"/>
      <c r="S22" s="400"/>
      <c r="T22" s="412"/>
      <c r="U22" s="401"/>
      <c r="V22" s="396" t="s">
        <v>303</v>
      </c>
      <c r="W22" s="396"/>
    </row>
    <row r="23" spans="1:23" s="68" customFormat="1" ht="14.25" customHeight="1">
      <c r="A23" s="400" t="s">
        <v>2648</v>
      </c>
      <c r="B23" s="396" t="s">
        <v>302</v>
      </c>
      <c r="C23" s="396" t="s">
        <v>566</v>
      </c>
      <c r="D23" s="431" t="s">
        <v>2712</v>
      </c>
      <c r="E23" s="396" t="s">
        <v>1400</v>
      </c>
      <c r="F23" s="396"/>
      <c r="G23" s="396"/>
      <c r="H23" s="396"/>
      <c r="I23" s="396"/>
      <c r="J23" s="396" t="s">
        <v>794</v>
      </c>
      <c r="K23" s="396" t="s">
        <v>794</v>
      </c>
      <c r="L23" s="396" t="s">
        <v>879</v>
      </c>
      <c r="M23" s="396" t="s">
        <v>294</v>
      </c>
      <c r="N23" s="396">
        <v>20.720213000000001</v>
      </c>
      <c r="O23" s="396">
        <v>92.961841000000007</v>
      </c>
      <c r="P23" s="396" t="s">
        <v>795</v>
      </c>
      <c r="Q23" s="396" t="s">
        <v>776</v>
      </c>
      <c r="R23" s="399">
        <v>100</v>
      </c>
      <c r="S23" s="400">
        <v>559</v>
      </c>
      <c r="T23" s="412"/>
      <c r="U23" s="401"/>
      <c r="V23" s="396" t="s">
        <v>566</v>
      </c>
      <c r="W23" s="396"/>
    </row>
    <row r="24" spans="1:23" s="68" customFormat="1" ht="14.25" customHeight="1">
      <c r="A24" s="400" t="s">
        <v>2648</v>
      </c>
      <c r="B24" s="396" t="s">
        <v>302</v>
      </c>
      <c r="C24" s="68" t="s">
        <v>927</v>
      </c>
      <c r="D24" s="431" t="s">
        <v>1656</v>
      </c>
      <c r="E24" s="68">
        <v>196946</v>
      </c>
      <c r="J24" s="68" t="s">
        <v>794</v>
      </c>
      <c r="K24" s="68" t="s">
        <v>794</v>
      </c>
      <c r="L24" s="68" t="s">
        <v>794</v>
      </c>
      <c r="M24" s="68" t="s">
        <v>294</v>
      </c>
      <c r="N24" s="68">
        <v>20.720213000000001</v>
      </c>
      <c r="O24" s="68">
        <v>92.961841000000007</v>
      </c>
      <c r="P24" s="68" t="s">
        <v>795</v>
      </c>
      <c r="R24" s="95"/>
      <c r="S24" s="96"/>
      <c r="T24" s="101"/>
      <c r="U24" s="97"/>
      <c r="V24" s="68" t="s">
        <v>566</v>
      </c>
    </row>
    <row r="25" spans="1:23" s="68" customFormat="1" ht="14.25" customHeight="1">
      <c r="A25" s="400" t="s">
        <v>2648</v>
      </c>
      <c r="B25" s="396" t="s">
        <v>302</v>
      </c>
      <c r="C25" s="396" t="s">
        <v>696</v>
      </c>
      <c r="D25" s="431" t="s">
        <v>1656</v>
      </c>
      <c r="E25" s="396">
        <v>196878</v>
      </c>
      <c r="F25" s="396"/>
      <c r="G25" s="396"/>
      <c r="H25" s="396"/>
      <c r="I25" s="396"/>
      <c r="J25" s="396" t="s">
        <v>794</v>
      </c>
      <c r="K25" s="396" t="s">
        <v>794</v>
      </c>
      <c r="L25" s="396" t="s">
        <v>794</v>
      </c>
      <c r="M25" s="396" t="s">
        <v>294</v>
      </c>
      <c r="N25" s="396">
        <v>20.627639769999998</v>
      </c>
      <c r="O25" s="396">
        <v>93.022773740000005</v>
      </c>
      <c r="P25" s="396" t="s">
        <v>795</v>
      </c>
      <c r="Q25" s="396" t="s">
        <v>776</v>
      </c>
      <c r="R25" s="399"/>
      <c r="S25" s="400"/>
      <c r="T25" s="412"/>
      <c r="U25" s="401"/>
      <c r="V25" s="396"/>
      <c r="W25" s="396"/>
    </row>
    <row r="26" spans="1:23" s="68" customFormat="1" ht="14.25" customHeight="1">
      <c r="A26" s="403" t="s">
        <v>2648</v>
      </c>
      <c r="B26" s="403" t="s">
        <v>302</v>
      </c>
      <c r="C26" s="404" t="s">
        <v>2760</v>
      </c>
      <c r="D26" s="398"/>
      <c r="E26" s="163">
        <v>196937</v>
      </c>
      <c r="J26" s="68" t="s">
        <v>2652</v>
      </c>
      <c r="K26" s="68" t="s">
        <v>2622</v>
      </c>
      <c r="L26" s="68" t="s">
        <v>2622</v>
      </c>
      <c r="N26" s="163">
        <v>20.64656067</v>
      </c>
      <c r="O26" s="163">
        <v>92.976043700000005</v>
      </c>
      <c r="P26" s="482" t="s">
        <v>1972</v>
      </c>
      <c r="R26" s="405"/>
      <c r="S26" s="400"/>
      <c r="T26" s="101">
        <v>43591</v>
      </c>
      <c r="U26" s="405"/>
      <c r="W26" s="399"/>
    </row>
    <row r="27" spans="1:23" s="68" customFormat="1" ht="14.25" customHeight="1">
      <c r="A27" s="400" t="s">
        <v>2648</v>
      </c>
      <c r="B27" s="175" t="s">
        <v>302</v>
      </c>
      <c r="C27" s="176" t="s">
        <v>2272</v>
      </c>
      <c r="D27" s="398"/>
      <c r="E27" s="171">
        <v>196933</v>
      </c>
      <c r="F27" s="171" t="s">
        <v>867</v>
      </c>
      <c r="G27" s="171"/>
      <c r="H27" s="171"/>
      <c r="I27" s="171"/>
      <c r="J27" s="171" t="s">
        <v>794</v>
      </c>
      <c r="K27" s="171" t="s">
        <v>794</v>
      </c>
      <c r="L27" s="171" t="s">
        <v>794</v>
      </c>
      <c r="M27" s="171"/>
      <c r="N27" s="171">
        <v>20.66370964</v>
      </c>
      <c r="O27" s="171">
        <v>92.973167419999996</v>
      </c>
      <c r="P27" s="171" t="s">
        <v>795</v>
      </c>
      <c r="Q27" s="171" t="s">
        <v>2236</v>
      </c>
      <c r="R27" s="172"/>
      <c r="S27" s="170"/>
      <c r="T27" s="173">
        <v>43465</v>
      </c>
      <c r="U27" s="174" t="s">
        <v>2278</v>
      </c>
      <c r="V27" s="171" t="s">
        <v>2272</v>
      </c>
      <c r="W27" s="399"/>
    </row>
    <row r="28" spans="1:23" s="68" customFormat="1" ht="14.25" customHeight="1">
      <c r="A28" s="487" t="s">
        <v>2648</v>
      </c>
      <c r="B28" s="490" t="s">
        <v>302</v>
      </c>
      <c r="C28" s="491" t="s">
        <v>3166</v>
      </c>
      <c r="D28" s="398"/>
      <c r="E28" s="396">
        <v>196940</v>
      </c>
      <c r="F28" s="396" t="s">
        <v>3166</v>
      </c>
      <c r="G28" s="396"/>
      <c r="H28" s="396"/>
      <c r="I28" s="396"/>
      <c r="J28" s="396" t="s">
        <v>794</v>
      </c>
      <c r="K28" s="396" t="s">
        <v>794</v>
      </c>
      <c r="L28" s="396" t="s">
        <v>794</v>
      </c>
      <c r="M28" s="396"/>
      <c r="N28" s="396">
        <v>92.998542785644503</v>
      </c>
      <c r="O28" s="396">
        <v>20.6563606262207</v>
      </c>
      <c r="P28" s="482"/>
      <c r="Q28" s="396" t="s">
        <v>3163</v>
      </c>
      <c r="R28" s="405"/>
      <c r="S28" s="400"/>
      <c r="T28" s="412">
        <v>43935</v>
      </c>
      <c r="U28" s="405"/>
      <c r="V28" s="396"/>
      <c r="W28" s="399"/>
    </row>
    <row r="29" spans="1:23" s="68" customFormat="1" ht="14.25" customHeight="1">
      <c r="A29" s="403" t="s">
        <v>2648</v>
      </c>
      <c r="B29" s="403" t="s">
        <v>302</v>
      </c>
      <c r="C29" s="404" t="s">
        <v>2761</v>
      </c>
      <c r="D29" s="398"/>
      <c r="E29" s="396">
        <v>196940</v>
      </c>
      <c r="F29" s="396"/>
      <c r="G29" s="396"/>
      <c r="H29" s="396"/>
      <c r="I29" s="396"/>
      <c r="J29" s="68" t="s">
        <v>2652</v>
      </c>
      <c r="K29" s="68" t="s">
        <v>2622</v>
      </c>
      <c r="L29" s="68" t="s">
        <v>2622</v>
      </c>
      <c r="M29" s="396"/>
      <c r="N29" s="396">
        <v>20.6563606262207</v>
      </c>
      <c r="O29" s="396">
        <v>92.998542785644503</v>
      </c>
      <c r="P29" s="482" t="s">
        <v>1972</v>
      </c>
      <c r="Q29" s="396"/>
      <c r="R29" s="405"/>
      <c r="S29" s="400"/>
      <c r="T29" s="412">
        <v>43591</v>
      </c>
      <c r="U29" s="405"/>
      <c r="V29" s="396"/>
      <c r="W29" s="399"/>
    </row>
    <row r="30" spans="1:23" s="68" customFormat="1" ht="14.25" customHeight="1">
      <c r="A30" s="490" t="s">
        <v>2648</v>
      </c>
      <c r="B30" s="490" t="s">
        <v>302</v>
      </c>
      <c r="C30" s="491" t="s">
        <v>2759</v>
      </c>
      <c r="D30" s="485"/>
      <c r="E30" s="396">
        <v>196942</v>
      </c>
      <c r="F30" s="396"/>
      <c r="G30" s="396"/>
      <c r="H30" s="396"/>
      <c r="I30" s="396"/>
      <c r="J30" s="482" t="s">
        <v>2652</v>
      </c>
      <c r="K30" s="482" t="s">
        <v>2622</v>
      </c>
      <c r="L30" s="482" t="s">
        <v>2622</v>
      </c>
      <c r="M30" s="396"/>
      <c r="N30" s="396">
        <v>20.6715202331543</v>
      </c>
      <c r="O30" s="396">
        <v>92.998092651367202</v>
      </c>
      <c r="P30" s="396" t="s">
        <v>1972</v>
      </c>
      <c r="Q30" s="396"/>
      <c r="R30" s="494"/>
      <c r="S30" s="400"/>
      <c r="T30" s="412">
        <v>43591</v>
      </c>
      <c r="U30" s="494"/>
      <c r="V30" s="396"/>
      <c r="W30" s="486"/>
    </row>
    <row r="31" spans="1:23" s="68" customFormat="1" ht="14.25" customHeight="1">
      <c r="A31" s="487" t="s">
        <v>2648</v>
      </c>
      <c r="B31" s="490" t="s">
        <v>302</v>
      </c>
      <c r="C31" s="491" t="s">
        <v>3157</v>
      </c>
      <c r="D31" s="398"/>
      <c r="E31" s="396">
        <v>196962</v>
      </c>
      <c r="F31" s="396" t="s">
        <v>1750</v>
      </c>
      <c r="G31" s="396"/>
      <c r="H31" s="396"/>
      <c r="I31" s="396"/>
      <c r="J31" s="396" t="s">
        <v>794</v>
      </c>
      <c r="K31" s="396" t="s">
        <v>794</v>
      </c>
      <c r="L31" s="396" t="s">
        <v>794</v>
      </c>
      <c r="M31" s="396"/>
      <c r="N31" s="396">
        <v>92.983703613281307</v>
      </c>
      <c r="O31" s="396">
        <v>20.776130676269499</v>
      </c>
      <c r="P31" s="482"/>
      <c r="Q31" s="396" t="s">
        <v>3163</v>
      </c>
      <c r="R31" s="405"/>
      <c r="S31" s="400"/>
      <c r="T31" s="412">
        <v>43935</v>
      </c>
      <c r="U31" s="405"/>
      <c r="V31" s="396"/>
      <c r="W31" s="399"/>
    </row>
    <row r="32" spans="1:23" s="68" customFormat="1" ht="14.25" customHeight="1">
      <c r="A32" s="400" t="s">
        <v>2648</v>
      </c>
      <c r="B32" s="490" t="s">
        <v>302</v>
      </c>
      <c r="C32" s="491" t="s">
        <v>2948</v>
      </c>
      <c r="D32" s="485"/>
      <c r="E32" s="482"/>
      <c r="F32" s="482"/>
      <c r="G32" s="482"/>
      <c r="H32" s="482"/>
      <c r="I32" s="482"/>
      <c r="J32" s="482" t="s">
        <v>794</v>
      </c>
      <c r="K32" s="482" t="s">
        <v>794</v>
      </c>
      <c r="L32" s="482" t="s">
        <v>794</v>
      </c>
      <c r="M32" s="482"/>
      <c r="N32" s="482"/>
      <c r="O32" s="482"/>
      <c r="P32" s="482" t="s">
        <v>795</v>
      </c>
      <c r="Q32" s="482" t="s">
        <v>2961</v>
      </c>
      <c r="R32" s="494"/>
      <c r="S32" s="487"/>
      <c r="T32" s="506">
        <v>43768</v>
      </c>
      <c r="U32" s="494"/>
      <c r="V32" s="482"/>
      <c r="W32" s="486"/>
    </row>
    <row r="33" spans="1:23" s="68" customFormat="1" ht="14.25" customHeight="1">
      <c r="A33" s="487" t="s">
        <v>2648</v>
      </c>
      <c r="B33" s="490" t="s">
        <v>302</v>
      </c>
      <c r="C33" s="491" t="s">
        <v>2968</v>
      </c>
      <c r="D33" s="485"/>
      <c r="E33" s="396">
        <v>196947</v>
      </c>
      <c r="F33" s="68" t="s">
        <v>566</v>
      </c>
      <c r="J33" s="68" t="s">
        <v>794</v>
      </c>
      <c r="K33" s="68" t="s">
        <v>794</v>
      </c>
      <c r="L33" s="68" t="s">
        <v>794</v>
      </c>
      <c r="N33" s="68">
        <v>20.7181205749512</v>
      </c>
      <c r="O33" s="68">
        <v>92.965950012207003</v>
      </c>
      <c r="P33" s="68" t="s">
        <v>795</v>
      </c>
      <c r="Q33" s="68" t="s">
        <v>2961</v>
      </c>
      <c r="R33" s="494"/>
      <c r="S33" s="400"/>
      <c r="T33" s="101">
        <v>43768</v>
      </c>
      <c r="U33" s="494"/>
      <c r="W33" s="486"/>
    </row>
    <row r="34" spans="1:23" s="68" customFormat="1" ht="14.25" customHeight="1">
      <c r="A34" s="400" t="s">
        <v>2648</v>
      </c>
      <c r="B34" s="490" t="s">
        <v>302</v>
      </c>
      <c r="C34" s="491" t="s">
        <v>3167</v>
      </c>
      <c r="D34" s="485"/>
      <c r="E34" s="482">
        <v>196919</v>
      </c>
      <c r="F34" s="482" t="s">
        <v>3168</v>
      </c>
      <c r="G34" s="482"/>
      <c r="H34" s="482"/>
      <c r="I34" s="482"/>
      <c r="J34" s="68" t="s">
        <v>794</v>
      </c>
      <c r="K34" s="68" t="s">
        <v>794</v>
      </c>
      <c r="L34" s="68" t="s">
        <v>794</v>
      </c>
      <c r="M34" s="482"/>
      <c r="N34" s="482">
        <v>92.929412841796903</v>
      </c>
      <c r="O34" s="482">
        <v>20.642980575561499</v>
      </c>
      <c r="Q34" s="482" t="s">
        <v>3163</v>
      </c>
      <c r="R34" s="494"/>
      <c r="S34" s="487"/>
      <c r="T34" s="506">
        <v>43935</v>
      </c>
      <c r="U34" s="494"/>
      <c r="V34" s="482"/>
      <c r="W34" s="486"/>
    </row>
    <row r="35" spans="1:23" s="68" customFormat="1" ht="14.25" customHeight="1">
      <c r="A35" s="400" t="s">
        <v>2648</v>
      </c>
      <c r="B35" s="482" t="s">
        <v>302</v>
      </c>
      <c r="C35" s="482" t="s">
        <v>552</v>
      </c>
      <c r="D35" s="431" t="s">
        <v>1656</v>
      </c>
      <c r="E35" s="482">
        <v>196943</v>
      </c>
      <c r="F35" s="482"/>
      <c r="G35" s="482"/>
      <c r="H35" s="482"/>
      <c r="I35" s="482"/>
      <c r="J35" s="482" t="s">
        <v>794</v>
      </c>
      <c r="K35" s="482" t="s">
        <v>794</v>
      </c>
      <c r="L35" s="482" t="s">
        <v>794</v>
      </c>
      <c r="M35" s="482" t="s">
        <v>294</v>
      </c>
      <c r="N35" s="482">
        <v>20.705930710000001</v>
      </c>
      <c r="O35" s="482">
        <v>93.001953130000004</v>
      </c>
      <c r="P35" s="482" t="s">
        <v>795</v>
      </c>
      <c r="Q35" s="482" t="s">
        <v>776</v>
      </c>
      <c r="R35" s="486"/>
      <c r="S35" s="487"/>
      <c r="T35" s="506"/>
      <c r="U35" s="488"/>
      <c r="V35" s="482" t="s">
        <v>552</v>
      </c>
      <c r="W35" s="482"/>
    </row>
    <row r="36" spans="1:23" s="68" customFormat="1" ht="14.25" customHeight="1">
      <c r="A36" s="490" t="s">
        <v>2648</v>
      </c>
      <c r="B36" s="490" t="s">
        <v>302</v>
      </c>
      <c r="C36" s="491" t="s">
        <v>2756</v>
      </c>
      <c r="D36" s="485"/>
      <c r="E36" s="482">
        <v>196943</v>
      </c>
      <c r="F36" s="482"/>
      <c r="G36" s="482"/>
      <c r="H36" s="482"/>
      <c r="I36" s="482"/>
      <c r="J36" s="482" t="s">
        <v>2652</v>
      </c>
      <c r="K36" s="482" t="s">
        <v>2622</v>
      </c>
      <c r="L36" s="482" t="s">
        <v>2622</v>
      </c>
      <c r="M36" s="482"/>
      <c r="N36" s="482">
        <v>20.705930710000001</v>
      </c>
      <c r="O36" s="482">
        <v>93.001953130000004</v>
      </c>
      <c r="P36" s="482" t="s">
        <v>1972</v>
      </c>
      <c r="Q36" s="482"/>
      <c r="R36" s="494"/>
      <c r="S36" s="487"/>
      <c r="T36" s="506">
        <v>43591</v>
      </c>
      <c r="U36" s="494"/>
      <c r="V36" s="482"/>
      <c r="W36" s="486"/>
    </row>
    <row r="37" spans="1:23" s="68" customFormat="1" ht="14.25" customHeight="1">
      <c r="A37" s="487" t="s">
        <v>2648</v>
      </c>
      <c r="B37" s="167" t="s">
        <v>302</v>
      </c>
      <c r="C37" s="168" t="s">
        <v>635</v>
      </c>
      <c r="D37" s="398" t="s">
        <v>1656</v>
      </c>
      <c r="E37" s="163">
        <v>196825</v>
      </c>
      <c r="F37" s="163"/>
      <c r="G37" s="163"/>
      <c r="H37" s="163"/>
      <c r="I37" s="163"/>
      <c r="J37" s="482" t="s">
        <v>794</v>
      </c>
      <c r="K37" s="482" t="s">
        <v>794</v>
      </c>
      <c r="L37" s="482" t="s">
        <v>794</v>
      </c>
      <c r="M37" s="163" t="s">
        <v>1989</v>
      </c>
      <c r="N37" s="163">
        <v>20.851089479999999</v>
      </c>
      <c r="O37" s="163">
        <v>92.916893009999995</v>
      </c>
      <c r="P37" s="482" t="s">
        <v>795</v>
      </c>
      <c r="Q37" s="163" t="s">
        <v>922</v>
      </c>
      <c r="R37" s="164"/>
      <c r="S37" s="162"/>
      <c r="T37" s="165">
        <v>43011</v>
      </c>
      <c r="U37" s="166" t="s">
        <v>923</v>
      </c>
      <c r="V37" s="163"/>
      <c r="W37" s="399"/>
    </row>
    <row r="38" spans="1:23" s="68" customFormat="1" ht="14.25" customHeight="1">
      <c r="A38" s="400" t="s">
        <v>2648</v>
      </c>
      <c r="B38" s="482" t="s">
        <v>302</v>
      </c>
      <c r="C38" s="482" t="s">
        <v>514</v>
      </c>
      <c r="D38" s="431" t="s">
        <v>1656</v>
      </c>
      <c r="E38" s="482">
        <v>196983</v>
      </c>
      <c r="F38" s="482"/>
      <c r="G38" s="482"/>
      <c r="H38" s="482"/>
      <c r="I38" s="482"/>
      <c r="J38" s="68" t="s">
        <v>794</v>
      </c>
      <c r="K38" s="68" t="s">
        <v>794</v>
      </c>
      <c r="L38" s="68" t="s">
        <v>794</v>
      </c>
      <c r="M38" s="482" t="s">
        <v>294</v>
      </c>
      <c r="N38" s="482">
        <v>20.644098280000001</v>
      </c>
      <c r="O38" s="482">
        <v>93.036460880000007</v>
      </c>
      <c r="P38" s="68" t="s">
        <v>795</v>
      </c>
      <c r="Q38" s="482" t="s">
        <v>776</v>
      </c>
      <c r="R38" s="486"/>
      <c r="S38" s="487"/>
      <c r="T38" s="506"/>
      <c r="U38" s="488"/>
      <c r="V38" s="482"/>
      <c r="W38" s="482"/>
    </row>
    <row r="39" spans="1:23" s="68" customFormat="1" ht="14.25" customHeight="1">
      <c r="A39" s="487" t="s">
        <v>2648</v>
      </c>
      <c r="B39" s="482" t="s">
        <v>302</v>
      </c>
      <c r="C39" s="482" t="s">
        <v>556</v>
      </c>
      <c r="D39" s="431" t="s">
        <v>2712</v>
      </c>
      <c r="E39" s="68" t="s">
        <v>1397</v>
      </c>
      <c r="F39" s="68" t="s">
        <v>556</v>
      </c>
      <c r="G39" s="68" t="s">
        <v>1749</v>
      </c>
      <c r="J39" s="68" t="s">
        <v>794</v>
      </c>
      <c r="K39" s="482" t="s">
        <v>794</v>
      </c>
      <c r="L39" s="482" t="s">
        <v>879</v>
      </c>
      <c r="M39" s="68" t="s">
        <v>791</v>
      </c>
      <c r="N39" s="68">
        <v>20.713259999999998</v>
      </c>
      <c r="O39" s="68">
        <v>93.014089999999996</v>
      </c>
      <c r="P39" s="68" t="s">
        <v>795</v>
      </c>
      <c r="Q39" s="68" t="s">
        <v>776</v>
      </c>
      <c r="R39" s="486">
        <v>116</v>
      </c>
      <c r="S39" s="400">
        <v>802</v>
      </c>
      <c r="T39" s="101"/>
      <c r="U39" s="488"/>
      <c r="V39" s="68" t="s">
        <v>556</v>
      </c>
      <c r="W39" s="482"/>
    </row>
    <row r="40" spans="1:23" s="68" customFormat="1" ht="14.25" customHeight="1">
      <c r="A40" s="400" t="s">
        <v>2648</v>
      </c>
      <c r="B40" s="175" t="s">
        <v>302</v>
      </c>
      <c r="C40" s="176" t="s">
        <v>554</v>
      </c>
      <c r="D40" s="485" t="s">
        <v>1656</v>
      </c>
      <c r="E40" s="171">
        <v>196973</v>
      </c>
      <c r="F40" s="171"/>
      <c r="G40" s="171"/>
      <c r="H40" s="171"/>
      <c r="I40" s="171"/>
      <c r="J40" s="171" t="s">
        <v>794</v>
      </c>
      <c r="K40" s="171" t="s">
        <v>794</v>
      </c>
      <c r="L40" s="171" t="s">
        <v>794</v>
      </c>
      <c r="M40" s="171" t="s">
        <v>294</v>
      </c>
      <c r="N40" s="171">
        <v>20.709970469999998</v>
      </c>
      <c r="O40" s="171">
        <v>93.015357969999997</v>
      </c>
      <c r="P40" s="171" t="s">
        <v>795</v>
      </c>
      <c r="Q40" s="171" t="s">
        <v>776</v>
      </c>
      <c r="R40" s="172"/>
      <c r="S40" s="170"/>
      <c r="T40" s="173"/>
      <c r="U40" s="174"/>
      <c r="V40" s="171"/>
      <c r="W40" s="486"/>
    </row>
    <row r="41" spans="1:23" s="68" customFormat="1" ht="14.25" customHeight="1">
      <c r="A41" s="400" t="s">
        <v>2648</v>
      </c>
      <c r="B41" s="167" t="s">
        <v>302</v>
      </c>
      <c r="C41" s="168" t="s">
        <v>607</v>
      </c>
      <c r="D41" s="485" t="s">
        <v>1656</v>
      </c>
      <c r="E41" s="163">
        <v>196883</v>
      </c>
      <c r="F41" s="163"/>
      <c r="G41" s="163"/>
      <c r="H41" s="163"/>
      <c r="I41" s="163"/>
      <c r="J41" s="68" t="s">
        <v>794</v>
      </c>
      <c r="K41" s="68" t="s">
        <v>794</v>
      </c>
      <c r="L41" s="396" t="s">
        <v>794</v>
      </c>
      <c r="M41" s="163" t="s">
        <v>1989</v>
      </c>
      <c r="N41" s="163">
        <v>20.803529739999998</v>
      </c>
      <c r="O41" s="163">
        <v>92.929466250000004</v>
      </c>
      <c r="P41" s="396" t="s">
        <v>795</v>
      </c>
      <c r="Q41" s="163"/>
      <c r="R41" s="164"/>
      <c r="S41" s="162"/>
      <c r="T41" s="165"/>
      <c r="U41" s="166"/>
      <c r="V41" s="163" t="s">
        <v>607</v>
      </c>
      <c r="W41" s="486"/>
    </row>
    <row r="42" spans="1:23" s="68" customFormat="1" ht="14.25" customHeight="1">
      <c r="A42" s="490" t="s">
        <v>2648</v>
      </c>
      <c r="B42" s="490" t="s">
        <v>302</v>
      </c>
      <c r="C42" s="491" t="s">
        <v>2755</v>
      </c>
      <c r="D42" s="485"/>
      <c r="E42" s="396"/>
      <c r="F42" s="396"/>
      <c r="G42" s="396"/>
      <c r="H42" s="396"/>
      <c r="I42" s="396"/>
      <c r="J42" s="396" t="s">
        <v>2652</v>
      </c>
      <c r="K42" s="396" t="s">
        <v>2622</v>
      </c>
      <c r="L42" s="396" t="s">
        <v>2622</v>
      </c>
      <c r="M42" s="396"/>
      <c r="N42" s="396"/>
      <c r="O42" s="396"/>
      <c r="P42" s="482" t="s">
        <v>1972</v>
      </c>
      <c r="Q42" s="396"/>
      <c r="R42" s="494"/>
      <c r="S42" s="400"/>
      <c r="T42" s="412">
        <v>43591</v>
      </c>
      <c r="U42" s="494"/>
      <c r="V42" s="396"/>
      <c r="W42" s="486"/>
    </row>
    <row r="43" spans="1:23" s="68" customFormat="1" ht="14.25" customHeight="1">
      <c r="A43" s="400" t="s">
        <v>2648</v>
      </c>
      <c r="B43" s="167" t="s">
        <v>302</v>
      </c>
      <c r="C43" s="168" t="s">
        <v>547</v>
      </c>
      <c r="D43" s="431" t="s">
        <v>2712</v>
      </c>
      <c r="E43" s="163" t="s">
        <v>1396</v>
      </c>
      <c r="F43" s="163" t="s">
        <v>552</v>
      </c>
      <c r="G43" s="163" t="s">
        <v>547</v>
      </c>
      <c r="H43" s="163"/>
      <c r="I43" s="163"/>
      <c r="J43" s="396" t="s">
        <v>794</v>
      </c>
      <c r="K43" s="396" t="s">
        <v>794</v>
      </c>
      <c r="L43" s="396" t="s">
        <v>879</v>
      </c>
      <c r="M43" s="396" t="s">
        <v>791</v>
      </c>
      <c r="N43" s="163">
        <v>93.009900000000002</v>
      </c>
      <c r="O43" s="163">
        <v>20.696819999999999</v>
      </c>
      <c r="P43" s="396" t="s">
        <v>795</v>
      </c>
      <c r="Q43" s="163" t="s">
        <v>776</v>
      </c>
      <c r="R43" s="399">
        <v>236</v>
      </c>
      <c r="S43" s="400">
        <v>1524</v>
      </c>
      <c r="T43" s="165"/>
      <c r="U43" s="166"/>
      <c r="V43" s="163" t="s">
        <v>924</v>
      </c>
      <c r="W43" s="486"/>
    </row>
    <row r="44" spans="1:23" s="68" customFormat="1" ht="14.25" customHeight="1">
      <c r="A44" s="487" t="s">
        <v>2648</v>
      </c>
      <c r="B44" s="490" t="s">
        <v>302</v>
      </c>
      <c r="C44" s="491" t="s">
        <v>2718</v>
      </c>
      <c r="D44" s="485"/>
      <c r="E44" s="68">
        <v>196906</v>
      </c>
      <c r="J44" s="68" t="s">
        <v>794</v>
      </c>
      <c r="K44" s="68" t="s">
        <v>794</v>
      </c>
      <c r="L44" s="68" t="s">
        <v>794</v>
      </c>
      <c r="N44" s="68">
        <v>20.680830001831101</v>
      </c>
      <c r="O44" s="68">
        <v>92.917633056640597</v>
      </c>
      <c r="P44" s="68" t="s">
        <v>795</v>
      </c>
      <c r="R44" s="494"/>
      <c r="S44" s="96"/>
      <c r="T44" s="101">
        <v>43591</v>
      </c>
      <c r="U44" s="494"/>
      <c r="W44" s="486"/>
    </row>
    <row r="45" spans="1:23" s="68" customFormat="1" ht="14.25" customHeight="1">
      <c r="A45" s="487" t="s">
        <v>2648</v>
      </c>
      <c r="B45" s="482" t="s">
        <v>302</v>
      </c>
      <c r="C45" s="482" t="s">
        <v>2221</v>
      </c>
      <c r="D45" s="431"/>
      <c r="E45" s="396">
        <v>196804</v>
      </c>
      <c r="F45" s="396"/>
      <c r="G45" s="396"/>
      <c r="H45" s="396"/>
      <c r="I45" s="396"/>
      <c r="J45" s="396" t="s">
        <v>794</v>
      </c>
      <c r="K45" s="396" t="s">
        <v>794</v>
      </c>
      <c r="L45" s="396" t="s">
        <v>794</v>
      </c>
      <c r="M45" s="396"/>
      <c r="N45" s="396">
        <v>20.896429059999999</v>
      </c>
      <c r="O45" s="396">
        <v>92.940193179999994</v>
      </c>
      <c r="P45" s="482" t="s">
        <v>795</v>
      </c>
      <c r="Q45" s="396"/>
      <c r="R45" s="486"/>
      <c r="S45" s="400"/>
      <c r="T45" s="412"/>
      <c r="U45" s="488"/>
      <c r="V45" s="396" t="s">
        <v>2213</v>
      </c>
      <c r="W45" s="482"/>
    </row>
    <row r="46" spans="1:23" s="68" customFormat="1" ht="14.25" customHeight="1">
      <c r="A46" s="400" t="s">
        <v>2648</v>
      </c>
      <c r="B46" s="396" t="s">
        <v>302</v>
      </c>
      <c r="C46" s="396" t="s">
        <v>2222</v>
      </c>
      <c r="D46" s="431"/>
      <c r="E46" s="396">
        <v>196816</v>
      </c>
      <c r="F46" s="396"/>
      <c r="G46" s="396"/>
      <c r="H46" s="396"/>
      <c r="I46" s="396"/>
      <c r="J46" s="482" t="s">
        <v>794</v>
      </c>
      <c r="K46" s="482" t="s">
        <v>794</v>
      </c>
      <c r="L46" s="482" t="s">
        <v>794</v>
      </c>
      <c r="M46" s="396"/>
      <c r="N46" s="396">
        <v>20.727590559999999</v>
      </c>
      <c r="O46" s="396">
        <v>92.969352720000003</v>
      </c>
      <c r="P46" s="396" t="s">
        <v>795</v>
      </c>
      <c r="Q46" s="396"/>
      <c r="R46" s="399"/>
      <c r="S46" s="400"/>
      <c r="T46" s="412"/>
      <c r="U46" s="401"/>
      <c r="V46" s="396" t="s">
        <v>2215</v>
      </c>
      <c r="W46" s="396"/>
    </row>
    <row r="47" spans="1:23" s="68" customFormat="1" ht="14.25" customHeight="1">
      <c r="A47" s="490" t="s">
        <v>2648</v>
      </c>
      <c r="B47" s="490" t="s">
        <v>302</v>
      </c>
      <c r="C47" s="491" t="s">
        <v>2805</v>
      </c>
      <c r="D47" s="485"/>
      <c r="J47" s="482" t="s">
        <v>2652</v>
      </c>
      <c r="K47" s="482" t="s">
        <v>2622</v>
      </c>
      <c r="L47" s="482" t="s">
        <v>2622</v>
      </c>
      <c r="P47" s="68" t="s">
        <v>1972</v>
      </c>
      <c r="R47" s="494"/>
      <c r="S47" s="400"/>
      <c r="T47" s="101">
        <v>43591</v>
      </c>
      <c r="U47" s="494"/>
      <c r="W47" s="486"/>
    </row>
    <row r="48" spans="1:23" s="68" customFormat="1" ht="14.25" customHeight="1">
      <c r="A48" s="400" t="s">
        <v>2648</v>
      </c>
      <c r="B48" s="396" t="s">
        <v>302</v>
      </c>
      <c r="C48" s="396" t="s">
        <v>2280</v>
      </c>
      <c r="D48" s="431"/>
      <c r="E48" s="396">
        <v>196938</v>
      </c>
      <c r="F48" s="396" t="s">
        <v>2276</v>
      </c>
      <c r="G48" s="396"/>
      <c r="H48" s="396"/>
      <c r="I48" s="396"/>
      <c r="J48" s="396" t="s">
        <v>794</v>
      </c>
      <c r="K48" s="396" t="s">
        <v>794</v>
      </c>
      <c r="L48" s="396" t="s">
        <v>794</v>
      </c>
      <c r="M48" s="396"/>
      <c r="N48" s="396">
        <v>20.640909189999999</v>
      </c>
      <c r="O48" s="396">
        <v>92.979751590000006</v>
      </c>
      <c r="P48" s="396" t="s">
        <v>795</v>
      </c>
      <c r="Q48" s="396" t="s">
        <v>2236</v>
      </c>
      <c r="R48" s="399"/>
      <c r="S48" s="400"/>
      <c r="T48" s="412">
        <v>43465</v>
      </c>
      <c r="U48" s="401" t="s">
        <v>2278</v>
      </c>
      <c r="V48" s="396" t="s">
        <v>2274</v>
      </c>
      <c r="W48" s="396"/>
    </row>
    <row r="49" spans="1:23" s="68" customFormat="1" ht="14.25" customHeight="1">
      <c r="A49" s="400" t="s">
        <v>2648</v>
      </c>
      <c r="B49" s="396" t="s">
        <v>302</v>
      </c>
      <c r="C49" s="396" t="s">
        <v>645</v>
      </c>
      <c r="D49" s="431" t="s">
        <v>2712</v>
      </c>
      <c r="E49" s="396" t="s">
        <v>1411</v>
      </c>
      <c r="F49" s="396" t="s">
        <v>1755</v>
      </c>
      <c r="G49" s="396" t="s">
        <v>1756</v>
      </c>
      <c r="H49" s="396"/>
      <c r="I49" s="396"/>
      <c r="J49" s="68" t="s">
        <v>794</v>
      </c>
      <c r="K49" s="68" t="s">
        <v>794</v>
      </c>
      <c r="L49" s="68" t="s">
        <v>817</v>
      </c>
      <c r="M49" s="396" t="s">
        <v>791</v>
      </c>
      <c r="N49" s="396">
        <v>20.886997999999998</v>
      </c>
      <c r="O49" s="396">
        <v>93.006497999999993</v>
      </c>
      <c r="P49" s="68" t="s">
        <v>795</v>
      </c>
      <c r="Q49" s="396" t="s">
        <v>776</v>
      </c>
      <c r="R49" s="399">
        <v>97</v>
      </c>
      <c r="S49" s="400">
        <v>557</v>
      </c>
      <c r="T49" s="412"/>
      <c r="U49" s="401"/>
      <c r="V49" s="396" t="s">
        <v>645</v>
      </c>
    </row>
    <row r="50" spans="1:23" s="68" customFormat="1" ht="14.25" customHeight="1">
      <c r="A50" s="490" t="s">
        <v>2648</v>
      </c>
      <c r="B50" s="490" t="s">
        <v>302</v>
      </c>
      <c r="C50" s="491" t="s">
        <v>2762</v>
      </c>
      <c r="D50" s="485"/>
      <c r="E50" s="68">
        <v>196865</v>
      </c>
      <c r="J50" s="68" t="s">
        <v>2652</v>
      </c>
      <c r="K50" s="68" t="s">
        <v>2622</v>
      </c>
      <c r="L50" s="68" t="s">
        <v>2622</v>
      </c>
      <c r="N50" s="68">
        <v>20.8122158050537</v>
      </c>
      <c r="O50" s="68">
        <v>93.061012268066406</v>
      </c>
      <c r="P50" s="68" t="s">
        <v>1972</v>
      </c>
      <c r="R50" s="494"/>
      <c r="S50" s="96"/>
      <c r="T50" s="101">
        <v>43591</v>
      </c>
      <c r="U50" s="494"/>
      <c r="W50" s="486"/>
    </row>
    <row r="51" spans="1:23" s="68" customFormat="1" ht="14.25" customHeight="1">
      <c r="A51" s="400" t="s">
        <v>2648</v>
      </c>
      <c r="B51" s="396" t="s">
        <v>302</v>
      </c>
      <c r="C51" s="396" t="s">
        <v>654</v>
      </c>
      <c r="D51" s="431" t="s">
        <v>1656</v>
      </c>
      <c r="E51" s="396">
        <v>196807</v>
      </c>
      <c r="F51" s="396"/>
      <c r="G51" s="396"/>
      <c r="H51" s="396"/>
      <c r="I51" s="396"/>
      <c r="J51" s="396" t="s">
        <v>794</v>
      </c>
      <c r="K51" s="396" t="s">
        <v>794</v>
      </c>
      <c r="L51" s="396" t="s">
        <v>794</v>
      </c>
      <c r="M51" s="396" t="s">
        <v>1989</v>
      </c>
      <c r="N51" s="396">
        <v>20.895059589999999</v>
      </c>
      <c r="O51" s="396">
        <v>92.90735626</v>
      </c>
      <c r="P51" s="396" t="s">
        <v>795</v>
      </c>
      <c r="Q51" s="396" t="s">
        <v>922</v>
      </c>
      <c r="R51" s="399"/>
      <c r="S51" s="400"/>
      <c r="T51" s="412">
        <v>43011</v>
      </c>
      <c r="U51" s="401" t="s">
        <v>923</v>
      </c>
      <c r="V51" s="396"/>
      <c r="W51" s="396"/>
    </row>
    <row r="52" spans="1:23" s="68" customFormat="1" ht="14.25" customHeight="1">
      <c r="A52" s="487" t="s">
        <v>2648</v>
      </c>
      <c r="B52" s="482" t="s">
        <v>302</v>
      </c>
      <c r="C52" s="482" t="s">
        <v>615</v>
      </c>
      <c r="D52" s="431" t="s">
        <v>1656</v>
      </c>
      <c r="E52" s="396">
        <v>196882</v>
      </c>
      <c r="J52" s="482" t="s">
        <v>794</v>
      </c>
      <c r="K52" s="482" t="s">
        <v>794</v>
      </c>
      <c r="L52" s="482" t="s">
        <v>794</v>
      </c>
      <c r="M52" s="68" t="s">
        <v>1989</v>
      </c>
      <c r="N52" s="68">
        <v>20.807970050000002</v>
      </c>
      <c r="O52" s="68">
        <v>92.929046630000002</v>
      </c>
      <c r="P52" s="68" t="s">
        <v>795</v>
      </c>
      <c r="Q52" s="68" t="s">
        <v>922</v>
      </c>
      <c r="R52" s="486"/>
      <c r="S52" s="400"/>
      <c r="T52" s="101">
        <v>43011</v>
      </c>
      <c r="U52" s="488" t="s">
        <v>923</v>
      </c>
      <c r="W52" s="482"/>
    </row>
    <row r="53" spans="1:23" s="68" customFormat="1" ht="14.25" customHeight="1">
      <c r="A53" s="487" t="s">
        <v>2648</v>
      </c>
      <c r="B53" s="482" t="s">
        <v>302</v>
      </c>
      <c r="C53" s="482" t="s">
        <v>697</v>
      </c>
      <c r="D53" s="431" t="s">
        <v>1656</v>
      </c>
      <c r="E53" s="68">
        <v>196875</v>
      </c>
      <c r="J53" s="68" t="s">
        <v>794</v>
      </c>
      <c r="K53" s="68" t="s">
        <v>794</v>
      </c>
      <c r="L53" s="68" t="s">
        <v>794</v>
      </c>
      <c r="M53" s="68" t="s">
        <v>294</v>
      </c>
      <c r="N53" s="68">
        <v>20.60802078</v>
      </c>
      <c r="O53" s="68">
        <v>93.035400390000007</v>
      </c>
      <c r="P53" s="482" t="s">
        <v>795</v>
      </c>
      <c r="Q53" s="68" t="s">
        <v>776</v>
      </c>
      <c r="R53" s="486"/>
      <c r="S53" s="400"/>
      <c r="T53" s="101"/>
      <c r="U53" s="488"/>
      <c r="W53" s="482"/>
    </row>
    <row r="54" spans="1:23" s="68" customFormat="1" ht="14.25" customHeight="1">
      <c r="A54" s="487" t="s">
        <v>2648</v>
      </c>
      <c r="B54" s="482" t="s">
        <v>302</v>
      </c>
      <c r="C54" s="482" t="s">
        <v>695</v>
      </c>
      <c r="D54" s="431" t="s">
        <v>1656</v>
      </c>
      <c r="E54" s="68">
        <v>196971</v>
      </c>
      <c r="J54" s="482" t="s">
        <v>794</v>
      </c>
      <c r="K54" s="482" t="s">
        <v>794</v>
      </c>
      <c r="L54" s="482" t="s">
        <v>794</v>
      </c>
      <c r="M54" s="68" t="s">
        <v>294</v>
      </c>
      <c r="N54" s="68">
        <v>20.716699599999998</v>
      </c>
      <c r="O54" s="68">
        <v>92.997863769999995</v>
      </c>
      <c r="P54" s="68" t="s">
        <v>795</v>
      </c>
      <c r="Q54" s="68" t="s">
        <v>776</v>
      </c>
      <c r="R54" s="486"/>
      <c r="S54" s="400"/>
      <c r="T54" s="101"/>
      <c r="U54" s="488"/>
      <c r="W54" s="482"/>
    </row>
    <row r="55" spans="1:23" s="68" customFormat="1" ht="14.25" customHeight="1">
      <c r="A55" s="487" t="s">
        <v>2648</v>
      </c>
      <c r="B55" s="482" t="s">
        <v>302</v>
      </c>
      <c r="C55" s="482" t="s">
        <v>916</v>
      </c>
      <c r="D55" s="431" t="s">
        <v>1656</v>
      </c>
      <c r="E55" s="482">
        <v>196926</v>
      </c>
      <c r="F55" s="482"/>
      <c r="G55" s="482"/>
      <c r="H55" s="482"/>
      <c r="I55" s="482"/>
      <c r="J55" s="482" t="s">
        <v>794</v>
      </c>
      <c r="K55" s="482" t="s">
        <v>794</v>
      </c>
      <c r="L55" s="482" t="s">
        <v>794</v>
      </c>
      <c r="M55" s="482" t="s">
        <v>294</v>
      </c>
      <c r="N55" s="482">
        <v>20.644800190000002</v>
      </c>
      <c r="O55" s="482">
        <v>92.945426940000004</v>
      </c>
      <c r="P55" s="482" t="s">
        <v>795</v>
      </c>
      <c r="Q55" s="482"/>
      <c r="R55" s="486"/>
      <c r="S55" s="487"/>
      <c r="T55" s="506"/>
      <c r="U55" s="488"/>
      <c r="V55" s="482" t="s">
        <v>916</v>
      </c>
      <c r="W55" s="482"/>
    </row>
    <row r="56" spans="1:23" s="68" customFormat="1" ht="14.25" customHeight="1">
      <c r="A56" s="487" t="s">
        <v>2648</v>
      </c>
      <c r="B56" s="482" t="s">
        <v>302</v>
      </c>
      <c r="C56" s="482" t="s">
        <v>610</v>
      </c>
      <c r="D56" s="431" t="s">
        <v>2712</v>
      </c>
      <c r="E56" s="482" t="s">
        <v>1403</v>
      </c>
      <c r="F56" s="482" t="s">
        <v>1752</v>
      </c>
      <c r="G56" s="482" t="s">
        <v>614</v>
      </c>
      <c r="H56" s="482"/>
      <c r="I56" s="482"/>
      <c r="J56" s="482" t="s">
        <v>794</v>
      </c>
      <c r="K56" s="482" t="s">
        <v>794</v>
      </c>
      <c r="L56" s="482" t="s">
        <v>879</v>
      </c>
      <c r="M56" s="482" t="s">
        <v>791</v>
      </c>
      <c r="N56" s="482">
        <v>20.805734000000001</v>
      </c>
      <c r="O56" s="482">
        <v>92.982675999999998</v>
      </c>
      <c r="P56" s="482" t="s">
        <v>795</v>
      </c>
      <c r="Q56" s="482" t="s">
        <v>776</v>
      </c>
      <c r="R56" s="486">
        <v>18</v>
      </c>
      <c r="S56" s="487">
        <v>157</v>
      </c>
      <c r="T56" s="506"/>
      <c r="U56" s="488"/>
      <c r="V56" s="482" t="s">
        <v>610</v>
      </c>
      <c r="W56" s="482"/>
    </row>
    <row r="57" spans="1:23" s="68" customFormat="1" ht="14.25" customHeight="1">
      <c r="A57" s="400" t="s">
        <v>2648</v>
      </c>
      <c r="B57" s="490" t="s">
        <v>302</v>
      </c>
      <c r="C57" s="491" t="s">
        <v>3169</v>
      </c>
      <c r="D57" s="485"/>
      <c r="E57" s="482">
        <v>196925</v>
      </c>
      <c r="F57" s="482" t="s">
        <v>3170</v>
      </c>
      <c r="G57" s="482"/>
      <c r="H57" s="482"/>
      <c r="I57" s="482"/>
      <c r="J57" s="482" t="s">
        <v>794</v>
      </c>
      <c r="K57" s="482" t="s">
        <v>794</v>
      </c>
      <c r="L57" s="482" t="s">
        <v>794</v>
      </c>
      <c r="M57" s="482"/>
      <c r="N57" s="482">
        <v>92.934356689453097</v>
      </c>
      <c r="O57" s="482">
        <v>20.657760620117202</v>
      </c>
      <c r="P57" s="482"/>
      <c r="Q57" s="482" t="s">
        <v>3163</v>
      </c>
      <c r="R57" s="494"/>
      <c r="S57" s="487"/>
      <c r="T57" s="506">
        <v>43935</v>
      </c>
      <c r="U57" s="494"/>
      <c r="V57" s="482"/>
      <c r="W57" s="486"/>
    </row>
    <row r="58" spans="1:23" s="68" customFormat="1" ht="14.25" customHeight="1">
      <c r="A58" s="487" t="s">
        <v>2648</v>
      </c>
      <c r="B58" s="482" t="s">
        <v>302</v>
      </c>
      <c r="C58" s="482" t="s">
        <v>596</v>
      </c>
      <c r="D58" s="431" t="s">
        <v>1656</v>
      </c>
      <c r="E58" s="68">
        <v>196887</v>
      </c>
      <c r="J58" s="482" t="s">
        <v>794</v>
      </c>
      <c r="K58" s="482" t="s">
        <v>794</v>
      </c>
      <c r="L58" s="482" t="s">
        <v>794</v>
      </c>
      <c r="M58" s="68" t="s">
        <v>1989</v>
      </c>
      <c r="N58" s="68">
        <v>20.785770419999999</v>
      </c>
      <c r="O58" s="68">
        <v>92.931426999999999</v>
      </c>
      <c r="P58" s="68" t="s">
        <v>795</v>
      </c>
      <c r="Q58" s="68" t="s">
        <v>922</v>
      </c>
      <c r="R58" s="486"/>
      <c r="S58" s="96"/>
      <c r="T58" s="101">
        <v>43011</v>
      </c>
      <c r="U58" s="488" t="s">
        <v>923</v>
      </c>
      <c r="W58" s="482"/>
    </row>
    <row r="59" spans="1:23" s="68" customFormat="1" ht="14.25" customHeight="1">
      <c r="A59" s="487" t="s">
        <v>2648</v>
      </c>
      <c r="B59" s="490" t="s">
        <v>302</v>
      </c>
      <c r="C59" s="491" t="s">
        <v>2940</v>
      </c>
      <c r="D59" s="485"/>
      <c r="E59" s="482"/>
      <c r="F59" s="482"/>
      <c r="G59" s="482"/>
      <c r="H59" s="482"/>
      <c r="I59" s="482"/>
      <c r="J59" s="68" t="s">
        <v>794</v>
      </c>
      <c r="K59" s="68" t="s">
        <v>794</v>
      </c>
      <c r="L59" s="68" t="s">
        <v>794</v>
      </c>
      <c r="M59" s="482"/>
      <c r="N59" s="482"/>
      <c r="O59" s="482"/>
      <c r="P59" s="68" t="s">
        <v>795</v>
      </c>
      <c r="Q59" s="482" t="s">
        <v>2961</v>
      </c>
      <c r="R59" s="494"/>
      <c r="S59" s="487"/>
      <c r="T59" s="506">
        <v>43768</v>
      </c>
      <c r="U59" s="494"/>
      <c r="V59" s="482"/>
      <c r="W59" s="486"/>
    </row>
    <row r="60" spans="1:23" s="68" customFormat="1" ht="14.25" customHeight="1">
      <c r="A60" s="490" t="s">
        <v>2648</v>
      </c>
      <c r="B60" s="490" t="s">
        <v>302</v>
      </c>
      <c r="C60" s="491" t="s">
        <v>2757</v>
      </c>
      <c r="D60" s="398"/>
      <c r="E60" s="482" t="s">
        <v>2785</v>
      </c>
      <c r="F60" s="482"/>
      <c r="G60" s="482"/>
      <c r="H60" s="482"/>
      <c r="I60" s="482"/>
      <c r="J60" s="482" t="s">
        <v>2652</v>
      </c>
      <c r="K60" s="482" t="s">
        <v>2622</v>
      </c>
      <c r="L60" s="482" t="s">
        <v>2622</v>
      </c>
      <c r="M60" s="482"/>
      <c r="N60" s="482"/>
      <c r="O60" s="482"/>
      <c r="P60" s="482" t="s">
        <v>1972</v>
      </c>
      <c r="Q60" s="482"/>
      <c r="R60" s="494"/>
      <c r="S60" s="487"/>
      <c r="T60" s="506">
        <v>43591</v>
      </c>
      <c r="U60" s="494"/>
      <c r="V60" s="482"/>
      <c r="W60" s="486"/>
    </row>
    <row r="61" spans="1:23" s="68" customFormat="1" ht="14.25" customHeight="1">
      <c r="A61" s="400" t="s">
        <v>2648</v>
      </c>
      <c r="B61" s="396" t="s">
        <v>302</v>
      </c>
      <c r="C61" s="396" t="s">
        <v>555</v>
      </c>
      <c r="D61" s="431" t="s">
        <v>1656</v>
      </c>
      <c r="E61" s="68">
        <v>196944</v>
      </c>
      <c r="F61" s="68" t="s">
        <v>552</v>
      </c>
      <c r="J61" s="68" t="s">
        <v>794</v>
      </c>
      <c r="K61" s="68" t="s">
        <v>794</v>
      </c>
      <c r="L61" s="68" t="s">
        <v>794</v>
      </c>
      <c r="M61" s="68" t="s">
        <v>294</v>
      </c>
      <c r="N61" s="68">
        <v>20.71134949</v>
      </c>
      <c r="O61" s="396">
        <v>92.980506899999995</v>
      </c>
      <c r="P61" s="68" t="s">
        <v>795</v>
      </c>
      <c r="Q61" s="68" t="s">
        <v>922</v>
      </c>
      <c r="R61" s="399"/>
      <c r="S61" s="400"/>
      <c r="T61" s="101">
        <v>43011</v>
      </c>
      <c r="U61" s="97" t="s">
        <v>923</v>
      </c>
    </row>
    <row r="62" spans="1:23" s="68" customFormat="1" ht="14.25" customHeight="1">
      <c r="A62" s="490" t="s">
        <v>2648</v>
      </c>
      <c r="B62" s="490" t="s">
        <v>302</v>
      </c>
      <c r="C62" s="491" t="s">
        <v>2754</v>
      </c>
      <c r="D62" s="485"/>
      <c r="E62" s="68">
        <v>220632</v>
      </c>
      <c r="J62" s="68" t="s">
        <v>2652</v>
      </c>
      <c r="K62" s="68" t="s">
        <v>2622</v>
      </c>
      <c r="L62" s="68" t="s">
        <v>2622</v>
      </c>
      <c r="N62" s="68">
        <v>20.746028900146499</v>
      </c>
      <c r="O62" s="68">
        <v>92.839714050292997</v>
      </c>
      <c r="P62" s="482" t="s">
        <v>1972</v>
      </c>
      <c r="R62" s="494"/>
      <c r="S62" s="400"/>
      <c r="T62" s="101">
        <v>43591</v>
      </c>
      <c r="U62" s="494"/>
      <c r="W62" s="486"/>
    </row>
    <row r="63" spans="1:23" s="68" customFormat="1" ht="14.25" customHeight="1">
      <c r="A63" s="400" t="s">
        <v>2648</v>
      </c>
      <c r="B63" s="175" t="s">
        <v>302</v>
      </c>
      <c r="C63" s="176" t="s">
        <v>691</v>
      </c>
      <c r="D63" s="398" t="s">
        <v>1656</v>
      </c>
      <c r="E63" s="171">
        <v>196884</v>
      </c>
      <c r="F63" s="171"/>
      <c r="G63" s="171"/>
      <c r="H63" s="171"/>
      <c r="I63" s="171"/>
      <c r="J63" s="482" t="s">
        <v>794</v>
      </c>
      <c r="K63" s="482" t="s">
        <v>794</v>
      </c>
      <c r="L63" s="482" t="s">
        <v>794</v>
      </c>
      <c r="M63" s="171" t="s">
        <v>294</v>
      </c>
      <c r="N63" s="171">
        <v>20.786739350000001</v>
      </c>
      <c r="O63" s="171">
        <v>92.944313050000005</v>
      </c>
      <c r="P63" s="482" t="s">
        <v>795</v>
      </c>
      <c r="Q63" s="171" t="s">
        <v>776</v>
      </c>
      <c r="R63" s="172"/>
      <c r="S63" s="170"/>
      <c r="T63" s="173"/>
      <c r="U63" s="174"/>
      <c r="V63" s="171"/>
      <c r="W63" s="399"/>
    </row>
    <row r="64" spans="1:23" s="68" customFormat="1" ht="14.25" customHeight="1">
      <c r="A64" s="400" t="s">
        <v>2648</v>
      </c>
      <c r="B64" s="167" t="s">
        <v>302</v>
      </c>
      <c r="C64" s="168" t="s">
        <v>2223</v>
      </c>
      <c r="D64" s="485"/>
      <c r="E64" s="163">
        <v>196813</v>
      </c>
      <c r="F64" s="163" t="s">
        <v>2223</v>
      </c>
      <c r="G64" s="163"/>
      <c r="H64" s="163"/>
      <c r="I64" s="163"/>
      <c r="J64" s="163" t="s">
        <v>794</v>
      </c>
      <c r="K64" s="163" t="s">
        <v>794</v>
      </c>
      <c r="L64" s="163" t="s">
        <v>794</v>
      </c>
      <c r="M64" s="163"/>
      <c r="N64" s="163">
        <v>20.883239750000001</v>
      </c>
      <c r="O64" s="163">
        <v>92.936859130000002</v>
      </c>
      <c r="P64" s="163" t="s">
        <v>795</v>
      </c>
      <c r="Q64" s="163"/>
      <c r="R64" s="164"/>
      <c r="S64" s="162"/>
      <c r="T64" s="165"/>
      <c r="U64" s="166"/>
      <c r="V64" s="163" t="s">
        <v>2216</v>
      </c>
      <c r="W64" s="486"/>
    </row>
    <row r="65" spans="1:23" s="68" customFormat="1" ht="14.25" customHeight="1">
      <c r="A65" s="400" t="s">
        <v>2648</v>
      </c>
      <c r="B65" s="482" t="s">
        <v>302</v>
      </c>
      <c r="C65" s="482" t="s">
        <v>616</v>
      </c>
      <c r="D65" s="431" t="s">
        <v>1656</v>
      </c>
      <c r="E65" s="489">
        <v>196881</v>
      </c>
      <c r="F65" s="489"/>
      <c r="J65" s="482" t="s">
        <v>794</v>
      </c>
      <c r="K65" s="68" t="s">
        <v>794</v>
      </c>
      <c r="L65" s="482" t="s">
        <v>794</v>
      </c>
      <c r="M65" s="68" t="s">
        <v>1989</v>
      </c>
      <c r="N65" s="68">
        <v>20.809240339999999</v>
      </c>
      <c r="O65" s="68">
        <v>92.923919679999997</v>
      </c>
      <c r="P65" s="68" t="s">
        <v>795</v>
      </c>
      <c r="Q65" s="68" t="s">
        <v>922</v>
      </c>
      <c r="R65" s="486"/>
      <c r="S65" s="400"/>
      <c r="T65" s="101">
        <v>43011</v>
      </c>
      <c r="U65" s="97" t="s">
        <v>923</v>
      </c>
      <c r="W65" s="396"/>
    </row>
    <row r="66" spans="1:23" s="68" customFormat="1" ht="14.25" customHeight="1">
      <c r="A66" s="487" t="s">
        <v>2648</v>
      </c>
      <c r="B66" s="482" t="s">
        <v>302</v>
      </c>
      <c r="C66" s="482" t="s">
        <v>939</v>
      </c>
      <c r="D66" s="431" t="s">
        <v>2712</v>
      </c>
      <c r="E66" s="396" t="s">
        <v>1410</v>
      </c>
      <c r="F66" s="396" t="s">
        <v>1754</v>
      </c>
      <c r="G66" s="396" t="s">
        <v>940</v>
      </c>
      <c r="H66" s="396" t="s">
        <v>40</v>
      </c>
      <c r="I66" s="396"/>
      <c r="J66" s="482" t="s">
        <v>42</v>
      </c>
      <c r="K66" s="482" t="s">
        <v>42</v>
      </c>
      <c r="L66" s="482" t="s">
        <v>793</v>
      </c>
      <c r="M66" s="68" t="s">
        <v>791</v>
      </c>
      <c r="N66" s="396">
        <v>20.865687000000001</v>
      </c>
      <c r="O66" s="396">
        <v>92.965980999999999</v>
      </c>
      <c r="P66" s="68" t="s">
        <v>757</v>
      </c>
      <c r="Q66" s="68" t="s">
        <v>776</v>
      </c>
      <c r="R66" s="486">
        <v>85</v>
      </c>
      <c r="S66" s="96">
        <v>546</v>
      </c>
      <c r="T66" s="101"/>
      <c r="U66" s="488"/>
      <c r="V66" s="68" t="s">
        <v>940</v>
      </c>
      <c r="W66" s="482"/>
    </row>
    <row r="67" spans="1:23" s="68" customFormat="1" ht="14.25" customHeight="1">
      <c r="A67" s="400" t="s">
        <v>2648</v>
      </c>
      <c r="B67" s="490" t="s">
        <v>302</v>
      </c>
      <c r="C67" s="491" t="s">
        <v>2947</v>
      </c>
      <c r="D67" s="398"/>
      <c r="E67" s="482"/>
      <c r="F67" s="482"/>
      <c r="G67" s="482"/>
      <c r="H67" s="482"/>
      <c r="I67" s="482"/>
      <c r="J67" s="68" t="s">
        <v>794</v>
      </c>
      <c r="K67" s="482" t="s">
        <v>794</v>
      </c>
      <c r="L67" s="396" t="s">
        <v>794</v>
      </c>
      <c r="M67" s="482"/>
      <c r="N67" s="482"/>
      <c r="O67" s="482"/>
      <c r="P67" s="68" t="s">
        <v>795</v>
      </c>
      <c r="Q67" s="482" t="s">
        <v>2961</v>
      </c>
      <c r="R67" s="494"/>
      <c r="S67" s="487"/>
      <c r="T67" s="506">
        <v>43768</v>
      </c>
      <c r="U67" s="494"/>
      <c r="V67" s="482"/>
      <c r="W67" s="486"/>
    </row>
    <row r="68" spans="1:23" s="68" customFormat="1" ht="14.25" customHeight="1">
      <c r="A68" s="400" t="s">
        <v>2648</v>
      </c>
      <c r="B68" s="154" t="s">
        <v>302</v>
      </c>
      <c r="C68" s="154" t="s">
        <v>536</v>
      </c>
      <c r="D68" s="485" t="s">
        <v>1656</v>
      </c>
      <c r="E68" s="150">
        <v>196930</v>
      </c>
      <c r="F68" s="150"/>
      <c r="G68" s="150"/>
      <c r="H68" s="150"/>
      <c r="I68" s="150"/>
      <c r="J68" s="68" t="s">
        <v>794</v>
      </c>
      <c r="K68" s="68" t="s">
        <v>794</v>
      </c>
      <c r="L68" s="68" t="s">
        <v>794</v>
      </c>
      <c r="M68" s="150" t="s">
        <v>1988</v>
      </c>
      <c r="N68" s="150">
        <v>20.681715010000001</v>
      </c>
      <c r="O68" s="150">
        <v>92.94140625</v>
      </c>
      <c r="P68" s="68" t="s">
        <v>795</v>
      </c>
      <c r="Q68" s="150" t="s">
        <v>922</v>
      </c>
      <c r="R68" s="151"/>
      <c r="S68" s="149"/>
      <c r="T68" s="152">
        <v>43011</v>
      </c>
      <c r="U68" s="153" t="s">
        <v>923</v>
      </c>
      <c r="V68" s="150"/>
    </row>
    <row r="69" spans="1:23" s="68" customFormat="1" ht="14.25" customHeight="1">
      <c r="A69" s="400" t="s">
        <v>2648</v>
      </c>
      <c r="B69" s="482" t="s">
        <v>302</v>
      </c>
      <c r="C69" s="482" t="s">
        <v>656</v>
      </c>
      <c r="D69" s="431" t="s">
        <v>1656</v>
      </c>
      <c r="E69" s="484">
        <v>196787</v>
      </c>
      <c r="F69" s="484"/>
      <c r="G69" s="396"/>
      <c r="H69" s="396"/>
      <c r="I69" s="396"/>
      <c r="J69" s="482" t="s">
        <v>794</v>
      </c>
      <c r="K69" s="482" t="s">
        <v>794</v>
      </c>
      <c r="L69" s="482" t="s">
        <v>794</v>
      </c>
      <c r="M69" s="396" t="s">
        <v>791</v>
      </c>
      <c r="N69" s="396">
        <v>20.90377045</v>
      </c>
      <c r="O69" s="396">
        <v>93.004432679999994</v>
      </c>
      <c r="P69" s="396" t="s">
        <v>795</v>
      </c>
      <c r="Q69" s="396" t="s">
        <v>776</v>
      </c>
      <c r="R69" s="486"/>
      <c r="S69" s="400"/>
      <c r="T69" s="412"/>
      <c r="U69" s="401"/>
      <c r="V69" s="396" t="s">
        <v>656</v>
      </c>
      <c r="W69" s="396"/>
    </row>
    <row r="70" spans="1:23" s="68" customFormat="1" ht="14.25" customHeight="1">
      <c r="A70" s="490" t="s">
        <v>2648</v>
      </c>
      <c r="B70" s="490" t="s">
        <v>302</v>
      </c>
      <c r="C70" s="491" t="s">
        <v>2758</v>
      </c>
      <c r="D70" s="485"/>
      <c r="E70" s="396" t="s">
        <v>2786</v>
      </c>
      <c r="F70" s="396"/>
      <c r="G70" s="396"/>
      <c r="H70" s="396"/>
      <c r="I70" s="396"/>
      <c r="J70" s="396" t="s">
        <v>2652</v>
      </c>
      <c r="K70" s="396" t="s">
        <v>2622</v>
      </c>
      <c r="L70" s="396" t="s">
        <v>2622</v>
      </c>
      <c r="M70" s="396"/>
      <c r="N70" s="482"/>
      <c r="O70" s="482"/>
      <c r="P70" s="396" t="s">
        <v>1972</v>
      </c>
      <c r="Q70" s="396"/>
      <c r="R70" s="494"/>
      <c r="S70" s="400"/>
      <c r="T70" s="412">
        <v>43591</v>
      </c>
      <c r="U70" s="494"/>
      <c r="V70" s="396"/>
      <c r="W70" s="486"/>
    </row>
    <row r="71" spans="1:23" s="68" customFormat="1" ht="14.25" customHeight="1">
      <c r="A71" s="400" t="s">
        <v>2648</v>
      </c>
      <c r="B71" s="167" t="s">
        <v>302</v>
      </c>
      <c r="C71" s="168" t="s">
        <v>333</v>
      </c>
      <c r="D71" s="485" t="s">
        <v>1656</v>
      </c>
      <c r="E71" s="163"/>
      <c r="F71" s="163"/>
      <c r="G71" s="163"/>
      <c r="H71" s="163"/>
      <c r="I71" s="163"/>
      <c r="J71" s="482" t="s">
        <v>794</v>
      </c>
      <c r="K71" s="163" t="s">
        <v>794</v>
      </c>
      <c r="L71" s="482" t="s">
        <v>794</v>
      </c>
      <c r="M71" s="163" t="s">
        <v>1989</v>
      </c>
      <c r="N71" s="163"/>
      <c r="O71" s="163"/>
      <c r="P71" s="68" t="s">
        <v>795</v>
      </c>
      <c r="Q71" s="163" t="s">
        <v>922</v>
      </c>
      <c r="R71" s="164"/>
      <c r="S71" s="162"/>
      <c r="T71" s="165">
        <v>43011</v>
      </c>
      <c r="U71" s="166" t="s">
        <v>923</v>
      </c>
      <c r="V71" s="163"/>
      <c r="W71" s="486"/>
    </row>
    <row r="72" spans="1:23" s="68" customFormat="1" ht="14.25" customHeight="1">
      <c r="A72" s="400" t="s">
        <v>2648</v>
      </c>
      <c r="B72" s="482" t="s">
        <v>302</v>
      </c>
      <c r="C72" s="482" t="s">
        <v>1130</v>
      </c>
      <c r="D72" s="431" t="s">
        <v>1656</v>
      </c>
      <c r="E72" s="396">
        <v>196759</v>
      </c>
      <c r="F72" s="396"/>
      <c r="G72" s="396"/>
      <c r="H72" s="396"/>
      <c r="I72" s="396"/>
      <c r="J72" s="68" t="s">
        <v>794</v>
      </c>
      <c r="K72" s="68" t="s">
        <v>794</v>
      </c>
      <c r="L72" s="396" t="s">
        <v>794</v>
      </c>
      <c r="M72" s="396" t="s">
        <v>1989</v>
      </c>
      <c r="N72" s="482">
        <v>0</v>
      </c>
      <c r="O72" s="482">
        <v>0</v>
      </c>
      <c r="P72" s="396" t="s">
        <v>795</v>
      </c>
      <c r="Q72" s="396"/>
      <c r="R72" s="486"/>
      <c r="S72" s="400"/>
      <c r="T72" s="412"/>
      <c r="U72" s="401"/>
      <c r="V72" s="396" t="s">
        <v>1130</v>
      </c>
      <c r="W72" s="396"/>
    </row>
    <row r="73" spans="1:23" s="68" customFormat="1" ht="14.25" customHeight="1">
      <c r="A73" s="400" t="s">
        <v>2648</v>
      </c>
      <c r="B73" s="490" t="s">
        <v>302</v>
      </c>
      <c r="C73" s="491" t="s">
        <v>1987</v>
      </c>
      <c r="D73" s="485" t="s">
        <v>1656</v>
      </c>
      <c r="E73" s="523">
        <v>196821</v>
      </c>
      <c r="F73" s="512" t="s">
        <v>2911</v>
      </c>
      <c r="J73" s="68" t="s">
        <v>794</v>
      </c>
      <c r="K73" s="68" t="s">
        <v>794</v>
      </c>
      <c r="L73" s="68" t="s">
        <v>794</v>
      </c>
      <c r="M73" s="68" t="s">
        <v>294</v>
      </c>
      <c r="N73" s="68">
        <v>20.879186630248999</v>
      </c>
      <c r="O73" s="68">
        <v>92.938163757324205</v>
      </c>
      <c r="P73" s="68" t="s">
        <v>795</v>
      </c>
      <c r="Q73" s="68" t="s">
        <v>922</v>
      </c>
      <c r="R73" s="494"/>
      <c r="S73" s="487"/>
      <c r="T73" s="101">
        <v>43011</v>
      </c>
      <c r="U73" s="97" t="s">
        <v>923</v>
      </c>
      <c r="W73" s="396"/>
    </row>
    <row r="74" spans="1:23" s="68" customFormat="1" ht="14.25" customHeight="1">
      <c r="A74" s="400" t="s">
        <v>2648</v>
      </c>
      <c r="B74" s="490" t="s">
        <v>302</v>
      </c>
      <c r="C74" s="491" t="s">
        <v>336</v>
      </c>
      <c r="D74" s="485" t="s">
        <v>1656</v>
      </c>
      <c r="E74" s="68">
        <v>196815</v>
      </c>
      <c r="J74" s="68" t="s">
        <v>794</v>
      </c>
      <c r="K74" s="68" t="s">
        <v>794</v>
      </c>
      <c r="L74" s="68" t="s">
        <v>794</v>
      </c>
      <c r="M74" s="68" t="s">
        <v>1986</v>
      </c>
      <c r="N74" s="482">
        <v>0</v>
      </c>
      <c r="O74" s="482">
        <v>0</v>
      </c>
      <c r="P74" s="68" t="s">
        <v>795</v>
      </c>
      <c r="Q74" s="68" t="s">
        <v>922</v>
      </c>
      <c r="R74" s="494"/>
      <c r="S74" s="96"/>
      <c r="T74" s="101">
        <v>43011</v>
      </c>
      <c r="U74" s="97" t="s">
        <v>923</v>
      </c>
      <c r="W74" s="396"/>
    </row>
    <row r="75" spans="1:23" s="68" customFormat="1" ht="14.25" customHeight="1">
      <c r="A75" s="400" t="s">
        <v>2648</v>
      </c>
      <c r="B75" s="490" t="s">
        <v>302</v>
      </c>
      <c r="C75" s="491" t="s">
        <v>2227</v>
      </c>
      <c r="D75" s="485"/>
      <c r="E75" s="68">
        <v>196889</v>
      </c>
      <c r="J75" s="68" t="s">
        <v>794</v>
      </c>
      <c r="K75" s="68" t="s">
        <v>794</v>
      </c>
      <c r="L75" s="68" t="s">
        <v>794</v>
      </c>
      <c r="N75" s="482">
        <v>20.785549159999999</v>
      </c>
      <c r="O75" s="482">
        <v>92.971076969999999</v>
      </c>
      <c r="P75" s="68" t="s">
        <v>795</v>
      </c>
      <c r="R75" s="494"/>
      <c r="S75" s="400"/>
      <c r="T75" s="101"/>
      <c r="U75" s="97"/>
      <c r="V75" s="68" t="s">
        <v>2220</v>
      </c>
    </row>
    <row r="76" spans="1:23" s="68" customFormat="1" ht="14.25" customHeight="1">
      <c r="A76" s="400" t="s">
        <v>2648</v>
      </c>
      <c r="B76" s="490" t="s">
        <v>302</v>
      </c>
      <c r="C76" s="491" t="s">
        <v>2281</v>
      </c>
      <c r="D76" s="485"/>
      <c r="E76" s="396">
        <v>196939</v>
      </c>
      <c r="F76" s="396" t="s">
        <v>2276</v>
      </c>
      <c r="G76" s="396"/>
      <c r="H76" s="396"/>
      <c r="I76" s="396"/>
      <c r="J76" s="482" t="s">
        <v>794</v>
      </c>
      <c r="K76" s="482" t="s">
        <v>794</v>
      </c>
      <c r="L76" s="482" t="s">
        <v>794</v>
      </c>
      <c r="M76" s="396"/>
      <c r="N76" s="396">
        <v>20.648920059999998</v>
      </c>
      <c r="O76" s="482">
        <v>92.967460630000005</v>
      </c>
      <c r="P76" s="396" t="s">
        <v>795</v>
      </c>
      <c r="Q76" s="396" t="s">
        <v>2236</v>
      </c>
      <c r="R76" s="494"/>
      <c r="S76" s="400"/>
      <c r="T76" s="412">
        <v>43465</v>
      </c>
      <c r="U76" s="401" t="s">
        <v>2278</v>
      </c>
      <c r="V76" s="396" t="s">
        <v>2275</v>
      </c>
      <c r="W76" s="396"/>
    </row>
    <row r="77" spans="1:23" s="68" customFormat="1" ht="14.25" customHeight="1">
      <c r="A77" s="400" t="s">
        <v>2648</v>
      </c>
      <c r="B77" s="490" t="s">
        <v>302</v>
      </c>
      <c r="C77" s="491" t="s">
        <v>653</v>
      </c>
      <c r="D77" s="485" t="s">
        <v>1656</v>
      </c>
      <c r="E77" s="68">
        <v>196814</v>
      </c>
      <c r="J77" s="68" t="s">
        <v>794</v>
      </c>
      <c r="K77" s="396" t="s">
        <v>794</v>
      </c>
      <c r="L77" s="396" t="s">
        <v>794</v>
      </c>
      <c r="M77" s="68" t="s">
        <v>294</v>
      </c>
      <c r="N77" s="68">
        <v>20.894269940000001</v>
      </c>
      <c r="O77" s="68">
        <v>92.920730590000005</v>
      </c>
      <c r="P77" s="68" t="s">
        <v>795</v>
      </c>
      <c r="Q77" s="68" t="s">
        <v>922</v>
      </c>
      <c r="R77" s="494"/>
      <c r="S77" s="487"/>
      <c r="T77" s="101">
        <v>43011</v>
      </c>
      <c r="U77" s="97" t="s">
        <v>923</v>
      </c>
      <c r="W77" s="396"/>
    </row>
    <row r="78" spans="1:23" s="68" customFormat="1" ht="14.25" customHeight="1">
      <c r="A78" s="400" t="s">
        <v>2648</v>
      </c>
      <c r="B78" s="482" t="s">
        <v>302</v>
      </c>
      <c r="C78" s="482" t="s">
        <v>2214</v>
      </c>
      <c r="D78" s="431"/>
      <c r="J78" s="68" t="s">
        <v>794</v>
      </c>
      <c r="K78" s="396" t="s">
        <v>794</v>
      </c>
      <c r="L78" s="396" t="s">
        <v>794</v>
      </c>
      <c r="N78" s="482">
        <v>20.889249800000002</v>
      </c>
      <c r="O78" s="482">
        <v>92.939201350000005</v>
      </c>
      <c r="P78" s="68" t="s">
        <v>795</v>
      </c>
      <c r="R78" s="399"/>
      <c r="S78" s="400"/>
      <c r="T78" s="101"/>
      <c r="U78" s="97"/>
      <c r="V78" s="68" t="s">
        <v>2214</v>
      </c>
    </row>
    <row r="79" spans="1:23" s="68" customFormat="1" ht="14.25" customHeight="1">
      <c r="A79" s="400" t="s">
        <v>2648</v>
      </c>
      <c r="B79" s="482" t="s">
        <v>302</v>
      </c>
      <c r="C79" s="482" t="s">
        <v>694</v>
      </c>
      <c r="D79" s="431" t="s">
        <v>1656</v>
      </c>
      <c r="E79" s="68">
        <v>196929</v>
      </c>
      <c r="J79" s="68" t="s">
        <v>794</v>
      </c>
      <c r="K79" s="68" t="s">
        <v>794</v>
      </c>
      <c r="L79" s="68" t="s">
        <v>794</v>
      </c>
      <c r="M79" s="68" t="s">
        <v>294</v>
      </c>
      <c r="N79" s="498">
        <v>20.67705917</v>
      </c>
      <c r="O79" s="498">
        <v>92.953247070000003</v>
      </c>
      <c r="P79" s="68" t="s">
        <v>795</v>
      </c>
      <c r="Q79" s="68" t="s">
        <v>776</v>
      </c>
      <c r="R79" s="486"/>
      <c r="S79" s="96"/>
      <c r="T79" s="101"/>
      <c r="U79" s="97"/>
    </row>
    <row r="80" spans="1:23" s="68" customFormat="1" ht="14.25" customHeight="1">
      <c r="A80" s="400" t="s">
        <v>2648</v>
      </c>
      <c r="B80" s="482" t="s">
        <v>302</v>
      </c>
      <c r="C80" s="482" t="s">
        <v>693</v>
      </c>
      <c r="D80" s="431" t="s">
        <v>1656</v>
      </c>
      <c r="E80" s="68">
        <v>196927</v>
      </c>
      <c r="F80" s="68" t="s">
        <v>693</v>
      </c>
      <c r="J80" s="482" t="s">
        <v>794</v>
      </c>
      <c r="K80" s="482" t="s">
        <v>794</v>
      </c>
      <c r="L80" s="482" t="s">
        <v>794</v>
      </c>
      <c r="M80" s="68" t="s">
        <v>294</v>
      </c>
      <c r="N80" s="68">
        <v>20.697889329999999</v>
      </c>
      <c r="O80" s="482">
        <v>92.951232910000002</v>
      </c>
      <c r="P80" s="68" t="s">
        <v>795</v>
      </c>
      <c r="Q80" s="68" t="s">
        <v>776</v>
      </c>
      <c r="R80" s="486"/>
      <c r="S80" s="96"/>
      <c r="T80" s="101">
        <v>43465</v>
      </c>
      <c r="U80" s="97" t="s">
        <v>2278</v>
      </c>
      <c r="V80" s="68" t="s">
        <v>2277</v>
      </c>
      <c r="W80" s="396"/>
    </row>
    <row r="81" spans="1:23" s="68" customFormat="1" ht="14.25" customHeight="1">
      <c r="A81" s="400" t="s">
        <v>2648</v>
      </c>
      <c r="B81" s="484" t="s">
        <v>302</v>
      </c>
      <c r="C81" s="484" t="s">
        <v>2224</v>
      </c>
      <c r="D81" s="431"/>
      <c r="E81" s="68">
        <v>220647</v>
      </c>
      <c r="J81" s="482" t="s">
        <v>794</v>
      </c>
      <c r="K81" s="68" t="s">
        <v>794</v>
      </c>
      <c r="L81" s="482" t="s">
        <v>794</v>
      </c>
      <c r="N81" s="482">
        <v>20.754142761230501</v>
      </c>
      <c r="O81" s="482">
        <v>92.960021972656307</v>
      </c>
      <c r="P81" s="68" t="s">
        <v>795</v>
      </c>
      <c r="R81" s="490"/>
      <c r="S81" s="491"/>
      <c r="T81" s="101"/>
      <c r="U81" s="97"/>
      <c r="V81" s="68" t="s">
        <v>2217</v>
      </c>
    </row>
    <row r="82" spans="1:23" s="68" customFormat="1" ht="14.25" customHeight="1">
      <c r="A82" s="400" t="s">
        <v>2648</v>
      </c>
      <c r="B82" s="484" t="s">
        <v>302</v>
      </c>
      <c r="C82" s="484" t="s">
        <v>2225</v>
      </c>
      <c r="D82" s="431"/>
      <c r="E82" s="68">
        <v>196755</v>
      </c>
      <c r="J82" s="482" t="s">
        <v>794</v>
      </c>
      <c r="K82" s="68" t="s">
        <v>794</v>
      </c>
      <c r="L82" s="482" t="s">
        <v>794</v>
      </c>
      <c r="N82" s="482">
        <v>20.932960510000001</v>
      </c>
      <c r="O82" s="482">
        <v>92.930267330000007</v>
      </c>
      <c r="P82" s="68" t="s">
        <v>795</v>
      </c>
      <c r="R82" s="486"/>
      <c r="S82" s="400"/>
      <c r="T82" s="101"/>
      <c r="U82" s="97"/>
      <c r="V82" s="68" t="s">
        <v>2218</v>
      </c>
    </row>
    <row r="83" spans="1:23" s="68" customFormat="1" ht="14.25" customHeight="1">
      <c r="A83" s="400" t="s">
        <v>2648</v>
      </c>
      <c r="B83" s="403" t="s">
        <v>302</v>
      </c>
      <c r="C83" s="404" t="s">
        <v>343</v>
      </c>
      <c r="D83" s="485" t="s">
        <v>1656</v>
      </c>
      <c r="J83" s="68" t="s">
        <v>794</v>
      </c>
      <c r="K83" s="68" t="s">
        <v>794</v>
      </c>
      <c r="L83" s="68" t="s">
        <v>794</v>
      </c>
      <c r="M83" s="68" t="s">
        <v>294</v>
      </c>
      <c r="P83" s="482" t="s">
        <v>795</v>
      </c>
      <c r="Q83" s="68" t="s">
        <v>776</v>
      </c>
      <c r="R83" s="494"/>
      <c r="S83" s="400"/>
      <c r="T83" s="101"/>
      <c r="U83" s="488"/>
      <c r="W83" s="482"/>
    </row>
    <row r="84" spans="1:23" s="68" customFormat="1" ht="14.25" customHeight="1">
      <c r="A84" s="400" t="s">
        <v>2648</v>
      </c>
      <c r="B84" s="490" t="s">
        <v>302</v>
      </c>
      <c r="C84" s="491" t="s">
        <v>630</v>
      </c>
      <c r="D84" s="485" t="s">
        <v>1656</v>
      </c>
      <c r="E84" s="68">
        <v>196880</v>
      </c>
      <c r="F84" s="489"/>
      <c r="J84" s="68" t="s">
        <v>794</v>
      </c>
      <c r="K84" s="68" t="s">
        <v>794</v>
      </c>
      <c r="L84" s="68" t="s">
        <v>794</v>
      </c>
      <c r="M84" s="68" t="s">
        <v>1989</v>
      </c>
      <c r="N84" s="68">
        <v>20.831729889999998</v>
      </c>
      <c r="O84" s="484">
        <v>92.919639590000003</v>
      </c>
      <c r="P84" s="68" t="s">
        <v>795</v>
      </c>
      <c r="Q84" s="68" t="s">
        <v>922</v>
      </c>
      <c r="R84" s="494"/>
      <c r="S84" s="400"/>
      <c r="T84" s="101">
        <v>43011</v>
      </c>
      <c r="U84" s="97" t="s">
        <v>923</v>
      </c>
      <c r="W84" s="396"/>
    </row>
    <row r="85" spans="1:23" s="68" customFormat="1" ht="14.25" customHeight="1">
      <c r="A85" s="400" t="s">
        <v>2648</v>
      </c>
      <c r="B85" s="490" t="s">
        <v>302</v>
      </c>
      <c r="C85" s="491" t="s">
        <v>3173</v>
      </c>
      <c r="D85" s="485"/>
      <c r="E85" s="482">
        <v>196959</v>
      </c>
      <c r="F85" s="482" t="s">
        <v>1750</v>
      </c>
      <c r="G85" s="482"/>
      <c r="H85" s="482"/>
      <c r="I85" s="482"/>
      <c r="J85" s="68" t="s">
        <v>794</v>
      </c>
      <c r="K85" s="68" t="s">
        <v>794</v>
      </c>
      <c r="L85" s="482" t="s">
        <v>794</v>
      </c>
      <c r="M85" s="482"/>
      <c r="N85" s="482">
        <v>92.981712341308594</v>
      </c>
      <c r="O85" s="482">
        <v>20.772109985351602</v>
      </c>
      <c r="P85" s="482"/>
      <c r="Q85" s="482" t="s">
        <v>3163</v>
      </c>
      <c r="R85" s="494"/>
      <c r="S85" s="487"/>
      <c r="T85" s="506">
        <v>43935</v>
      </c>
      <c r="U85" s="494"/>
      <c r="V85" s="482"/>
      <c r="W85" s="486"/>
    </row>
    <row r="86" spans="1:23" s="68" customFormat="1" ht="14.25" customHeight="1">
      <c r="A86" s="400" t="s">
        <v>2648</v>
      </c>
      <c r="B86" s="403" t="s">
        <v>302</v>
      </c>
      <c r="C86" s="404" t="s">
        <v>593</v>
      </c>
      <c r="D86" s="431" t="s">
        <v>2712</v>
      </c>
      <c r="E86" s="68" t="s">
        <v>1402</v>
      </c>
      <c r="F86" s="68" t="s">
        <v>1750</v>
      </c>
      <c r="G86" s="68" t="s">
        <v>1751</v>
      </c>
      <c r="J86" s="68" t="s">
        <v>794</v>
      </c>
      <c r="K86" s="68" t="s">
        <v>794</v>
      </c>
      <c r="L86" s="68" t="s">
        <v>879</v>
      </c>
      <c r="M86" s="68" t="s">
        <v>791</v>
      </c>
      <c r="N86" s="68">
        <v>20.78332</v>
      </c>
      <c r="O86" s="68">
        <v>92.987399999999994</v>
      </c>
      <c r="P86" s="68" t="s">
        <v>795</v>
      </c>
      <c r="Q86" s="68" t="s">
        <v>776</v>
      </c>
      <c r="R86" s="486">
        <v>144</v>
      </c>
      <c r="S86" s="96">
        <v>1006</v>
      </c>
      <c r="T86" s="101"/>
      <c r="U86" s="97"/>
      <c r="V86" s="68" t="s">
        <v>593</v>
      </c>
      <c r="W86" s="396"/>
    </row>
    <row r="87" spans="1:23" s="68" customFormat="1" ht="14.25" customHeight="1">
      <c r="A87" s="400" t="s">
        <v>2648</v>
      </c>
      <c r="B87" s="484" t="s">
        <v>302</v>
      </c>
      <c r="C87" s="484" t="s">
        <v>595</v>
      </c>
      <c r="D87" s="431" t="s">
        <v>1656</v>
      </c>
      <c r="E87" s="68">
        <v>196869</v>
      </c>
      <c r="J87" s="482" t="s">
        <v>794</v>
      </c>
      <c r="K87" s="482" t="s">
        <v>794</v>
      </c>
      <c r="L87" s="482" t="s">
        <v>794</v>
      </c>
      <c r="M87" s="68" t="s">
        <v>294</v>
      </c>
      <c r="N87" s="498">
        <v>20.785699839999999</v>
      </c>
      <c r="O87" s="498">
        <v>92.986633299999994</v>
      </c>
      <c r="P87" s="68" t="s">
        <v>795</v>
      </c>
      <c r="Q87" s="68" t="s">
        <v>776</v>
      </c>
      <c r="R87" s="486"/>
      <c r="S87" s="400"/>
      <c r="T87" s="101"/>
      <c r="U87" s="488"/>
      <c r="V87" s="68" t="s">
        <v>595</v>
      </c>
      <c r="W87" s="482"/>
    </row>
    <row r="88" spans="1:23" s="68" customFormat="1" ht="14.25" customHeight="1">
      <c r="A88" s="400" t="s">
        <v>2648</v>
      </c>
      <c r="B88" s="490" t="s">
        <v>302</v>
      </c>
      <c r="C88" s="491" t="s">
        <v>3172</v>
      </c>
      <c r="D88" s="485"/>
      <c r="E88" s="68">
        <v>196960</v>
      </c>
      <c r="F88" s="482" t="s">
        <v>1750</v>
      </c>
      <c r="J88" s="482" t="s">
        <v>794</v>
      </c>
      <c r="K88" s="482" t="s">
        <v>794</v>
      </c>
      <c r="L88" s="482" t="s">
        <v>794</v>
      </c>
      <c r="N88" s="68">
        <v>92.978729248046903</v>
      </c>
      <c r="O88" s="68">
        <v>20.768480300903299</v>
      </c>
      <c r="Q88" s="68" t="s">
        <v>3163</v>
      </c>
      <c r="R88" s="494"/>
      <c r="S88" s="400"/>
      <c r="T88" s="101">
        <v>43935</v>
      </c>
      <c r="U88" s="494"/>
      <c r="W88" s="486"/>
    </row>
    <row r="89" spans="1:23" s="68" customFormat="1" ht="14.25" customHeight="1">
      <c r="A89" s="400" t="s">
        <v>2648</v>
      </c>
      <c r="B89" s="490" t="s">
        <v>302</v>
      </c>
      <c r="C89" s="491" t="s">
        <v>946</v>
      </c>
      <c r="D89" s="431" t="s">
        <v>2712</v>
      </c>
      <c r="E89" s="68" t="s">
        <v>1414</v>
      </c>
      <c r="F89" s="68" t="s">
        <v>1861</v>
      </c>
      <c r="G89" s="68" t="s">
        <v>1862</v>
      </c>
      <c r="J89" s="68" t="s">
        <v>794</v>
      </c>
      <c r="K89" s="68" t="s">
        <v>794</v>
      </c>
      <c r="L89" s="68" t="s">
        <v>879</v>
      </c>
      <c r="M89" s="68" t="s">
        <v>791</v>
      </c>
      <c r="N89" s="68">
        <v>20.929649000000001</v>
      </c>
      <c r="O89" s="68">
        <v>93.000815000000003</v>
      </c>
      <c r="P89" s="68" t="s">
        <v>795</v>
      </c>
      <c r="R89" s="486">
        <v>63</v>
      </c>
      <c r="S89" s="96">
        <v>414</v>
      </c>
      <c r="T89" s="101"/>
      <c r="U89" s="488" t="s">
        <v>856</v>
      </c>
      <c r="V89" s="68" t="s">
        <v>946</v>
      </c>
      <c r="W89" s="482"/>
    </row>
    <row r="90" spans="1:23" s="68" customFormat="1" ht="14.25" customHeight="1">
      <c r="A90" s="400" t="s">
        <v>2648</v>
      </c>
      <c r="B90" s="484" t="s">
        <v>302</v>
      </c>
      <c r="C90" s="484" t="s">
        <v>690</v>
      </c>
      <c r="D90" s="431" t="s">
        <v>1656</v>
      </c>
      <c r="E90" s="482">
        <v>196823</v>
      </c>
      <c r="F90" s="484"/>
      <c r="G90" s="482"/>
      <c r="H90" s="482"/>
      <c r="I90" s="482"/>
      <c r="J90" s="68" t="s">
        <v>794</v>
      </c>
      <c r="K90" s="68" t="s">
        <v>794</v>
      </c>
      <c r="L90" s="482" t="s">
        <v>794</v>
      </c>
      <c r="M90" s="482" t="s">
        <v>791</v>
      </c>
      <c r="N90" s="482">
        <v>20.85956955</v>
      </c>
      <c r="O90" s="482">
        <v>92.941146849999996</v>
      </c>
      <c r="P90" s="68" t="s">
        <v>795</v>
      </c>
      <c r="Q90" s="482" t="s">
        <v>776</v>
      </c>
      <c r="R90" s="486"/>
      <c r="S90" s="487"/>
      <c r="T90" s="506"/>
      <c r="U90" s="488"/>
      <c r="V90" s="482"/>
      <c r="W90" s="482"/>
    </row>
    <row r="91" spans="1:23" s="68" customFormat="1" ht="14.25" customHeight="1">
      <c r="A91" s="400" t="s">
        <v>2648</v>
      </c>
      <c r="B91" s="484" t="s">
        <v>302</v>
      </c>
      <c r="C91" s="484" t="s">
        <v>638</v>
      </c>
      <c r="D91" s="431" t="s">
        <v>1656</v>
      </c>
      <c r="E91" s="68">
        <v>196817</v>
      </c>
      <c r="J91" s="482" t="s">
        <v>794</v>
      </c>
      <c r="K91" s="68" t="s">
        <v>794</v>
      </c>
      <c r="L91" s="482" t="s">
        <v>794</v>
      </c>
      <c r="M91" s="68" t="s">
        <v>791</v>
      </c>
      <c r="N91" s="396">
        <v>20.864519120000001</v>
      </c>
      <c r="O91" s="396">
        <v>92.940399170000006</v>
      </c>
      <c r="P91" s="68" t="s">
        <v>795</v>
      </c>
      <c r="Q91" s="68" t="s">
        <v>922</v>
      </c>
      <c r="R91" s="486"/>
      <c r="S91" s="96"/>
      <c r="T91" s="101">
        <v>43011</v>
      </c>
      <c r="U91" s="97" t="s">
        <v>923</v>
      </c>
    </row>
    <row r="92" spans="1:23" s="68" customFormat="1" ht="14.25" customHeight="1">
      <c r="A92" s="400" t="s">
        <v>2648</v>
      </c>
      <c r="B92" s="490" t="s">
        <v>302</v>
      </c>
      <c r="C92" s="491" t="s">
        <v>1990</v>
      </c>
      <c r="D92" s="485" t="s">
        <v>1656</v>
      </c>
      <c r="E92" s="68">
        <v>196818</v>
      </c>
      <c r="J92" s="68" t="s">
        <v>794</v>
      </c>
      <c r="K92" s="68" t="s">
        <v>794</v>
      </c>
      <c r="L92" s="68" t="s">
        <v>794</v>
      </c>
      <c r="M92" s="68" t="s">
        <v>791</v>
      </c>
      <c r="N92" s="482">
        <v>20.871345520019499</v>
      </c>
      <c r="O92" s="482">
        <v>92.938713073730497</v>
      </c>
      <c r="P92" s="68" t="s">
        <v>795</v>
      </c>
      <c r="Q92" s="68" t="s">
        <v>922</v>
      </c>
      <c r="R92" s="494"/>
      <c r="S92" s="96"/>
      <c r="T92" s="101">
        <v>43011</v>
      </c>
      <c r="U92" s="97" t="s">
        <v>923</v>
      </c>
    </row>
    <row r="93" spans="1:23" s="68" customFormat="1" ht="14.25" customHeight="1">
      <c r="A93" s="400" t="s">
        <v>2648</v>
      </c>
      <c r="B93" s="490" t="s">
        <v>302</v>
      </c>
      <c r="C93" s="491" t="s">
        <v>2719</v>
      </c>
      <c r="D93" s="485"/>
      <c r="E93" s="68">
        <v>196911</v>
      </c>
      <c r="J93" s="68" t="s">
        <v>2652</v>
      </c>
      <c r="K93" s="68" t="s">
        <v>2622</v>
      </c>
      <c r="L93" s="68" t="s">
        <v>2622</v>
      </c>
      <c r="N93" s="68">
        <v>20.674160003662099</v>
      </c>
      <c r="O93" s="68">
        <v>92.9078369140625</v>
      </c>
      <c r="P93" s="482" t="s">
        <v>1972</v>
      </c>
      <c r="R93" s="494"/>
      <c r="S93" s="96"/>
      <c r="T93" s="101">
        <v>43591</v>
      </c>
      <c r="U93" s="494"/>
      <c r="W93" s="486"/>
    </row>
    <row r="94" spans="1:23" s="68" customFormat="1" ht="14.25" customHeight="1">
      <c r="A94" s="400" t="s">
        <v>2648</v>
      </c>
      <c r="B94" s="484" t="s">
        <v>302</v>
      </c>
      <c r="C94" s="484" t="s">
        <v>614</v>
      </c>
      <c r="D94" s="431" t="s">
        <v>1656</v>
      </c>
      <c r="E94" s="396">
        <v>196873</v>
      </c>
      <c r="F94" s="484"/>
      <c r="G94" s="396"/>
      <c r="H94" s="396"/>
      <c r="I94" s="396"/>
      <c r="J94" s="396" t="s">
        <v>794</v>
      </c>
      <c r="K94" s="396" t="s">
        <v>794</v>
      </c>
      <c r="L94" s="396" t="s">
        <v>794</v>
      </c>
      <c r="M94" s="396" t="s">
        <v>294</v>
      </c>
      <c r="N94" s="396">
        <v>20.8064003</v>
      </c>
      <c r="O94" s="396">
        <v>92.982147220000002</v>
      </c>
      <c r="P94" s="396" t="s">
        <v>795</v>
      </c>
      <c r="Q94" s="396" t="s">
        <v>776</v>
      </c>
      <c r="R94" s="486"/>
      <c r="S94" s="400"/>
      <c r="T94" s="412"/>
      <c r="U94" s="488"/>
      <c r="V94" s="396" t="s">
        <v>614</v>
      </c>
      <c r="W94" s="482"/>
    </row>
    <row r="95" spans="1:23" s="68" customFormat="1" ht="14.25" customHeight="1">
      <c r="A95" s="400" t="s">
        <v>2648</v>
      </c>
      <c r="B95" s="403" t="s">
        <v>302</v>
      </c>
      <c r="C95" s="404" t="s">
        <v>2942</v>
      </c>
      <c r="D95" s="485"/>
      <c r="E95" s="68">
        <v>196894</v>
      </c>
      <c r="F95" s="68" t="s">
        <v>2226</v>
      </c>
      <c r="J95" s="68" t="s">
        <v>794</v>
      </c>
      <c r="K95" s="68" t="s">
        <v>794</v>
      </c>
      <c r="L95" s="68" t="s">
        <v>794</v>
      </c>
      <c r="N95" s="68">
        <v>20.7489204406738</v>
      </c>
      <c r="O95" s="68">
        <v>92.958816528320298</v>
      </c>
      <c r="P95" s="396" t="s">
        <v>795</v>
      </c>
      <c r="Q95" s="68" t="s">
        <v>2961</v>
      </c>
      <c r="R95" s="494"/>
      <c r="S95" s="400"/>
      <c r="T95" s="101">
        <v>43768</v>
      </c>
      <c r="U95" s="494"/>
      <c r="W95" s="486"/>
    </row>
    <row r="96" spans="1:23" s="68" customFormat="1" ht="14.25" customHeight="1">
      <c r="A96" s="400" t="s">
        <v>2648</v>
      </c>
      <c r="B96" s="167" t="s">
        <v>302</v>
      </c>
      <c r="C96" s="168" t="s">
        <v>2543</v>
      </c>
      <c r="D96" s="485"/>
      <c r="E96" s="163">
        <v>196673</v>
      </c>
      <c r="F96" s="163"/>
      <c r="G96" s="163"/>
      <c r="H96" s="163"/>
      <c r="I96" s="163"/>
      <c r="J96" s="68" t="s">
        <v>2652</v>
      </c>
      <c r="K96" s="68" t="s">
        <v>2622</v>
      </c>
      <c r="L96" s="163" t="s">
        <v>2622</v>
      </c>
      <c r="M96" s="163"/>
      <c r="N96" s="482">
        <v>20.7240200042725</v>
      </c>
      <c r="O96" s="482">
        <v>92.848838806152301</v>
      </c>
      <c r="P96" s="68" t="s">
        <v>1972</v>
      </c>
      <c r="Q96" s="163"/>
      <c r="R96" s="164"/>
      <c r="S96" s="162"/>
      <c r="T96" s="165"/>
      <c r="U96" s="166"/>
      <c r="V96" s="163"/>
      <c r="W96" s="486"/>
    </row>
    <row r="97" spans="1:23" s="68" customFormat="1" ht="14.25" customHeight="1">
      <c r="A97" s="487" t="s">
        <v>2648</v>
      </c>
      <c r="B97" s="490" t="s">
        <v>302</v>
      </c>
      <c r="C97" s="491" t="s">
        <v>950</v>
      </c>
      <c r="D97" s="485" t="s">
        <v>1656</v>
      </c>
      <c r="E97" s="68">
        <v>196767</v>
      </c>
      <c r="J97" s="68" t="s">
        <v>794</v>
      </c>
      <c r="K97" s="396" t="s">
        <v>794</v>
      </c>
      <c r="L97" s="396" t="s">
        <v>794</v>
      </c>
      <c r="M97" s="68" t="s">
        <v>294</v>
      </c>
      <c r="N97" s="68">
        <v>21.006929400000001</v>
      </c>
      <c r="O97" s="68">
        <v>92.981040949999993</v>
      </c>
      <c r="P97" s="482" t="s">
        <v>795</v>
      </c>
      <c r="R97" s="494"/>
      <c r="S97" s="96"/>
      <c r="T97" s="101"/>
      <c r="U97" s="488"/>
      <c r="V97" s="68" t="s">
        <v>950</v>
      </c>
      <c r="W97" s="482"/>
    </row>
    <row r="98" spans="1:23" s="68" customFormat="1" ht="14.25" customHeight="1">
      <c r="A98" s="400" t="s">
        <v>2648</v>
      </c>
      <c r="B98" s="484" t="s">
        <v>302</v>
      </c>
      <c r="C98" s="484" t="s">
        <v>692</v>
      </c>
      <c r="D98" s="431" t="s">
        <v>1656</v>
      </c>
      <c r="E98" s="68">
        <v>196886</v>
      </c>
      <c r="F98" s="482"/>
      <c r="J98" s="68" t="s">
        <v>794</v>
      </c>
      <c r="K98" s="68" t="s">
        <v>794</v>
      </c>
      <c r="L98" s="396" t="s">
        <v>794</v>
      </c>
      <c r="M98" s="68" t="s">
        <v>294</v>
      </c>
      <c r="N98" s="68">
        <v>20.803710939999998</v>
      </c>
      <c r="O98" s="68">
        <v>92.946136469999999</v>
      </c>
      <c r="P98" s="396" t="s">
        <v>795</v>
      </c>
      <c r="Q98" s="68" t="s">
        <v>776</v>
      </c>
      <c r="R98" s="95"/>
      <c r="S98" s="400"/>
      <c r="T98" s="101"/>
      <c r="U98" s="97"/>
      <c r="W98" s="396"/>
    </row>
    <row r="99" spans="1:23" s="68" customFormat="1" ht="14.25" customHeight="1">
      <c r="A99" s="400" t="s">
        <v>2648</v>
      </c>
      <c r="B99" s="490" t="s">
        <v>302</v>
      </c>
      <c r="C99" s="491" t="s">
        <v>935</v>
      </c>
      <c r="D99" s="485" t="s">
        <v>1656</v>
      </c>
      <c r="E99" s="68">
        <v>196885</v>
      </c>
      <c r="J99" s="68" t="s">
        <v>794</v>
      </c>
      <c r="K99" s="68" t="s">
        <v>794</v>
      </c>
      <c r="L99" s="68" t="s">
        <v>794</v>
      </c>
      <c r="N99" s="68">
        <v>20.80635071</v>
      </c>
      <c r="O99" s="68">
        <v>92.948310849999999</v>
      </c>
      <c r="P99" s="482" t="s">
        <v>795</v>
      </c>
      <c r="Q99" s="68" t="s">
        <v>922</v>
      </c>
      <c r="R99" s="494"/>
      <c r="S99" s="96"/>
      <c r="T99" s="101">
        <v>43011</v>
      </c>
      <c r="U99" s="488" t="s">
        <v>923</v>
      </c>
      <c r="W99" s="482"/>
    </row>
    <row r="100" spans="1:23" s="68" customFormat="1" ht="14.25" customHeight="1">
      <c r="A100" s="400" t="s">
        <v>2648</v>
      </c>
      <c r="B100" s="490" t="s">
        <v>302</v>
      </c>
      <c r="C100" s="491" t="s">
        <v>2941</v>
      </c>
      <c r="D100" s="485"/>
      <c r="J100" s="68" t="s">
        <v>794</v>
      </c>
      <c r="K100" s="68" t="s">
        <v>794</v>
      </c>
      <c r="L100" s="68" t="s">
        <v>794</v>
      </c>
      <c r="P100" s="482" t="s">
        <v>795</v>
      </c>
      <c r="Q100" s="68" t="s">
        <v>2961</v>
      </c>
      <c r="R100" s="494"/>
      <c r="S100" s="400"/>
      <c r="T100" s="101">
        <v>43768</v>
      </c>
      <c r="U100" s="494"/>
      <c r="W100" s="486"/>
    </row>
    <row r="101" spans="1:23" s="68" customFormat="1" ht="14.25" customHeight="1">
      <c r="A101" s="400" t="s">
        <v>2648</v>
      </c>
      <c r="B101" s="490" t="s">
        <v>302</v>
      </c>
      <c r="C101" s="491" t="s">
        <v>2279</v>
      </c>
      <c r="D101" s="485"/>
      <c r="E101" s="396">
        <v>196932</v>
      </c>
      <c r="F101" s="68" t="s">
        <v>867</v>
      </c>
      <c r="J101" s="68" t="s">
        <v>794</v>
      </c>
      <c r="K101" s="68" t="s">
        <v>794</v>
      </c>
      <c r="L101" s="68" t="s">
        <v>794</v>
      </c>
      <c r="N101" s="396">
        <v>20.655569</v>
      </c>
      <c r="O101" s="396">
        <v>92.959709000000004</v>
      </c>
      <c r="P101" s="482" t="s">
        <v>795</v>
      </c>
      <c r="Q101" s="68" t="s">
        <v>2236</v>
      </c>
      <c r="R101" s="494"/>
      <c r="S101" s="400"/>
      <c r="T101" s="101">
        <v>43465</v>
      </c>
      <c r="U101" s="97" t="s">
        <v>2278</v>
      </c>
      <c r="V101" s="68" t="s">
        <v>2273</v>
      </c>
    </row>
    <row r="102" spans="1:23" s="68" customFormat="1" ht="14.25" customHeight="1">
      <c r="A102" s="400" t="s">
        <v>2648</v>
      </c>
      <c r="B102" s="490" t="s">
        <v>302</v>
      </c>
      <c r="C102" s="491" t="s">
        <v>3158</v>
      </c>
      <c r="D102" s="485"/>
      <c r="E102" s="68">
        <v>196963</v>
      </c>
      <c r="F102" s="68" t="s">
        <v>1750</v>
      </c>
      <c r="J102" s="68" t="s">
        <v>794</v>
      </c>
      <c r="K102" s="68" t="s">
        <v>794</v>
      </c>
      <c r="L102" s="68" t="s">
        <v>794</v>
      </c>
      <c r="N102" s="68">
        <v>92.985267639160199</v>
      </c>
      <c r="O102" s="68">
        <v>20.7800903320313</v>
      </c>
      <c r="Q102" s="68" t="s">
        <v>3163</v>
      </c>
      <c r="R102" s="494"/>
      <c r="S102" s="96"/>
      <c r="T102" s="101">
        <v>43935</v>
      </c>
      <c r="U102" s="494"/>
      <c r="W102" s="486"/>
    </row>
    <row r="103" spans="1:23" s="68" customFormat="1" ht="14.25" customHeight="1">
      <c r="A103" s="400" t="s">
        <v>2648</v>
      </c>
      <c r="B103" s="484" t="s">
        <v>302</v>
      </c>
      <c r="C103" s="484" t="s">
        <v>2226</v>
      </c>
      <c r="D103" s="431"/>
      <c r="E103" s="68">
        <v>196893</v>
      </c>
      <c r="J103" s="68" t="s">
        <v>794</v>
      </c>
      <c r="K103" s="68" t="s">
        <v>794</v>
      </c>
      <c r="L103" s="396" t="s">
        <v>794</v>
      </c>
      <c r="N103" s="68">
        <v>20.760820389999999</v>
      </c>
      <c r="O103" s="68">
        <v>92.960083010000005</v>
      </c>
      <c r="P103" s="482" t="s">
        <v>795</v>
      </c>
      <c r="R103" s="95"/>
      <c r="S103" s="400"/>
      <c r="T103" s="101"/>
      <c r="U103" s="401"/>
      <c r="V103" s="68" t="s">
        <v>2219</v>
      </c>
      <c r="W103" s="396"/>
    </row>
    <row r="104" spans="1:23" s="68" customFormat="1" ht="14.25" customHeight="1">
      <c r="A104" s="96" t="s">
        <v>2648</v>
      </c>
      <c r="B104" s="484" t="s">
        <v>302</v>
      </c>
      <c r="C104" s="484" t="s">
        <v>349</v>
      </c>
      <c r="D104" s="431" t="s">
        <v>1656</v>
      </c>
      <c r="E104" s="396"/>
      <c r="J104" s="68" t="s">
        <v>794</v>
      </c>
      <c r="K104" s="68" t="s">
        <v>794</v>
      </c>
      <c r="L104" s="68" t="s">
        <v>794</v>
      </c>
      <c r="M104" s="68" t="s">
        <v>294</v>
      </c>
      <c r="N104" s="396"/>
      <c r="O104" s="396"/>
      <c r="P104" s="396" t="s">
        <v>795</v>
      </c>
      <c r="Q104" s="68" t="s">
        <v>922</v>
      </c>
      <c r="R104" s="486"/>
      <c r="S104" s="400"/>
      <c r="T104" s="101">
        <v>43011</v>
      </c>
      <c r="U104" s="97" t="s">
        <v>923</v>
      </c>
      <c r="W104" s="396"/>
    </row>
    <row r="105" spans="1:23" s="68" customFormat="1" ht="14.25" customHeight="1">
      <c r="A105" s="487" t="s">
        <v>2648</v>
      </c>
      <c r="B105" s="484" t="s">
        <v>302</v>
      </c>
      <c r="C105" s="484" t="s">
        <v>928</v>
      </c>
      <c r="D105" s="431" t="s">
        <v>1656</v>
      </c>
      <c r="E105" s="68">
        <v>196950</v>
      </c>
      <c r="F105" s="396"/>
      <c r="J105" s="68" t="s">
        <v>794</v>
      </c>
      <c r="K105" s="396" t="s">
        <v>794</v>
      </c>
      <c r="L105" s="396" t="s">
        <v>794</v>
      </c>
      <c r="M105" s="68" t="s">
        <v>1989</v>
      </c>
      <c r="N105" s="68">
        <v>20.720500950000002</v>
      </c>
      <c r="O105" s="68">
        <v>92.937339780000002</v>
      </c>
      <c r="P105" s="68" t="s">
        <v>795</v>
      </c>
      <c r="R105" s="486"/>
      <c r="S105" s="400"/>
      <c r="T105" s="101"/>
      <c r="U105" s="488"/>
      <c r="V105" s="68" t="s">
        <v>928</v>
      </c>
      <c r="W105" s="482"/>
    </row>
    <row r="106" spans="1:23" s="68" customFormat="1" ht="14.25" customHeight="1">
      <c r="A106" s="400" t="s">
        <v>2648</v>
      </c>
      <c r="B106" s="490" t="s">
        <v>302</v>
      </c>
      <c r="C106" s="491" t="s">
        <v>2959</v>
      </c>
      <c r="D106" s="485"/>
      <c r="E106" s="68">
        <v>196949</v>
      </c>
      <c r="F106" s="482" t="s">
        <v>566</v>
      </c>
      <c r="J106" s="68" t="s">
        <v>794</v>
      </c>
      <c r="K106" s="68" t="s">
        <v>794</v>
      </c>
      <c r="L106" s="68" t="s">
        <v>794</v>
      </c>
      <c r="N106" s="68">
        <v>20.728960037231399</v>
      </c>
      <c r="O106" s="68">
        <v>92.936019897460895</v>
      </c>
      <c r="P106" s="482" t="s">
        <v>795</v>
      </c>
      <c r="Q106" s="68" t="s">
        <v>2961</v>
      </c>
      <c r="R106" s="494"/>
      <c r="S106" s="400"/>
      <c r="T106" s="101">
        <v>43768</v>
      </c>
      <c r="U106" s="494"/>
      <c r="W106" s="486"/>
    </row>
    <row r="107" spans="1:23" s="68" customFormat="1" ht="14.25" customHeight="1">
      <c r="A107" s="400" t="s">
        <v>2648</v>
      </c>
      <c r="B107" s="484" t="s">
        <v>302</v>
      </c>
      <c r="C107" s="484" t="s">
        <v>2784</v>
      </c>
      <c r="D107" s="431"/>
      <c r="E107" s="68">
        <v>196923</v>
      </c>
      <c r="J107" s="68" t="s">
        <v>2652</v>
      </c>
      <c r="K107" s="68" t="s">
        <v>2622</v>
      </c>
      <c r="L107" s="68" t="s">
        <v>2622</v>
      </c>
      <c r="N107" s="68">
        <v>20.675489425659201</v>
      </c>
      <c r="O107" s="68">
        <v>92.916961669921903</v>
      </c>
      <c r="P107" s="68" t="s">
        <v>1972</v>
      </c>
      <c r="R107" s="399"/>
      <c r="S107" s="400"/>
      <c r="T107" s="101"/>
      <c r="U107" s="488"/>
    </row>
    <row r="108" spans="1:23" s="68" customFormat="1" ht="14.25" customHeight="1">
      <c r="A108" s="400" t="s">
        <v>2648</v>
      </c>
      <c r="B108" s="484" t="s">
        <v>302</v>
      </c>
      <c r="C108" s="484" t="s">
        <v>2008</v>
      </c>
      <c r="D108" s="431"/>
      <c r="E108" s="396">
        <v>196828</v>
      </c>
      <c r="F108" s="396" t="s">
        <v>1754</v>
      </c>
      <c r="G108" s="396"/>
      <c r="H108" s="396"/>
      <c r="I108" s="396"/>
      <c r="J108" s="68" t="s">
        <v>794</v>
      </c>
      <c r="K108" s="396" t="s">
        <v>794</v>
      </c>
      <c r="L108" s="396" t="s">
        <v>794</v>
      </c>
      <c r="N108" s="68">
        <v>20.860509870000001</v>
      </c>
      <c r="O108" s="68">
        <v>92.966751099999996</v>
      </c>
      <c r="P108" s="482" t="s">
        <v>795</v>
      </c>
      <c r="R108" s="399"/>
      <c r="S108" s="400"/>
      <c r="T108" s="101">
        <v>43297</v>
      </c>
      <c r="U108" s="97"/>
    </row>
    <row r="109" spans="1:23" s="68" customFormat="1" ht="14.25" customHeight="1">
      <c r="A109" s="487" t="s">
        <v>2648</v>
      </c>
      <c r="B109" s="490" t="s">
        <v>302</v>
      </c>
      <c r="C109" s="491" t="s">
        <v>2960</v>
      </c>
      <c r="D109" s="485"/>
      <c r="E109" s="68">
        <v>196948</v>
      </c>
      <c r="F109" s="68" t="s">
        <v>566</v>
      </c>
      <c r="J109" s="68" t="s">
        <v>794</v>
      </c>
      <c r="K109" s="68" t="s">
        <v>794</v>
      </c>
      <c r="L109" s="68" t="s">
        <v>794</v>
      </c>
      <c r="N109" s="482">
        <v>0</v>
      </c>
      <c r="O109" s="482">
        <v>0</v>
      </c>
      <c r="P109" s="482" t="s">
        <v>795</v>
      </c>
      <c r="Q109" s="68" t="s">
        <v>2961</v>
      </c>
      <c r="R109" s="494"/>
      <c r="S109" s="400"/>
      <c r="T109" s="101">
        <v>43768</v>
      </c>
      <c r="U109" s="494"/>
      <c r="W109" s="486"/>
    </row>
    <row r="110" spans="1:23" s="68" customFormat="1" ht="14.25" customHeight="1">
      <c r="A110" s="400" t="s">
        <v>2648</v>
      </c>
      <c r="B110" s="490" t="s">
        <v>302</v>
      </c>
      <c r="C110" s="491" t="s">
        <v>573</v>
      </c>
      <c r="D110" s="431" t="s">
        <v>2712</v>
      </c>
      <c r="E110" s="68" t="s">
        <v>1401</v>
      </c>
      <c r="F110" s="68" t="s">
        <v>566</v>
      </c>
      <c r="G110" s="68" t="s">
        <v>573</v>
      </c>
      <c r="J110" s="68" t="s">
        <v>794</v>
      </c>
      <c r="K110" s="68" t="s">
        <v>794</v>
      </c>
      <c r="L110" s="68" t="s">
        <v>879</v>
      </c>
      <c r="M110" s="68" t="s">
        <v>791</v>
      </c>
      <c r="N110" s="68">
        <v>20.727589999999999</v>
      </c>
      <c r="O110" s="68">
        <v>92.969350000000006</v>
      </c>
      <c r="P110" s="482" t="s">
        <v>795</v>
      </c>
      <c r="Q110" s="68" t="s">
        <v>776</v>
      </c>
      <c r="R110" s="95">
        <v>112</v>
      </c>
      <c r="S110" s="400">
        <v>738</v>
      </c>
      <c r="T110" s="101"/>
      <c r="U110" s="97"/>
      <c r="V110" s="68" t="s">
        <v>573</v>
      </c>
    </row>
    <row r="111" spans="1:23" s="68" customFormat="1" ht="14.25" customHeight="1">
      <c r="A111" s="400" t="s">
        <v>2648</v>
      </c>
      <c r="B111" s="490" t="s">
        <v>302</v>
      </c>
      <c r="C111" s="491" t="s">
        <v>569</v>
      </c>
      <c r="D111" s="485" t="s">
        <v>1656</v>
      </c>
      <c r="E111" s="68">
        <v>196951</v>
      </c>
      <c r="J111" s="68" t="s">
        <v>794</v>
      </c>
      <c r="K111" s="68" t="s">
        <v>794</v>
      </c>
      <c r="L111" s="68" t="s">
        <v>794</v>
      </c>
      <c r="M111" s="68" t="s">
        <v>294</v>
      </c>
      <c r="N111" s="68">
        <v>20.723630910000001</v>
      </c>
      <c r="O111" s="68">
        <v>92.974327090000003</v>
      </c>
      <c r="P111" s="68" t="s">
        <v>795</v>
      </c>
      <c r="Q111" s="68" t="s">
        <v>776</v>
      </c>
      <c r="R111" s="494"/>
      <c r="S111" s="400"/>
      <c r="T111" s="101"/>
      <c r="U111" s="97"/>
      <c r="V111" s="68" t="s">
        <v>569</v>
      </c>
    </row>
    <row r="112" spans="1:23" s="68" customFormat="1" ht="14.25" customHeight="1">
      <c r="A112" s="400" t="s">
        <v>2648</v>
      </c>
      <c r="B112" s="490" t="s">
        <v>302</v>
      </c>
      <c r="C112" s="491" t="s">
        <v>3171</v>
      </c>
      <c r="D112" s="485"/>
      <c r="E112" s="68">
        <v>196920</v>
      </c>
      <c r="F112" s="68" t="s">
        <v>3168</v>
      </c>
      <c r="J112" s="68" t="s">
        <v>794</v>
      </c>
      <c r="K112" s="68" t="s">
        <v>794</v>
      </c>
      <c r="L112" s="68" t="s">
        <v>794</v>
      </c>
      <c r="N112" s="68">
        <v>92.928596496582003</v>
      </c>
      <c r="O112" s="68">
        <v>20.649574279785199</v>
      </c>
      <c r="P112" s="482"/>
      <c r="Q112" s="68" t="s">
        <v>3163</v>
      </c>
      <c r="R112" s="494"/>
      <c r="S112" s="96"/>
      <c r="T112" s="101">
        <v>43935</v>
      </c>
      <c r="U112" s="494"/>
      <c r="W112" s="486"/>
    </row>
    <row r="113" spans="1:23" s="68" customFormat="1" ht="14.25" customHeight="1">
      <c r="A113" s="490" t="s">
        <v>2648</v>
      </c>
      <c r="B113" s="490" t="s">
        <v>302</v>
      </c>
      <c r="C113" s="491" t="s">
        <v>2763</v>
      </c>
      <c r="D113" s="485"/>
      <c r="E113" s="68">
        <v>196981</v>
      </c>
      <c r="J113" s="68" t="s">
        <v>2652</v>
      </c>
      <c r="K113" s="68" t="s">
        <v>2622</v>
      </c>
      <c r="L113" s="68" t="s">
        <v>2622</v>
      </c>
      <c r="N113" s="68">
        <v>20.656810760498001</v>
      </c>
      <c r="O113" s="68">
        <v>93.029953002929702</v>
      </c>
      <c r="P113" s="68" t="s">
        <v>1972</v>
      </c>
      <c r="R113" s="494"/>
      <c r="S113" s="400"/>
      <c r="T113" s="101">
        <v>43591</v>
      </c>
      <c r="U113" s="494"/>
      <c r="W113" s="486"/>
    </row>
    <row r="114" spans="1:23" s="68" customFormat="1" ht="14.25" customHeight="1">
      <c r="A114" s="400" t="s">
        <v>2648</v>
      </c>
      <c r="B114" s="396" t="s">
        <v>312</v>
      </c>
      <c r="C114" s="396" t="s">
        <v>872</v>
      </c>
      <c r="D114" s="431" t="s">
        <v>1656</v>
      </c>
      <c r="E114" s="68">
        <v>197171</v>
      </c>
      <c r="F114" s="512" t="s">
        <v>516</v>
      </c>
      <c r="J114" s="68" t="s">
        <v>794</v>
      </c>
      <c r="K114" s="68" t="s">
        <v>794</v>
      </c>
      <c r="L114" s="68" t="s">
        <v>794</v>
      </c>
      <c r="N114" s="68">
        <v>20.225250240000001</v>
      </c>
      <c r="O114" s="68">
        <v>93.418876650000001</v>
      </c>
      <c r="P114" s="482" t="s">
        <v>795</v>
      </c>
      <c r="R114" s="95"/>
      <c r="S114" s="400"/>
      <c r="T114" s="101"/>
      <c r="U114" s="97"/>
      <c r="V114" s="68" t="s">
        <v>873</v>
      </c>
    </row>
    <row r="115" spans="1:23" s="68" customFormat="1" ht="14.25" customHeight="1">
      <c r="A115" s="96" t="s">
        <v>2648</v>
      </c>
      <c r="B115" s="482" t="s">
        <v>312</v>
      </c>
      <c r="C115" s="482" t="s">
        <v>2601</v>
      </c>
      <c r="D115" s="431"/>
      <c r="E115" s="68">
        <v>197034</v>
      </c>
      <c r="J115" s="68" t="s">
        <v>794</v>
      </c>
      <c r="K115" s="396" t="s">
        <v>794</v>
      </c>
      <c r="L115" s="396" t="s">
        <v>794</v>
      </c>
      <c r="N115" s="482">
        <v>20.437318801879901</v>
      </c>
      <c r="O115" s="482">
        <v>93.302917480468807</v>
      </c>
      <c r="P115" s="482" t="s">
        <v>795</v>
      </c>
      <c r="R115" s="486"/>
      <c r="S115" s="96"/>
      <c r="T115" s="101"/>
      <c r="U115" s="488"/>
      <c r="W115" s="482"/>
    </row>
    <row r="116" spans="1:23" s="68" customFormat="1" ht="14.25" customHeight="1">
      <c r="A116" s="400" t="s">
        <v>2648</v>
      </c>
      <c r="B116" s="396" t="s">
        <v>312</v>
      </c>
      <c r="C116" s="396" t="s">
        <v>2598</v>
      </c>
      <c r="D116" s="431"/>
      <c r="E116" s="68">
        <v>197020</v>
      </c>
      <c r="J116" s="68" t="s">
        <v>794</v>
      </c>
      <c r="K116" s="68" t="s">
        <v>794</v>
      </c>
      <c r="L116" s="68" t="s">
        <v>794</v>
      </c>
      <c r="N116" s="482">
        <v>20.404491424560501</v>
      </c>
      <c r="O116" s="482">
        <v>93.321144104003906</v>
      </c>
      <c r="P116" s="482" t="s">
        <v>795</v>
      </c>
      <c r="R116" s="95"/>
      <c r="S116" s="96"/>
      <c r="T116" s="101"/>
      <c r="U116" s="97"/>
      <c r="W116" s="396"/>
    </row>
    <row r="117" spans="1:23" s="68" customFormat="1" ht="14.25" customHeight="1">
      <c r="A117" s="487" t="s">
        <v>2648</v>
      </c>
      <c r="B117" s="482" t="s">
        <v>312</v>
      </c>
      <c r="C117" s="482" t="s">
        <v>2616</v>
      </c>
      <c r="D117" s="431"/>
      <c r="E117" s="68">
        <v>220651</v>
      </c>
      <c r="J117" s="68" t="s">
        <v>794</v>
      </c>
      <c r="K117" s="68" t="s">
        <v>794</v>
      </c>
      <c r="L117" s="68" t="s">
        <v>794</v>
      </c>
      <c r="N117" s="482">
        <v>20.494003295898398</v>
      </c>
      <c r="O117" s="482">
        <v>93.324035644531307</v>
      </c>
      <c r="P117" s="482" t="s">
        <v>795</v>
      </c>
      <c r="R117" s="486"/>
      <c r="S117" s="400"/>
      <c r="T117" s="101"/>
      <c r="U117" s="488"/>
      <c r="W117" s="482"/>
    </row>
    <row r="118" spans="1:23" s="68" customFormat="1" ht="14.25" customHeight="1">
      <c r="A118" s="400" t="s">
        <v>2648</v>
      </c>
      <c r="B118" s="396" t="s">
        <v>312</v>
      </c>
      <c r="C118" s="396" t="s">
        <v>895</v>
      </c>
      <c r="D118" s="431" t="s">
        <v>2712</v>
      </c>
      <c r="E118" s="68" t="s">
        <v>1389</v>
      </c>
      <c r="F118" s="68" t="s">
        <v>876</v>
      </c>
      <c r="G118" s="68" t="s">
        <v>895</v>
      </c>
      <c r="J118" s="68" t="s">
        <v>794</v>
      </c>
      <c r="K118" s="68" t="s">
        <v>794</v>
      </c>
      <c r="L118" s="68" t="s">
        <v>879</v>
      </c>
      <c r="M118" s="68" t="s">
        <v>791</v>
      </c>
      <c r="N118" s="68">
        <v>20.480898</v>
      </c>
      <c r="O118" s="68">
        <v>93.299485000000004</v>
      </c>
      <c r="P118" s="482" t="s">
        <v>795</v>
      </c>
      <c r="R118" s="399">
        <v>87</v>
      </c>
      <c r="S118" s="400">
        <v>444</v>
      </c>
      <c r="T118" s="101"/>
      <c r="U118" s="97" t="s">
        <v>856</v>
      </c>
      <c r="V118" s="68" t="s">
        <v>895</v>
      </c>
      <c r="W118" s="396"/>
    </row>
    <row r="119" spans="1:23" s="68" customFormat="1" ht="14.25" customHeight="1">
      <c r="A119" s="400" t="s">
        <v>2648</v>
      </c>
      <c r="B119" s="396" t="s">
        <v>312</v>
      </c>
      <c r="C119" s="396" t="s">
        <v>2610</v>
      </c>
      <c r="D119" s="431"/>
      <c r="E119" s="68">
        <v>197090</v>
      </c>
      <c r="J119" s="68" t="s">
        <v>794</v>
      </c>
      <c r="K119" s="396" t="s">
        <v>794</v>
      </c>
      <c r="L119" s="396" t="s">
        <v>794</v>
      </c>
      <c r="N119" s="482">
        <v>20.445030212402301</v>
      </c>
      <c r="O119" s="482">
        <v>93.312812805175795</v>
      </c>
      <c r="P119" s="482" t="s">
        <v>795</v>
      </c>
      <c r="R119" s="95"/>
      <c r="S119" s="400"/>
      <c r="T119" s="101"/>
      <c r="U119" s="97"/>
    </row>
    <row r="120" spans="1:23" s="68" customFormat="1" ht="14.25" customHeight="1">
      <c r="A120" s="400" t="s">
        <v>2648</v>
      </c>
      <c r="B120" s="396" t="s">
        <v>312</v>
      </c>
      <c r="C120" s="396" t="s">
        <v>462</v>
      </c>
      <c r="D120" s="431" t="s">
        <v>1656</v>
      </c>
      <c r="E120" s="68">
        <v>196994</v>
      </c>
      <c r="J120" s="68" t="s">
        <v>794</v>
      </c>
      <c r="K120" s="396" t="s">
        <v>794</v>
      </c>
      <c r="L120" s="396" t="s">
        <v>794</v>
      </c>
      <c r="M120" s="68" t="s">
        <v>885</v>
      </c>
      <c r="N120" s="68">
        <v>20.394809720000001</v>
      </c>
      <c r="O120" s="68">
        <v>93.251609799999997</v>
      </c>
      <c r="P120" s="482" t="s">
        <v>795</v>
      </c>
      <c r="Q120" s="68" t="s">
        <v>776</v>
      </c>
      <c r="R120" s="95"/>
      <c r="S120" s="96"/>
      <c r="T120" s="101"/>
      <c r="U120" s="97"/>
      <c r="V120" s="68" t="s">
        <v>886</v>
      </c>
    </row>
    <row r="121" spans="1:23" s="68" customFormat="1" ht="14.25" customHeight="1">
      <c r="A121" s="400" t="s">
        <v>2648</v>
      </c>
      <c r="B121" s="396" t="s">
        <v>312</v>
      </c>
      <c r="C121" s="396" t="s">
        <v>313</v>
      </c>
      <c r="D121" s="431" t="s">
        <v>1656</v>
      </c>
      <c r="E121" s="482">
        <v>197174</v>
      </c>
      <c r="J121" s="68" t="s">
        <v>794</v>
      </c>
      <c r="K121" s="68" t="s">
        <v>794</v>
      </c>
      <c r="L121" s="68" t="s">
        <v>794</v>
      </c>
      <c r="M121" s="68" t="s">
        <v>294</v>
      </c>
      <c r="N121" s="482">
        <v>0</v>
      </c>
      <c r="O121" s="482">
        <v>0</v>
      </c>
      <c r="P121" s="68" t="s">
        <v>795</v>
      </c>
      <c r="Q121" s="68" t="s">
        <v>776</v>
      </c>
      <c r="R121" s="95"/>
      <c r="S121" s="400"/>
      <c r="T121" s="101" t="s">
        <v>801</v>
      </c>
      <c r="U121" s="97"/>
    </row>
    <row r="122" spans="1:23" s="68" customFormat="1" ht="14.25" customHeight="1">
      <c r="A122" s="400" t="s">
        <v>2648</v>
      </c>
      <c r="B122" s="396" t="s">
        <v>312</v>
      </c>
      <c r="C122" s="396" t="s">
        <v>2614</v>
      </c>
      <c r="D122" s="431"/>
      <c r="E122" s="68">
        <v>197099</v>
      </c>
      <c r="J122" s="68" t="s">
        <v>794</v>
      </c>
      <c r="K122" s="68" t="s">
        <v>794</v>
      </c>
      <c r="L122" s="68" t="s">
        <v>794</v>
      </c>
      <c r="N122" s="482">
        <v>20.424299240112301</v>
      </c>
      <c r="O122" s="482">
        <v>93.337341308593807</v>
      </c>
      <c r="P122" s="482" t="s">
        <v>795</v>
      </c>
      <c r="R122" s="95"/>
      <c r="S122" s="400"/>
      <c r="T122" s="101"/>
      <c r="U122" s="97"/>
    </row>
    <row r="123" spans="1:23" s="68" customFormat="1" ht="14.25" customHeight="1">
      <c r="A123" s="487" t="s">
        <v>2648</v>
      </c>
      <c r="B123" s="482" t="s">
        <v>312</v>
      </c>
      <c r="C123" s="482" t="s">
        <v>867</v>
      </c>
      <c r="D123" s="431" t="s">
        <v>1656</v>
      </c>
      <c r="E123" s="68">
        <v>197176</v>
      </c>
      <c r="F123" s="68" t="s">
        <v>516</v>
      </c>
      <c r="J123" s="68" t="s">
        <v>794</v>
      </c>
      <c r="K123" s="68" t="s">
        <v>794</v>
      </c>
      <c r="L123" s="68" t="s">
        <v>794</v>
      </c>
      <c r="M123" s="68" t="s">
        <v>791</v>
      </c>
      <c r="N123" s="396">
        <v>20.203340529999998</v>
      </c>
      <c r="O123" s="396">
        <v>93.426139829999997</v>
      </c>
      <c r="P123" s="482" t="s">
        <v>795</v>
      </c>
      <c r="R123" s="486"/>
      <c r="S123" s="400"/>
      <c r="T123" s="101"/>
      <c r="U123" s="482"/>
      <c r="V123" s="68" t="s">
        <v>868</v>
      </c>
      <c r="W123" s="482"/>
    </row>
    <row r="124" spans="1:23" s="68" customFormat="1" ht="14.25" customHeight="1">
      <c r="A124" s="400" t="s">
        <v>2648</v>
      </c>
      <c r="B124" s="482" t="s">
        <v>312</v>
      </c>
      <c r="C124" s="482" t="s">
        <v>2619</v>
      </c>
      <c r="D124" s="431"/>
      <c r="E124" s="68">
        <v>197111</v>
      </c>
      <c r="J124" s="68" t="s">
        <v>794</v>
      </c>
      <c r="K124" s="68" t="s">
        <v>794</v>
      </c>
      <c r="L124" s="68" t="s">
        <v>794</v>
      </c>
      <c r="N124" s="482">
        <v>20.382389068603501</v>
      </c>
      <c r="O124" s="482">
        <v>93.373863220214801</v>
      </c>
      <c r="P124" s="482" t="s">
        <v>795</v>
      </c>
      <c r="R124" s="399"/>
      <c r="S124" s="400"/>
      <c r="T124" s="101"/>
      <c r="U124" s="97"/>
      <c r="W124" s="396"/>
    </row>
    <row r="125" spans="1:23" s="68" customFormat="1" ht="14.25" customHeight="1">
      <c r="A125" s="490" t="s">
        <v>2648</v>
      </c>
      <c r="B125" s="490" t="s">
        <v>312</v>
      </c>
      <c r="C125" s="491" t="s">
        <v>2725</v>
      </c>
      <c r="D125" s="485"/>
      <c r="E125" s="396"/>
      <c r="F125" s="396"/>
      <c r="G125" s="396"/>
      <c r="H125" s="396"/>
      <c r="I125" s="396"/>
      <c r="J125" s="68" t="s">
        <v>2652</v>
      </c>
      <c r="K125" s="68" t="s">
        <v>2622</v>
      </c>
      <c r="L125" s="68" t="s">
        <v>2622</v>
      </c>
      <c r="M125" s="396"/>
      <c r="N125" s="396"/>
      <c r="O125" s="396"/>
      <c r="P125" s="68" t="s">
        <v>1972</v>
      </c>
      <c r="Q125" s="396"/>
      <c r="R125" s="494"/>
      <c r="S125" s="400"/>
      <c r="T125" s="412">
        <v>43591</v>
      </c>
      <c r="U125" s="494"/>
      <c r="V125" s="396"/>
      <c r="W125" s="486"/>
    </row>
    <row r="126" spans="1:23" s="68" customFormat="1" ht="14.25" customHeight="1">
      <c r="A126" s="400" t="s">
        <v>2648</v>
      </c>
      <c r="B126" s="482" t="s">
        <v>312</v>
      </c>
      <c r="C126" s="482" t="s">
        <v>2607</v>
      </c>
      <c r="D126" s="431"/>
      <c r="E126" s="396">
        <v>197042</v>
      </c>
      <c r="F126" s="396"/>
      <c r="G126" s="396"/>
      <c r="H126" s="396"/>
      <c r="I126" s="396"/>
      <c r="J126" s="396" t="s">
        <v>794</v>
      </c>
      <c r="K126" s="396" t="s">
        <v>794</v>
      </c>
      <c r="L126" s="396" t="s">
        <v>794</v>
      </c>
      <c r="M126" s="396"/>
      <c r="N126" s="482">
        <v>20.478410720825199</v>
      </c>
      <c r="O126" s="482">
        <v>93.28662109375</v>
      </c>
      <c r="P126" s="396" t="s">
        <v>795</v>
      </c>
      <c r="Q126" s="396"/>
      <c r="R126" s="399"/>
      <c r="S126" s="400"/>
      <c r="T126" s="412"/>
      <c r="U126" s="401"/>
      <c r="V126" s="396"/>
      <c r="W126" s="396"/>
    </row>
    <row r="127" spans="1:23" s="68" customFormat="1" ht="14.25" customHeight="1">
      <c r="A127" s="400" t="s">
        <v>2648</v>
      </c>
      <c r="B127" s="482" t="s">
        <v>312</v>
      </c>
      <c r="C127" s="482" t="s">
        <v>464</v>
      </c>
      <c r="D127" s="431" t="s">
        <v>1656</v>
      </c>
      <c r="E127" s="68">
        <v>196996</v>
      </c>
      <c r="J127" s="68" t="s">
        <v>794</v>
      </c>
      <c r="K127" s="68" t="s">
        <v>794</v>
      </c>
      <c r="L127" s="68" t="s">
        <v>794</v>
      </c>
      <c r="M127" s="68" t="s">
        <v>294</v>
      </c>
      <c r="N127" s="68">
        <v>20.398889539999999</v>
      </c>
      <c r="O127" s="68">
        <v>93.25405121</v>
      </c>
      <c r="P127" s="482" t="s">
        <v>795</v>
      </c>
      <c r="Q127" s="68" t="s">
        <v>776</v>
      </c>
      <c r="R127" s="95"/>
      <c r="S127" s="96"/>
      <c r="T127" s="101"/>
      <c r="U127" s="97"/>
      <c r="V127" s="68" t="s">
        <v>464</v>
      </c>
    </row>
    <row r="128" spans="1:23" s="68" customFormat="1" ht="14.25" customHeight="1">
      <c r="A128" s="400" t="s">
        <v>2648</v>
      </c>
      <c r="B128" s="482" t="s">
        <v>312</v>
      </c>
      <c r="C128" s="482" t="s">
        <v>2608</v>
      </c>
      <c r="D128" s="431"/>
      <c r="E128" s="68">
        <v>197043</v>
      </c>
      <c r="J128" s="68" t="s">
        <v>794</v>
      </c>
      <c r="K128" s="68" t="s">
        <v>794</v>
      </c>
      <c r="L128" s="68" t="s">
        <v>794</v>
      </c>
      <c r="N128" s="482">
        <v>20.481389999389599</v>
      </c>
      <c r="O128" s="482">
        <v>93.283447265625</v>
      </c>
      <c r="P128" s="482" t="s">
        <v>795</v>
      </c>
      <c r="R128" s="95"/>
      <c r="S128" s="400"/>
      <c r="T128" s="101"/>
      <c r="U128" s="97"/>
    </row>
    <row r="129" spans="1:23" s="68" customFormat="1" ht="14.25" customHeight="1">
      <c r="A129" s="400" t="s">
        <v>2648</v>
      </c>
      <c r="B129" s="482" t="s">
        <v>312</v>
      </c>
      <c r="C129" s="482" t="s">
        <v>444</v>
      </c>
      <c r="D129" s="431" t="s">
        <v>1656</v>
      </c>
      <c r="E129" s="482">
        <v>220671</v>
      </c>
      <c r="J129" s="68" t="s">
        <v>794</v>
      </c>
      <c r="K129" s="68" t="s">
        <v>794</v>
      </c>
      <c r="L129" s="68" t="s">
        <v>794</v>
      </c>
      <c r="M129" s="68" t="s">
        <v>294</v>
      </c>
      <c r="N129" s="482">
        <v>20.218471529999999</v>
      </c>
      <c r="O129" s="482">
        <v>93.424331670000001</v>
      </c>
      <c r="P129" s="482" t="s">
        <v>795</v>
      </c>
      <c r="Q129" s="68" t="s">
        <v>776</v>
      </c>
      <c r="R129" s="399"/>
      <c r="S129" s="400"/>
      <c r="T129" s="101"/>
      <c r="U129" s="97"/>
      <c r="V129" s="68" t="s">
        <v>870</v>
      </c>
      <c r="W129" s="396"/>
    </row>
    <row r="130" spans="1:23" s="68" customFormat="1" ht="14.25" customHeight="1">
      <c r="A130" s="400" t="s">
        <v>2648</v>
      </c>
      <c r="B130" s="482" t="s">
        <v>312</v>
      </c>
      <c r="C130" s="482" t="s">
        <v>2596</v>
      </c>
      <c r="D130" s="431"/>
      <c r="E130" s="68">
        <v>197017</v>
      </c>
      <c r="J130" s="68" t="s">
        <v>794</v>
      </c>
      <c r="K130" s="396" t="s">
        <v>794</v>
      </c>
      <c r="L130" s="396" t="s">
        <v>794</v>
      </c>
      <c r="N130" s="482">
        <v>20.3927307128906</v>
      </c>
      <c r="O130" s="482">
        <v>93.304817199707003</v>
      </c>
      <c r="P130" s="482" t="s">
        <v>795</v>
      </c>
      <c r="R130" s="399"/>
      <c r="S130" s="96"/>
      <c r="T130" s="101"/>
      <c r="U130" s="97"/>
    </row>
    <row r="131" spans="1:23" s="68" customFormat="1" ht="14.25" customHeight="1">
      <c r="A131" s="487" t="s">
        <v>2648</v>
      </c>
      <c r="B131" s="490" t="s">
        <v>312</v>
      </c>
      <c r="C131" s="491" t="s">
        <v>2720</v>
      </c>
      <c r="D131" s="485"/>
      <c r="E131" s="68">
        <v>197065</v>
      </c>
      <c r="J131" s="68" t="s">
        <v>2652</v>
      </c>
      <c r="K131" s="68" t="s">
        <v>2622</v>
      </c>
      <c r="L131" s="68" t="s">
        <v>2622</v>
      </c>
      <c r="N131" s="68">
        <v>20.593980789184599</v>
      </c>
      <c r="O131" s="68">
        <v>93.261528015136705</v>
      </c>
      <c r="P131" s="68" t="s">
        <v>1972</v>
      </c>
      <c r="R131" s="494"/>
      <c r="S131" s="400"/>
      <c r="T131" s="101">
        <v>43591</v>
      </c>
      <c r="U131" s="494"/>
      <c r="W131" s="486"/>
    </row>
    <row r="132" spans="1:23" s="68" customFormat="1" ht="14.25" customHeight="1">
      <c r="A132" s="400" t="s">
        <v>2648</v>
      </c>
      <c r="B132" s="482" t="s">
        <v>312</v>
      </c>
      <c r="C132" s="482" t="s">
        <v>2606</v>
      </c>
      <c r="D132" s="431"/>
      <c r="E132" s="68">
        <v>197041</v>
      </c>
      <c r="J132" s="68" t="s">
        <v>794</v>
      </c>
      <c r="K132" s="68" t="s">
        <v>794</v>
      </c>
      <c r="L132" s="68" t="s">
        <v>794</v>
      </c>
      <c r="N132" s="482">
        <v>20.4733695983887</v>
      </c>
      <c r="O132" s="482">
        <v>93.291687011718807</v>
      </c>
      <c r="P132" s="68" t="s">
        <v>795</v>
      </c>
      <c r="R132" s="399"/>
      <c r="S132" s="400"/>
      <c r="T132" s="101"/>
      <c r="U132" s="97"/>
      <c r="W132" s="396"/>
    </row>
    <row r="133" spans="1:23" s="68" customFormat="1" ht="14.25" customHeight="1">
      <c r="A133" s="490" t="s">
        <v>2648</v>
      </c>
      <c r="B133" s="490" t="s">
        <v>312</v>
      </c>
      <c r="C133" s="491" t="s">
        <v>2744</v>
      </c>
      <c r="D133" s="485"/>
      <c r="J133" s="68" t="s">
        <v>2652</v>
      </c>
      <c r="K133" s="68" t="s">
        <v>2622</v>
      </c>
      <c r="L133" s="68" t="s">
        <v>2622</v>
      </c>
      <c r="P133" s="68" t="s">
        <v>1972</v>
      </c>
      <c r="R133" s="494"/>
      <c r="S133" s="400"/>
      <c r="T133" s="101">
        <v>43591</v>
      </c>
      <c r="U133" s="494"/>
      <c r="W133" s="486"/>
    </row>
    <row r="134" spans="1:23" s="68" customFormat="1" ht="14.25" customHeight="1">
      <c r="A134" s="400" t="s">
        <v>2648</v>
      </c>
      <c r="B134" s="482" t="s">
        <v>312</v>
      </c>
      <c r="C134" s="482" t="s">
        <v>2617</v>
      </c>
      <c r="D134" s="431"/>
      <c r="E134" s="68">
        <v>197103</v>
      </c>
      <c r="J134" s="68" t="s">
        <v>794</v>
      </c>
      <c r="K134" s="68" t="s">
        <v>794</v>
      </c>
      <c r="L134" s="68" t="s">
        <v>794</v>
      </c>
      <c r="N134" s="482">
        <v>20.476139068603501</v>
      </c>
      <c r="O134" s="482">
        <v>93.338516235351605</v>
      </c>
      <c r="P134" s="68" t="s">
        <v>795</v>
      </c>
      <c r="R134" s="95"/>
      <c r="S134" s="96"/>
      <c r="T134" s="101"/>
      <c r="U134" s="97"/>
    </row>
    <row r="135" spans="1:23" s="68" customFormat="1" ht="14.25" customHeight="1">
      <c r="A135" s="400" t="s">
        <v>2648</v>
      </c>
      <c r="B135" s="482" t="s">
        <v>312</v>
      </c>
      <c r="C135" s="482" t="s">
        <v>2600</v>
      </c>
      <c r="D135" s="431"/>
      <c r="E135" s="68">
        <v>197028</v>
      </c>
      <c r="J135" s="68" t="s">
        <v>794</v>
      </c>
      <c r="K135" s="68" t="s">
        <v>794</v>
      </c>
      <c r="L135" s="68" t="s">
        <v>794</v>
      </c>
      <c r="N135" s="482">
        <v>20.4226398468018</v>
      </c>
      <c r="O135" s="482">
        <v>93.307182312011705</v>
      </c>
      <c r="P135" s="482" t="s">
        <v>795</v>
      </c>
      <c r="R135" s="95"/>
      <c r="S135" s="96"/>
      <c r="T135" s="101"/>
      <c r="U135" s="97"/>
    </row>
    <row r="136" spans="1:23" s="68" customFormat="1" ht="14.25" customHeight="1">
      <c r="A136" s="400" t="s">
        <v>2648</v>
      </c>
      <c r="B136" s="482" t="s">
        <v>312</v>
      </c>
      <c r="C136" s="482" t="s">
        <v>2599</v>
      </c>
      <c r="D136" s="431"/>
      <c r="E136" s="68">
        <v>197027</v>
      </c>
      <c r="J136" s="68" t="s">
        <v>794</v>
      </c>
      <c r="K136" s="68" t="s">
        <v>794</v>
      </c>
      <c r="L136" s="68" t="s">
        <v>794</v>
      </c>
      <c r="N136" s="482">
        <v>20.428560256958001</v>
      </c>
      <c r="O136" s="482">
        <v>93.305938720703097</v>
      </c>
      <c r="P136" s="482" t="s">
        <v>795</v>
      </c>
      <c r="R136" s="399"/>
      <c r="S136" s="96"/>
      <c r="T136" s="101"/>
      <c r="U136" s="97"/>
      <c r="W136" s="396"/>
    </row>
    <row r="137" spans="1:23" s="68" customFormat="1" ht="14.25" customHeight="1">
      <c r="A137" s="400" t="s">
        <v>2648</v>
      </c>
      <c r="B137" s="482" t="s">
        <v>312</v>
      </c>
      <c r="C137" s="482" t="s">
        <v>882</v>
      </c>
      <c r="D137" s="431" t="s">
        <v>2712</v>
      </c>
      <c r="E137" s="395" t="s">
        <v>1381</v>
      </c>
      <c r="F137" s="396" t="s">
        <v>1746</v>
      </c>
      <c r="G137" s="68" t="s">
        <v>1746</v>
      </c>
      <c r="J137" s="68" t="s">
        <v>794</v>
      </c>
      <c r="K137" s="68" t="s">
        <v>794</v>
      </c>
      <c r="L137" s="68" t="s">
        <v>879</v>
      </c>
      <c r="M137" s="68" t="s">
        <v>791</v>
      </c>
      <c r="N137" s="497">
        <v>20.377523</v>
      </c>
      <c r="O137" s="407">
        <v>93.271642</v>
      </c>
      <c r="P137" s="482" t="s">
        <v>795</v>
      </c>
      <c r="Q137" s="396"/>
      <c r="R137" s="399">
        <v>19</v>
      </c>
      <c r="S137" s="400">
        <v>142</v>
      </c>
      <c r="T137" s="412"/>
      <c r="U137" s="97" t="s">
        <v>856</v>
      </c>
      <c r="V137" s="68" t="s">
        <v>882</v>
      </c>
      <c r="W137" s="396"/>
    </row>
    <row r="138" spans="1:23" s="68" customFormat="1" ht="14.25" customHeight="1">
      <c r="A138" s="400" t="s">
        <v>2648</v>
      </c>
      <c r="B138" s="482" t="s">
        <v>312</v>
      </c>
      <c r="C138" s="482" t="s">
        <v>658</v>
      </c>
      <c r="D138" s="431"/>
      <c r="E138" s="68">
        <v>197110</v>
      </c>
      <c r="F138" s="68" t="s">
        <v>2690</v>
      </c>
      <c r="J138" s="68" t="s">
        <v>794</v>
      </c>
      <c r="K138" s="68" t="s">
        <v>794</v>
      </c>
      <c r="L138" s="68" t="s">
        <v>794</v>
      </c>
      <c r="N138" s="482">
        <v>0</v>
      </c>
      <c r="O138" s="482">
        <v>0</v>
      </c>
      <c r="P138" s="482" t="s">
        <v>795</v>
      </c>
      <c r="R138" s="399"/>
      <c r="S138" s="400"/>
      <c r="T138" s="101"/>
      <c r="U138" s="97"/>
      <c r="W138" s="396"/>
    </row>
    <row r="139" spans="1:23" s="68" customFormat="1" ht="14.25" customHeight="1">
      <c r="A139" s="490" t="s">
        <v>2648</v>
      </c>
      <c r="B139" s="490" t="s">
        <v>312</v>
      </c>
      <c r="C139" s="491" t="s">
        <v>2724</v>
      </c>
      <c r="D139" s="485"/>
      <c r="E139" s="68">
        <v>197051</v>
      </c>
      <c r="J139" s="68" t="s">
        <v>2652</v>
      </c>
      <c r="K139" s="68" t="s">
        <v>2622</v>
      </c>
      <c r="L139" s="396" t="s">
        <v>2622</v>
      </c>
      <c r="N139" s="68">
        <v>20.599809646606399</v>
      </c>
      <c r="O139" s="68">
        <v>93.265541076660199</v>
      </c>
      <c r="P139" s="482" t="s">
        <v>1972</v>
      </c>
      <c r="R139" s="494"/>
      <c r="S139" s="96"/>
      <c r="T139" s="101">
        <v>43591</v>
      </c>
      <c r="U139" s="494"/>
      <c r="W139" s="486"/>
    </row>
    <row r="140" spans="1:23" s="68" customFormat="1" ht="14.25" customHeight="1">
      <c r="A140" s="400" t="s">
        <v>2648</v>
      </c>
      <c r="B140" s="484" t="s">
        <v>312</v>
      </c>
      <c r="C140" s="71" t="s">
        <v>876</v>
      </c>
      <c r="D140" s="431"/>
      <c r="E140" s="396">
        <v>197149</v>
      </c>
      <c r="F140" s="396" t="s">
        <v>876</v>
      </c>
      <c r="G140" s="396"/>
      <c r="H140" s="396"/>
      <c r="I140" s="396"/>
      <c r="J140" s="68" t="s">
        <v>794</v>
      </c>
      <c r="K140" s="396" t="s">
        <v>794</v>
      </c>
      <c r="L140" s="396" t="s">
        <v>794</v>
      </c>
      <c r="M140" s="396"/>
      <c r="N140" s="482">
        <v>20.466840744018601</v>
      </c>
      <c r="O140" s="482">
        <v>93.304931640625</v>
      </c>
      <c r="P140" s="482" t="s">
        <v>795</v>
      </c>
      <c r="Q140" s="396"/>
      <c r="R140" s="399"/>
      <c r="S140" s="400"/>
      <c r="T140" s="412"/>
      <c r="U140" s="401"/>
      <c r="V140" s="396"/>
      <c r="W140" s="396"/>
    </row>
    <row r="141" spans="1:23" s="68" customFormat="1" ht="14.25" customHeight="1">
      <c r="A141" s="400" t="s">
        <v>2648</v>
      </c>
      <c r="B141" s="397" t="s">
        <v>312</v>
      </c>
      <c r="C141" s="397" t="s">
        <v>891</v>
      </c>
      <c r="D141" s="431" t="s">
        <v>2712</v>
      </c>
      <c r="E141" s="68" t="s">
        <v>1385</v>
      </c>
      <c r="F141" s="396" t="s">
        <v>1852</v>
      </c>
      <c r="G141" s="68" t="s">
        <v>1853</v>
      </c>
      <c r="J141" s="68" t="s">
        <v>794</v>
      </c>
      <c r="K141" s="396" t="s">
        <v>794</v>
      </c>
      <c r="L141" s="396" t="s">
        <v>879</v>
      </c>
      <c r="M141" s="68" t="s">
        <v>791</v>
      </c>
      <c r="N141" s="68">
        <v>20.407971</v>
      </c>
      <c r="O141" s="68">
        <v>93.313627999999994</v>
      </c>
      <c r="P141" s="68" t="s">
        <v>795</v>
      </c>
      <c r="R141" s="399">
        <v>228</v>
      </c>
      <c r="S141" s="400">
        <v>1377</v>
      </c>
      <c r="T141" s="101"/>
      <c r="U141" s="97" t="s">
        <v>856</v>
      </c>
      <c r="V141" s="68" t="s">
        <v>891</v>
      </c>
      <c r="W141" s="396"/>
    </row>
    <row r="142" spans="1:23" s="68" customFormat="1" ht="14.25" customHeight="1">
      <c r="A142" s="400" t="s">
        <v>2648</v>
      </c>
      <c r="B142" s="397" t="s">
        <v>312</v>
      </c>
      <c r="C142" s="397" t="s">
        <v>465</v>
      </c>
      <c r="D142" s="431" t="s">
        <v>2712</v>
      </c>
      <c r="E142" s="68" t="s">
        <v>1383</v>
      </c>
      <c r="F142" s="68" t="s">
        <v>462</v>
      </c>
      <c r="G142" s="68" t="s">
        <v>465</v>
      </c>
      <c r="J142" s="68" t="s">
        <v>794</v>
      </c>
      <c r="K142" s="68" t="s">
        <v>794</v>
      </c>
      <c r="L142" s="68" t="s">
        <v>879</v>
      </c>
      <c r="M142" s="68" t="s">
        <v>791</v>
      </c>
      <c r="N142" s="396">
        <v>20.39902</v>
      </c>
      <c r="O142" s="396">
        <v>93.249669999999995</v>
      </c>
      <c r="P142" s="68" t="s">
        <v>795</v>
      </c>
      <c r="Q142" s="68" t="s">
        <v>776</v>
      </c>
      <c r="R142" s="399">
        <v>86</v>
      </c>
      <c r="S142" s="400">
        <v>476</v>
      </c>
      <c r="T142" s="101"/>
      <c r="U142" s="97"/>
      <c r="V142" s="68" t="s">
        <v>890</v>
      </c>
    </row>
    <row r="143" spans="1:23" s="68" customFormat="1" ht="14.25" customHeight="1">
      <c r="A143" s="400" t="s">
        <v>2648</v>
      </c>
      <c r="B143" s="397" t="s">
        <v>312</v>
      </c>
      <c r="C143" s="397" t="s">
        <v>2605</v>
      </c>
      <c r="D143" s="431"/>
      <c r="E143" s="396">
        <v>197039</v>
      </c>
      <c r="F143" s="396"/>
      <c r="G143" s="396"/>
      <c r="H143" s="396"/>
      <c r="I143" s="396"/>
      <c r="J143" s="68" t="s">
        <v>794</v>
      </c>
      <c r="K143" s="68" t="s">
        <v>794</v>
      </c>
      <c r="L143" s="68" t="s">
        <v>794</v>
      </c>
      <c r="M143" s="396"/>
      <c r="N143" s="482">
        <v>20.463020324706999</v>
      </c>
      <c r="O143" s="482">
        <v>93.296417236328097</v>
      </c>
      <c r="P143" s="482" t="s">
        <v>795</v>
      </c>
      <c r="Q143" s="396"/>
      <c r="R143" s="399"/>
      <c r="S143" s="400"/>
      <c r="T143" s="412"/>
      <c r="U143" s="401"/>
      <c r="V143" s="396"/>
      <c r="W143" s="396"/>
    </row>
    <row r="144" spans="1:23" s="68" customFormat="1" ht="14.25" customHeight="1">
      <c r="A144" s="400" t="s">
        <v>2648</v>
      </c>
      <c r="B144" s="397" t="s">
        <v>312</v>
      </c>
      <c r="C144" s="397" t="s">
        <v>1855</v>
      </c>
      <c r="D144" s="431"/>
      <c r="E144" s="68">
        <v>197023</v>
      </c>
      <c r="F144" s="396"/>
      <c r="J144" s="68" t="s">
        <v>794</v>
      </c>
      <c r="K144" s="68" t="s">
        <v>794</v>
      </c>
      <c r="L144" s="68" t="s">
        <v>794</v>
      </c>
      <c r="N144" s="482">
        <v>20.410850524902301</v>
      </c>
      <c r="O144" s="482">
        <v>93.315032958984403</v>
      </c>
      <c r="P144" s="482" t="s">
        <v>795</v>
      </c>
      <c r="R144" s="399"/>
      <c r="S144" s="400"/>
      <c r="T144" s="101"/>
      <c r="U144" s="97"/>
      <c r="W144" s="396"/>
    </row>
    <row r="145" spans="1:23" s="68" customFormat="1" ht="14.25" customHeight="1">
      <c r="A145" s="400" t="s">
        <v>2648</v>
      </c>
      <c r="B145" s="397" t="s">
        <v>312</v>
      </c>
      <c r="C145" s="397" t="s">
        <v>2597</v>
      </c>
      <c r="D145" s="431"/>
      <c r="E145" s="68">
        <v>197022</v>
      </c>
      <c r="J145" s="68" t="s">
        <v>794</v>
      </c>
      <c r="K145" s="68" t="s">
        <v>794</v>
      </c>
      <c r="L145" s="68" t="s">
        <v>794</v>
      </c>
      <c r="N145" s="482">
        <v>20.406982421875</v>
      </c>
      <c r="O145" s="482">
        <v>93.312507629394503</v>
      </c>
      <c r="P145" s="482" t="s">
        <v>795</v>
      </c>
      <c r="R145" s="95"/>
      <c r="S145" s="400"/>
      <c r="T145" s="101"/>
      <c r="U145" s="97"/>
    </row>
    <row r="146" spans="1:23" s="68" customFormat="1" ht="14.25" customHeight="1">
      <c r="A146" s="400" t="s">
        <v>2648</v>
      </c>
      <c r="B146" s="397" t="s">
        <v>312</v>
      </c>
      <c r="C146" s="397" t="s">
        <v>2618</v>
      </c>
      <c r="D146" s="431"/>
      <c r="E146" s="68">
        <v>197114</v>
      </c>
      <c r="F146" s="68" t="s">
        <v>2690</v>
      </c>
      <c r="J146" s="68" t="s">
        <v>794</v>
      </c>
      <c r="K146" s="68" t="s">
        <v>794</v>
      </c>
      <c r="L146" s="68" t="s">
        <v>794</v>
      </c>
      <c r="N146" s="482">
        <v>20.410079956054702</v>
      </c>
      <c r="O146" s="482">
        <v>93.37109375</v>
      </c>
      <c r="P146" s="482" t="s">
        <v>795</v>
      </c>
      <c r="R146" s="95"/>
      <c r="S146" s="400"/>
      <c r="T146" s="101"/>
      <c r="U146" s="97"/>
      <c r="W146" s="396"/>
    </row>
    <row r="147" spans="1:23" s="68" customFormat="1" ht="14.25" customHeight="1">
      <c r="A147" s="400" t="s">
        <v>2648</v>
      </c>
      <c r="B147" s="397" t="s">
        <v>312</v>
      </c>
      <c r="C147" s="397" t="s">
        <v>892</v>
      </c>
      <c r="D147" s="431" t="s">
        <v>2712</v>
      </c>
      <c r="E147" s="68" t="s">
        <v>1387</v>
      </c>
      <c r="F147" s="396" t="s">
        <v>1854</v>
      </c>
      <c r="G147" s="68" t="s">
        <v>1855</v>
      </c>
      <c r="J147" s="68" t="s">
        <v>794</v>
      </c>
      <c r="K147" s="68" t="s">
        <v>794</v>
      </c>
      <c r="L147" s="68" t="s">
        <v>879</v>
      </c>
      <c r="M147" s="68" t="s">
        <v>294</v>
      </c>
      <c r="N147" s="68">
        <v>20.409645000000001</v>
      </c>
      <c r="O147" s="68">
        <v>93.314695</v>
      </c>
      <c r="P147" s="482" t="s">
        <v>795</v>
      </c>
      <c r="R147" s="95">
        <v>18</v>
      </c>
      <c r="S147" s="400">
        <v>72</v>
      </c>
      <c r="T147" s="101"/>
      <c r="U147" s="97" t="s">
        <v>856</v>
      </c>
      <c r="V147" s="68" t="s">
        <v>892</v>
      </c>
    </row>
    <row r="148" spans="1:23" s="68" customFormat="1" ht="14.25" customHeight="1">
      <c r="A148" s="487" t="s">
        <v>2648</v>
      </c>
      <c r="B148" s="482" t="s">
        <v>312</v>
      </c>
      <c r="C148" s="484" t="s">
        <v>490</v>
      </c>
      <c r="D148" s="431" t="s">
        <v>1656</v>
      </c>
      <c r="E148" s="68">
        <v>197067</v>
      </c>
      <c r="J148" s="68" t="s">
        <v>794</v>
      </c>
      <c r="K148" s="68" t="s">
        <v>794</v>
      </c>
      <c r="L148" s="68" t="s">
        <v>794</v>
      </c>
      <c r="M148" s="68" t="s">
        <v>294</v>
      </c>
      <c r="N148" s="68">
        <v>20.51997948</v>
      </c>
      <c r="O148" s="68">
        <v>93.277252200000007</v>
      </c>
      <c r="P148" s="482" t="s">
        <v>795</v>
      </c>
      <c r="Q148" s="68" t="s">
        <v>776</v>
      </c>
      <c r="R148" s="486"/>
      <c r="S148" s="400"/>
      <c r="T148" s="101"/>
      <c r="U148" s="488"/>
      <c r="W148" s="482"/>
    </row>
    <row r="149" spans="1:23" s="68" customFormat="1" ht="14.25" customHeight="1">
      <c r="A149" s="487" t="s">
        <v>2648</v>
      </c>
      <c r="B149" s="484" t="s">
        <v>312</v>
      </c>
      <c r="C149" s="484" t="s">
        <v>1133</v>
      </c>
      <c r="D149" s="431" t="s">
        <v>1656</v>
      </c>
      <c r="E149" s="68">
        <v>196999</v>
      </c>
      <c r="J149" s="68" t="s">
        <v>794</v>
      </c>
      <c r="K149" s="68" t="s">
        <v>794</v>
      </c>
      <c r="L149" s="68" t="s">
        <v>794</v>
      </c>
      <c r="M149" s="68" t="s">
        <v>791</v>
      </c>
      <c r="N149" s="482">
        <v>0</v>
      </c>
      <c r="O149" s="482">
        <v>0</v>
      </c>
      <c r="P149" s="482" t="s">
        <v>795</v>
      </c>
      <c r="R149" s="486"/>
      <c r="S149" s="96"/>
      <c r="T149" s="101"/>
      <c r="U149" s="488"/>
      <c r="W149" s="482"/>
    </row>
    <row r="150" spans="1:23" s="68" customFormat="1" ht="14.25" customHeight="1">
      <c r="A150" s="400" t="s">
        <v>2648</v>
      </c>
      <c r="B150" s="484" t="s">
        <v>312</v>
      </c>
      <c r="C150" s="484" t="s">
        <v>463</v>
      </c>
      <c r="D150" s="431" t="s">
        <v>1656</v>
      </c>
      <c r="E150" s="396">
        <v>196998</v>
      </c>
      <c r="F150" s="396"/>
      <c r="G150" s="396"/>
      <c r="H150" s="396"/>
      <c r="I150" s="396"/>
      <c r="J150" s="396" t="s">
        <v>794</v>
      </c>
      <c r="K150" s="396" t="s">
        <v>794</v>
      </c>
      <c r="L150" s="396" t="s">
        <v>794</v>
      </c>
      <c r="M150" s="396" t="s">
        <v>294</v>
      </c>
      <c r="N150" s="396">
        <v>20.396680830000001</v>
      </c>
      <c r="O150" s="396">
        <v>93.252868649999996</v>
      </c>
      <c r="P150" s="68" t="s">
        <v>795</v>
      </c>
      <c r="Q150" s="396" t="s">
        <v>776</v>
      </c>
      <c r="R150" s="399"/>
      <c r="S150" s="400"/>
      <c r="T150" s="412"/>
      <c r="U150" s="401"/>
      <c r="V150" s="396" t="s">
        <v>887</v>
      </c>
      <c r="W150" s="396"/>
    </row>
    <row r="151" spans="1:23" s="68" customFormat="1" ht="14.25" customHeight="1">
      <c r="A151" s="487" t="s">
        <v>2648</v>
      </c>
      <c r="B151" s="484" t="s">
        <v>312</v>
      </c>
      <c r="C151" s="484" t="s">
        <v>2621</v>
      </c>
      <c r="D151" s="431"/>
      <c r="E151" s="68">
        <v>220653</v>
      </c>
      <c r="F151" s="396"/>
      <c r="J151" s="68" t="s">
        <v>794</v>
      </c>
      <c r="K151" s="68" t="s">
        <v>794</v>
      </c>
      <c r="L151" s="68" t="s">
        <v>794</v>
      </c>
      <c r="N151" s="482">
        <v>20.384975433349599</v>
      </c>
      <c r="O151" s="482">
        <v>93.373054504394503</v>
      </c>
      <c r="P151" s="482" t="s">
        <v>795</v>
      </c>
      <c r="R151" s="486"/>
      <c r="S151" s="400"/>
      <c r="T151" s="101"/>
      <c r="U151" s="488"/>
      <c r="W151" s="482"/>
    </row>
    <row r="152" spans="1:23" s="68" customFormat="1" ht="14.25" customHeight="1">
      <c r="A152" s="487" t="s">
        <v>2648</v>
      </c>
      <c r="B152" s="484" t="s">
        <v>312</v>
      </c>
      <c r="C152" s="484" t="s">
        <v>2612</v>
      </c>
      <c r="D152" s="431"/>
      <c r="E152" s="68">
        <v>197092</v>
      </c>
      <c r="J152" s="68" t="s">
        <v>794</v>
      </c>
      <c r="K152" s="68" t="s">
        <v>794</v>
      </c>
      <c r="L152" s="68" t="s">
        <v>794</v>
      </c>
      <c r="N152" s="482">
        <v>20.440990447998001</v>
      </c>
      <c r="O152" s="482">
        <v>93.336273193359403</v>
      </c>
      <c r="P152" s="482" t="s">
        <v>795</v>
      </c>
      <c r="R152" s="486"/>
      <c r="S152" s="400"/>
      <c r="T152" s="101"/>
      <c r="U152" s="488"/>
      <c r="W152" s="482"/>
    </row>
    <row r="153" spans="1:23" s="68" customFormat="1" ht="14.25" customHeight="1">
      <c r="A153" s="487" t="s">
        <v>2648</v>
      </c>
      <c r="B153" s="484" t="s">
        <v>312</v>
      </c>
      <c r="C153" s="484" t="s">
        <v>2613</v>
      </c>
      <c r="D153" s="431"/>
      <c r="E153" s="68">
        <v>197100</v>
      </c>
      <c r="F153" s="68" t="s">
        <v>2691</v>
      </c>
      <c r="J153" s="68" t="s">
        <v>794</v>
      </c>
      <c r="K153" s="68" t="s">
        <v>794</v>
      </c>
      <c r="L153" s="68" t="s">
        <v>794</v>
      </c>
      <c r="N153" s="482">
        <v>20.438470840454102</v>
      </c>
      <c r="O153" s="482">
        <v>93.344322204589801</v>
      </c>
      <c r="P153" s="482" t="s">
        <v>795</v>
      </c>
      <c r="R153" s="486"/>
      <c r="S153" s="400"/>
      <c r="T153" s="101"/>
      <c r="U153" s="488"/>
      <c r="W153" s="482"/>
    </row>
    <row r="154" spans="1:23" s="68" customFormat="1" ht="14.25" customHeight="1">
      <c r="A154" s="487" t="s">
        <v>2648</v>
      </c>
      <c r="B154" s="484" t="s">
        <v>312</v>
      </c>
      <c r="C154" s="484" t="s">
        <v>2604</v>
      </c>
      <c r="D154" s="431"/>
      <c r="E154" s="396">
        <v>197040</v>
      </c>
      <c r="F154" s="396"/>
      <c r="J154" s="68" t="s">
        <v>794</v>
      </c>
      <c r="K154" s="396" t="s">
        <v>794</v>
      </c>
      <c r="L154" s="396" t="s">
        <v>794</v>
      </c>
      <c r="N154" s="482">
        <v>20.448799133300799</v>
      </c>
      <c r="O154" s="482">
        <v>93.300239562988295</v>
      </c>
      <c r="P154" s="482" t="s">
        <v>795</v>
      </c>
      <c r="R154" s="486"/>
      <c r="S154" s="400"/>
      <c r="T154" s="101"/>
      <c r="U154" s="488"/>
      <c r="W154" s="482"/>
    </row>
    <row r="155" spans="1:23" s="68" customFormat="1" ht="14.25" customHeight="1">
      <c r="A155" s="487" t="s">
        <v>2648</v>
      </c>
      <c r="B155" s="484" t="s">
        <v>312</v>
      </c>
      <c r="C155" s="484" t="s">
        <v>2620</v>
      </c>
      <c r="D155" s="431"/>
      <c r="E155" s="68">
        <v>197112</v>
      </c>
      <c r="F155" s="396"/>
      <c r="J155" s="68" t="s">
        <v>794</v>
      </c>
      <c r="K155" s="396" t="s">
        <v>794</v>
      </c>
      <c r="L155" s="396" t="s">
        <v>794</v>
      </c>
      <c r="N155" s="482">
        <v>20.389610290527301</v>
      </c>
      <c r="O155" s="482">
        <v>93.371490478515597</v>
      </c>
      <c r="P155" s="482" t="s">
        <v>795</v>
      </c>
      <c r="R155" s="486"/>
      <c r="S155" s="400"/>
      <c r="T155" s="101"/>
      <c r="U155" s="488"/>
      <c r="W155" s="482"/>
    </row>
    <row r="156" spans="1:23" s="68" customFormat="1" ht="14.25" customHeight="1">
      <c r="A156" s="487" t="s">
        <v>2648</v>
      </c>
      <c r="B156" s="484" t="s">
        <v>312</v>
      </c>
      <c r="C156" s="484" t="s">
        <v>2611</v>
      </c>
      <c r="D156" s="431"/>
      <c r="E156" s="396"/>
      <c r="J156" s="68" t="s">
        <v>794</v>
      </c>
      <c r="K156" s="68" t="s">
        <v>794</v>
      </c>
      <c r="L156" s="68" t="s">
        <v>794</v>
      </c>
      <c r="P156" s="482" t="s">
        <v>795</v>
      </c>
      <c r="R156" s="486"/>
      <c r="S156" s="400"/>
      <c r="T156" s="101"/>
      <c r="U156" s="488"/>
      <c r="W156" s="482"/>
    </row>
    <row r="157" spans="1:23" s="68" customFormat="1" ht="14.25" customHeight="1">
      <c r="A157" s="487" t="s">
        <v>2648</v>
      </c>
      <c r="B157" s="484" t="s">
        <v>312</v>
      </c>
      <c r="C157" s="484" t="s">
        <v>460</v>
      </c>
      <c r="D157" s="431" t="s">
        <v>2712</v>
      </c>
      <c r="E157" s="68" t="s">
        <v>1382</v>
      </c>
      <c r="F157" s="396" t="s">
        <v>1746</v>
      </c>
      <c r="G157" s="68" t="s">
        <v>1747</v>
      </c>
      <c r="J157" s="68" t="s">
        <v>794</v>
      </c>
      <c r="K157" s="396" t="s">
        <v>794</v>
      </c>
      <c r="L157" s="396" t="s">
        <v>879</v>
      </c>
      <c r="M157" s="68" t="s">
        <v>791</v>
      </c>
      <c r="N157" s="68">
        <v>20.392137999999999</v>
      </c>
      <c r="O157" s="68">
        <v>93.257272</v>
      </c>
      <c r="P157" s="68" t="s">
        <v>795</v>
      </c>
      <c r="Q157" s="68" t="s">
        <v>776</v>
      </c>
      <c r="R157" s="486">
        <v>203</v>
      </c>
      <c r="S157" s="400">
        <v>1420</v>
      </c>
      <c r="T157" s="101"/>
      <c r="U157" s="488"/>
      <c r="V157" s="68" t="s">
        <v>884</v>
      </c>
      <c r="W157" s="482"/>
    </row>
    <row r="158" spans="1:23" s="68" customFormat="1" ht="14.25" customHeight="1">
      <c r="A158" s="400" t="s">
        <v>2648</v>
      </c>
      <c r="B158" s="484" t="s">
        <v>312</v>
      </c>
      <c r="C158" s="484" t="s">
        <v>505</v>
      </c>
      <c r="D158" s="431" t="s">
        <v>2712</v>
      </c>
      <c r="E158" s="68" t="s">
        <v>1394</v>
      </c>
      <c r="F158" s="396" t="s">
        <v>1748</v>
      </c>
      <c r="G158" s="68" t="s">
        <v>1748</v>
      </c>
      <c r="J158" s="68" t="s">
        <v>794</v>
      </c>
      <c r="K158" s="68" t="s">
        <v>794</v>
      </c>
      <c r="L158" s="68" t="s">
        <v>879</v>
      </c>
      <c r="M158" s="68" t="s">
        <v>791</v>
      </c>
      <c r="N158" s="68">
        <v>20.587142</v>
      </c>
      <c r="O158" s="68">
        <v>93.258573999999996</v>
      </c>
      <c r="P158" s="482" t="s">
        <v>795</v>
      </c>
      <c r="R158" s="399">
        <v>275</v>
      </c>
      <c r="S158" s="400">
        <v>1707</v>
      </c>
      <c r="T158" s="101"/>
      <c r="U158" s="97" t="s">
        <v>856</v>
      </c>
      <c r="V158" s="68" t="s">
        <v>505</v>
      </c>
    </row>
    <row r="159" spans="1:23" s="68" customFormat="1" ht="14.25" customHeight="1">
      <c r="A159" s="487" t="s">
        <v>2648</v>
      </c>
      <c r="B159" s="484" t="s">
        <v>312</v>
      </c>
      <c r="C159" s="484" t="s">
        <v>2603</v>
      </c>
      <c r="D159" s="431"/>
      <c r="E159" s="68">
        <v>197033</v>
      </c>
      <c r="J159" s="68" t="s">
        <v>794</v>
      </c>
      <c r="K159" s="68" t="s">
        <v>794</v>
      </c>
      <c r="L159" s="68" t="s">
        <v>794</v>
      </c>
      <c r="N159" s="482">
        <v>20.430749893188501</v>
      </c>
      <c r="O159" s="482">
        <v>93.304450988769503</v>
      </c>
      <c r="P159" s="482" t="s">
        <v>795</v>
      </c>
      <c r="R159" s="486"/>
      <c r="S159" s="400"/>
      <c r="T159" s="101"/>
      <c r="U159" s="488"/>
      <c r="W159" s="482"/>
    </row>
    <row r="160" spans="1:23" s="68" customFormat="1" ht="14.25" customHeight="1">
      <c r="A160" s="487" t="s">
        <v>2648</v>
      </c>
      <c r="B160" s="484" t="s">
        <v>312</v>
      </c>
      <c r="C160" s="484" t="s">
        <v>1747</v>
      </c>
      <c r="D160" s="431"/>
      <c r="E160" s="68">
        <v>196997</v>
      </c>
      <c r="J160" s="68" t="s">
        <v>794</v>
      </c>
      <c r="K160" s="68" t="s">
        <v>794</v>
      </c>
      <c r="L160" s="68" t="s">
        <v>794</v>
      </c>
      <c r="N160" s="482">
        <v>20.391029357910199</v>
      </c>
      <c r="O160" s="482">
        <v>93.257637023925795</v>
      </c>
      <c r="P160" s="482" t="s">
        <v>795</v>
      </c>
      <c r="R160" s="486"/>
      <c r="S160" s="400"/>
      <c r="T160" s="101"/>
      <c r="U160" s="488"/>
      <c r="W160" s="482"/>
    </row>
    <row r="161" spans="1:23" s="68" customFormat="1" ht="14.25" customHeight="1">
      <c r="A161" s="487" t="s">
        <v>2648</v>
      </c>
      <c r="B161" s="484" t="s">
        <v>312</v>
      </c>
      <c r="C161" s="484" t="s">
        <v>2602</v>
      </c>
      <c r="D161" s="431"/>
      <c r="E161" s="68">
        <v>197036</v>
      </c>
      <c r="J161" s="68" t="s">
        <v>794</v>
      </c>
      <c r="K161" s="68" t="s">
        <v>794</v>
      </c>
      <c r="L161" s="68" t="s">
        <v>794</v>
      </c>
      <c r="N161" s="482">
        <v>20.442419052123999</v>
      </c>
      <c r="O161" s="482">
        <v>93.300033569335895</v>
      </c>
      <c r="P161" s="482" t="s">
        <v>795</v>
      </c>
      <c r="R161" s="486"/>
      <c r="S161" s="400"/>
      <c r="T161" s="101"/>
      <c r="U161" s="488"/>
      <c r="W161" s="482"/>
    </row>
    <row r="162" spans="1:23" s="68" customFormat="1" ht="14.25" customHeight="1">
      <c r="A162" s="487" t="s">
        <v>2648</v>
      </c>
      <c r="B162" s="484" t="s">
        <v>312</v>
      </c>
      <c r="C162" s="484" t="s">
        <v>2609</v>
      </c>
      <c r="D162" s="431"/>
      <c r="E162" s="68">
        <v>197089</v>
      </c>
      <c r="J162" s="482" t="s">
        <v>794</v>
      </c>
      <c r="K162" s="482" t="s">
        <v>794</v>
      </c>
      <c r="L162" s="482" t="s">
        <v>794</v>
      </c>
      <c r="N162" s="482">
        <v>20.422460556030298</v>
      </c>
      <c r="O162" s="482">
        <v>93.317733764648395</v>
      </c>
      <c r="P162" s="482" t="s">
        <v>795</v>
      </c>
      <c r="R162" s="486"/>
      <c r="S162" s="400"/>
      <c r="T162" s="101"/>
      <c r="U162" s="488"/>
      <c r="W162" s="482"/>
    </row>
    <row r="163" spans="1:23" s="68" customFormat="1" ht="14.25" customHeight="1">
      <c r="A163" s="487" t="s">
        <v>2648</v>
      </c>
      <c r="B163" s="484" t="s">
        <v>312</v>
      </c>
      <c r="C163" s="484" t="s">
        <v>2615</v>
      </c>
      <c r="D163" s="431"/>
      <c r="E163" s="68">
        <v>197102</v>
      </c>
      <c r="F163" s="68" t="s">
        <v>2692</v>
      </c>
      <c r="J163" s="482" t="s">
        <v>794</v>
      </c>
      <c r="K163" s="482" t="s">
        <v>794</v>
      </c>
      <c r="L163" s="482" t="s">
        <v>794</v>
      </c>
      <c r="N163" s="482">
        <v>20.470190048217798</v>
      </c>
      <c r="O163" s="482">
        <v>93.3311767578125</v>
      </c>
      <c r="P163" s="68" t="s">
        <v>795</v>
      </c>
      <c r="R163" s="486"/>
      <c r="S163" s="400"/>
      <c r="T163" s="101"/>
      <c r="U163" s="488"/>
      <c r="W163" s="482"/>
    </row>
    <row r="164" spans="1:23" s="68" customFormat="1" ht="14.25" customHeight="1">
      <c r="A164" s="490" t="s">
        <v>2648</v>
      </c>
      <c r="B164" s="490" t="s">
        <v>312</v>
      </c>
      <c r="C164" s="491" t="s">
        <v>2726</v>
      </c>
      <c r="D164" s="485"/>
      <c r="E164" s="68">
        <v>197047</v>
      </c>
      <c r="F164" s="396"/>
      <c r="J164" s="68" t="s">
        <v>2652</v>
      </c>
      <c r="K164" s="68" t="s">
        <v>2622</v>
      </c>
      <c r="L164" s="68" t="s">
        <v>2622</v>
      </c>
      <c r="N164" s="68">
        <v>20.454280853271499</v>
      </c>
      <c r="O164" s="68">
        <v>93.281562805175795</v>
      </c>
      <c r="P164" s="396" t="s">
        <v>1972</v>
      </c>
      <c r="R164" s="494"/>
      <c r="S164" s="400"/>
      <c r="T164" s="101">
        <v>43591</v>
      </c>
      <c r="U164" s="494"/>
      <c r="W164" s="486"/>
    </row>
    <row r="165" spans="1:23" s="68" customFormat="1" ht="14.25" customHeight="1">
      <c r="A165" s="490" t="s">
        <v>2648</v>
      </c>
      <c r="B165" s="490" t="s">
        <v>312</v>
      </c>
      <c r="C165" s="491" t="s">
        <v>2745</v>
      </c>
      <c r="D165" s="485"/>
      <c r="E165" s="68">
        <v>197051</v>
      </c>
      <c r="J165" s="68" t="s">
        <v>2652</v>
      </c>
      <c r="K165" s="68" t="s">
        <v>2622</v>
      </c>
      <c r="L165" s="68" t="s">
        <v>2622</v>
      </c>
      <c r="N165" s="68">
        <v>20.599809646606399</v>
      </c>
      <c r="O165" s="68">
        <v>93.265541076660199</v>
      </c>
      <c r="P165" s="482" t="s">
        <v>1972</v>
      </c>
      <c r="R165" s="494"/>
      <c r="S165" s="400"/>
      <c r="T165" s="101">
        <v>43591</v>
      </c>
      <c r="U165" s="494"/>
      <c r="W165" s="486"/>
    </row>
    <row r="166" spans="1:23" s="68" customFormat="1" ht="14.25" customHeight="1">
      <c r="A166" s="400" t="s">
        <v>2648</v>
      </c>
      <c r="B166" s="482" t="s">
        <v>471</v>
      </c>
      <c r="C166" s="482" t="s">
        <v>548</v>
      </c>
      <c r="D166" s="431" t="s">
        <v>1656</v>
      </c>
      <c r="E166" s="396">
        <v>196643</v>
      </c>
      <c r="F166" s="396"/>
      <c r="G166" s="396"/>
      <c r="H166" s="396"/>
      <c r="I166" s="396"/>
      <c r="J166" s="396" t="s">
        <v>794</v>
      </c>
      <c r="K166" s="396" t="s">
        <v>794</v>
      </c>
      <c r="L166" s="396" t="s">
        <v>794</v>
      </c>
      <c r="M166" s="396" t="s">
        <v>791</v>
      </c>
      <c r="N166" s="396">
        <v>20.69722939</v>
      </c>
      <c r="O166" s="396">
        <v>93.044059750000002</v>
      </c>
      <c r="P166" s="482" t="s">
        <v>795</v>
      </c>
      <c r="Q166" s="396" t="s">
        <v>776</v>
      </c>
      <c r="R166" s="486"/>
      <c r="S166" s="400"/>
      <c r="T166" s="412"/>
      <c r="U166" s="488"/>
      <c r="V166" s="396" t="s">
        <v>925</v>
      </c>
      <c r="W166" s="482"/>
    </row>
    <row r="167" spans="1:23" s="68" customFormat="1" ht="14.25" customHeight="1">
      <c r="A167" s="490" t="s">
        <v>2648</v>
      </c>
      <c r="B167" s="490" t="s">
        <v>471</v>
      </c>
      <c r="C167" s="491" t="s">
        <v>2787</v>
      </c>
      <c r="D167" s="485"/>
      <c r="E167" s="396">
        <v>196610</v>
      </c>
      <c r="F167" s="396"/>
      <c r="J167" s="68" t="s">
        <v>2652</v>
      </c>
      <c r="K167" s="68" t="s">
        <v>2622</v>
      </c>
      <c r="L167" s="68" t="s">
        <v>2622</v>
      </c>
      <c r="N167" s="68">
        <v>20.710781097412099</v>
      </c>
      <c r="O167" s="68">
        <v>93.127502441406307</v>
      </c>
      <c r="P167" s="482" t="s">
        <v>1972</v>
      </c>
      <c r="R167" s="494"/>
      <c r="S167" s="400"/>
      <c r="T167" s="101">
        <v>43591</v>
      </c>
      <c r="U167" s="494"/>
      <c r="W167" s="486"/>
    </row>
    <row r="168" spans="1:23" s="68" customFormat="1" ht="14.25" customHeight="1">
      <c r="A168" s="403" t="s">
        <v>2648</v>
      </c>
      <c r="B168" s="403" t="s">
        <v>471</v>
      </c>
      <c r="C168" s="404" t="s">
        <v>2735</v>
      </c>
      <c r="D168" s="398"/>
      <c r="E168" s="396" t="s">
        <v>2788</v>
      </c>
      <c r="J168" s="68" t="s">
        <v>2652</v>
      </c>
      <c r="K168" s="68" t="s">
        <v>2622</v>
      </c>
      <c r="L168" s="68" t="s">
        <v>2622</v>
      </c>
      <c r="N168" s="482"/>
      <c r="O168" s="482"/>
      <c r="P168" s="482" t="s">
        <v>1972</v>
      </c>
      <c r="R168" s="405"/>
      <c r="S168" s="400"/>
      <c r="T168" s="101">
        <v>43591</v>
      </c>
      <c r="U168" s="405"/>
      <c r="W168" s="399"/>
    </row>
    <row r="169" spans="1:23" s="68" customFormat="1" ht="14.25" customHeight="1">
      <c r="A169" s="490" t="s">
        <v>2648</v>
      </c>
      <c r="B169" s="490" t="s">
        <v>471</v>
      </c>
      <c r="C169" s="491" t="s">
        <v>2736</v>
      </c>
      <c r="D169" s="485"/>
      <c r="E169" s="68" t="s">
        <v>2788</v>
      </c>
      <c r="F169" s="396"/>
      <c r="J169" s="68" t="s">
        <v>2652</v>
      </c>
      <c r="K169" s="396" t="s">
        <v>2622</v>
      </c>
      <c r="L169" s="396" t="s">
        <v>2622</v>
      </c>
      <c r="N169" s="482"/>
      <c r="O169" s="482"/>
      <c r="P169" s="482" t="s">
        <v>1972</v>
      </c>
      <c r="R169" s="494"/>
      <c r="S169" s="400"/>
      <c r="T169" s="101">
        <v>43591</v>
      </c>
      <c r="U169" s="494"/>
      <c r="W169" s="486"/>
    </row>
    <row r="170" spans="1:23" s="68" customFormat="1" ht="14.25" customHeight="1">
      <c r="A170" s="490" t="s">
        <v>2648</v>
      </c>
      <c r="B170" s="490" t="s">
        <v>471</v>
      </c>
      <c r="C170" s="491" t="s">
        <v>2737</v>
      </c>
      <c r="D170" s="485"/>
      <c r="E170" s="396" t="s">
        <v>2788</v>
      </c>
      <c r="I170" s="396"/>
      <c r="J170" s="68" t="s">
        <v>794</v>
      </c>
      <c r="K170" s="68" t="s">
        <v>794</v>
      </c>
      <c r="L170" s="68" t="s">
        <v>3123</v>
      </c>
      <c r="N170" s="482"/>
      <c r="O170" s="482"/>
      <c r="P170" s="68" t="s">
        <v>1972</v>
      </c>
      <c r="R170" s="494"/>
      <c r="S170" s="400"/>
      <c r="T170" s="101">
        <v>43591</v>
      </c>
      <c r="U170" s="494"/>
      <c r="W170" s="486"/>
    </row>
    <row r="171" spans="1:23" s="68" customFormat="1" ht="14.25" customHeight="1">
      <c r="A171" s="490" t="s">
        <v>2648</v>
      </c>
      <c r="B171" s="490" t="s">
        <v>471</v>
      </c>
      <c r="C171" s="491" t="s">
        <v>2738</v>
      </c>
      <c r="D171" s="485"/>
      <c r="E171" s="68" t="s">
        <v>2788</v>
      </c>
      <c r="F171" s="482"/>
      <c r="J171" s="68" t="s">
        <v>794</v>
      </c>
      <c r="K171" s="396" t="s">
        <v>794</v>
      </c>
      <c r="L171" s="396" t="s">
        <v>3123</v>
      </c>
      <c r="N171" s="482"/>
      <c r="O171" s="482"/>
      <c r="P171" s="482" t="s">
        <v>1972</v>
      </c>
      <c r="Q171" s="482"/>
      <c r="R171" s="494"/>
      <c r="S171" s="400"/>
      <c r="T171" s="506">
        <v>43591</v>
      </c>
      <c r="U171" s="494"/>
      <c r="W171" s="486"/>
    </row>
    <row r="172" spans="1:23" s="68" customFormat="1" ht="14.25" customHeight="1">
      <c r="A172" s="490" t="s">
        <v>2648</v>
      </c>
      <c r="B172" s="490" t="s">
        <v>471</v>
      </c>
      <c r="C172" s="491" t="s">
        <v>2739</v>
      </c>
      <c r="D172" s="485"/>
      <c r="E172" s="482" t="s">
        <v>2788</v>
      </c>
      <c r="F172" s="482"/>
      <c r="G172" s="482"/>
      <c r="H172" s="482"/>
      <c r="I172" s="482"/>
      <c r="J172" s="482" t="s">
        <v>2652</v>
      </c>
      <c r="K172" s="482" t="s">
        <v>2622</v>
      </c>
      <c r="L172" s="482" t="s">
        <v>2622</v>
      </c>
      <c r="M172" s="482"/>
      <c r="N172" s="482"/>
      <c r="O172" s="482"/>
      <c r="P172" s="482" t="s">
        <v>1972</v>
      </c>
      <c r="Q172" s="482"/>
      <c r="R172" s="494"/>
      <c r="S172" s="487"/>
      <c r="T172" s="506">
        <v>43591</v>
      </c>
      <c r="U172" s="494"/>
      <c r="V172" s="482"/>
      <c r="W172" s="486"/>
    </row>
    <row r="173" spans="1:23" s="68" customFormat="1" ht="14.25" customHeight="1">
      <c r="A173" s="487" t="s">
        <v>2648</v>
      </c>
      <c r="B173" s="482" t="s">
        <v>471</v>
      </c>
      <c r="C173" s="482" t="s">
        <v>483</v>
      </c>
      <c r="D173" s="431" t="s">
        <v>1656</v>
      </c>
      <c r="E173" s="482">
        <v>196508</v>
      </c>
      <c r="F173" s="482"/>
      <c r="G173" s="482"/>
      <c r="H173" s="482"/>
      <c r="I173" s="482"/>
      <c r="J173" s="482" t="s">
        <v>794</v>
      </c>
      <c r="K173" s="482" t="s">
        <v>794</v>
      </c>
      <c r="L173" s="482" t="s">
        <v>794</v>
      </c>
      <c r="M173" s="482" t="s">
        <v>294</v>
      </c>
      <c r="N173" s="482">
        <v>20.489089969999998</v>
      </c>
      <c r="O173" s="482">
        <v>93.211738589999996</v>
      </c>
      <c r="P173" s="482" t="s">
        <v>795</v>
      </c>
      <c r="Q173" s="482" t="s">
        <v>776</v>
      </c>
      <c r="R173" s="486"/>
      <c r="S173" s="487"/>
      <c r="T173" s="506"/>
      <c r="U173" s="488"/>
      <c r="V173" s="482" t="s">
        <v>896</v>
      </c>
      <c r="W173" s="482"/>
    </row>
    <row r="174" spans="1:23" s="68" customFormat="1" ht="14.25" customHeight="1">
      <c r="A174" s="487" t="s">
        <v>2648</v>
      </c>
      <c r="B174" s="490" t="s">
        <v>471</v>
      </c>
      <c r="C174" s="491" t="s">
        <v>2967</v>
      </c>
      <c r="D174" s="485"/>
      <c r="E174" s="68">
        <v>196609</v>
      </c>
      <c r="F174" s="68" t="s">
        <v>2967</v>
      </c>
      <c r="J174" s="68" t="s">
        <v>794</v>
      </c>
      <c r="K174" s="396" t="s">
        <v>794</v>
      </c>
      <c r="L174" s="396" t="s">
        <v>794</v>
      </c>
      <c r="N174" s="68">
        <v>20.685459136962901</v>
      </c>
      <c r="O174" s="68">
        <v>93.127792358398395</v>
      </c>
      <c r="P174" s="482" t="s">
        <v>795</v>
      </c>
      <c r="Q174" s="68" t="s">
        <v>2961</v>
      </c>
      <c r="R174" s="494"/>
      <c r="S174" s="400"/>
      <c r="T174" s="101">
        <v>43768</v>
      </c>
      <c r="U174" s="494"/>
      <c r="W174" s="486"/>
    </row>
    <row r="175" spans="1:23" s="68" customFormat="1" ht="14.25" customHeight="1">
      <c r="A175" s="487" t="s">
        <v>2648</v>
      </c>
      <c r="B175" s="482" t="s">
        <v>471</v>
      </c>
      <c r="C175" s="482" t="s">
        <v>2574</v>
      </c>
      <c r="D175" s="431"/>
      <c r="E175" s="482"/>
      <c r="F175" s="482"/>
      <c r="G175" s="482"/>
      <c r="H175" s="482"/>
      <c r="I175" s="482"/>
      <c r="J175" s="68" t="s">
        <v>2652</v>
      </c>
      <c r="K175" s="396" t="s">
        <v>2622</v>
      </c>
      <c r="L175" s="396" t="s">
        <v>2622</v>
      </c>
      <c r="M175" s="482"/>
      <c r="N175" s="482"/>
      <c r="O175" s="482"/>
      <c r="P175" s="482" t="s">
        <v>1972</v>
      </c>
      <c r="Q175" s="482"/>
      <c r="R175" s="486"/>
      <c r="S175" s="487"/>
      <c r="T175" s="506"/>
      <c r="U175" s="488"/>
      <c r="V175" s="482"/>
      <c r="W175" s="482"/>
    </row>
    <row r="176" spans="1:23" s="68" customFormat="1" ht="14.25" customHeight="1">
      <c r="A176" s="490" t="s">
        <v>2648</v>
      </c>
      <c r="B176" s="490" t="s">
        <v>471</v>
      </c>
      <c r="C176" s="491" t="s">
        <v>551</v>
      </c>
      <c r="D176" s="485"/>
      <c r="E176" s="482"/>
      <c r="F176" s="482"/>
      <c r="G176" s="482"/>
      <c r="H176" s="482"/>
      <c r="I176" s="482"/>
      <c r="J176" s="68" t="s">
        <v>2652</v>
      </c>
      <c r="K176" s="396" t="s">
        <v>2622</v>
      </c>
      <c r="L176" s="396" t="s">
        <v>2622</v>
      </c>
      <c r="M176" s="482"/>
      <c r="N176" s="482"/>
      <c r="O176" s="482"/>
      <c r="P176" s="68" t="s">
        <v>1972</v>
      </c>
      <c r="Q176" s="482"/>
      <c r="R176" s="494"/>
      <c r="S176" s="487"/>
      <c r="T176" s="506">
        <v>43591</v>
      </c>
      <c r="U176" s="494"/>
      <c r="V176" s="482"/>
      <c r="W176" s="486"/>
    </row>
    <row r="177" spans="1:23" s="68" customFormat="1" ht="14.25" customHeight="1">
      <c r="A177" s="490" t="s">
        <v>2648</v>
      </c>
      <c r="B177" s="490" t="s">
        <v>471</v>
      </c>
      <c r="C177" s="491" t="s">
        <v>2789</v>
      </c>
      <c r="D177" s="485"/>
      <c r="E177" s="68">
        <v>196475</v>
      </c>
      <c r="J177" s="68" t="s">
        <v>2652</v>
      </c>
      <c r="K177" s="68" t="s">
        <v>2622</v>
      </c>
      <c r="L177" s="68" t="s">
        <v>2622</v>
      </c>
      <c r="N177" s="482">
        <v>0</v>
      </c>
      <c r="O177" s="482">
        <v>0</v>
      </c>
      <c r="P177" s="68" t="s">
        <v>1972</v>
      </c>
      <c r="R177" s="494"/>
      <c r="S177" s="400"/>
      <c r="T177" s="101">
        <v>43591</v>
      </c>
      <c r="U177" s="494"/>
      <c r="W177" s="486"/>
    </row>
    <row r="178" spans="1:23" s="68" customFormat="1" ht="14.25" customHeight="1">
      <c r="A178" s="400" t="s">
        <v>2648</v>
      </c>
      <c r="B178" s="490" t="s">
        <v>471</v>
      </c>
      <c r="C178" s="491" t="s">
        <v>2966</v>
      </c>
      <c r="D178" s="485"/>
      <c r="E178" s="68">
        <v>196647</v>
      </c>
      <c r="F178" s="68" t="s">
        <v>2966</v>
      </c>
      <c r="J178" s="68" t="s">
        <v>794</v>
      </c>
      <c r="K178" s="68" t="s">
        <v>794</v>
      </c>
      <c r="L178" s="396" t="s">
        <v>794</v>
      </c>
      <c r="N178" s="68">
        <v>20.774000167846701</v>
      </c>
      <c r="O178" s="68">
        <v>93.060752868652301</v>
      </c>
      <c r="P178" s="482" t="s">
        <v>795</v>
      </c>
      <c r="Q178" s="68" t="s">
        <v>2961</v>
      </c>
      <c r="R178" s="494"/>
      <c r="S178" s="400"/>
      <c r="T178" s="101">
        <v>43768</v>
      </c>
      <c r="U178" s="494"/>
      <c r="W178" s="486"/>
    </row>
    <row r="179" spans="1:23" s="68" customFormat="1" ht="14.25" customHeight="1">
      <c r="A179" s="487" t="s">
        <v>2648</v>
      </c>
      <c r="B179" s="490" t="s">
        <v>471</v>
      </c>
      <c r="C179" s="491" t="s">
        <v>2718</v>
      </c>
      <c r="D179" s="485"/>
      <c r="E179" s="68">
        <v>196646</v>
      </c>
      <c r="F179" s="482" t="s">
        <v>2718</v>
      </c>
      <c r="J179" s="68" t="s">
        <v>794</v>
      </c>
      <c r="K179" s="396" t="s">
        <v>794</v>
      </c>
      <c r="L179" s="396" t="s">
        <v>794</v>
      </c>
      <c r="N179" s="68">
        <v>20.7459907531738</v>
      </c>
      <c r="O179" s="68">
        <v>93.055381774902301</v>
      </c>
      <c r="P179" s="482" t="s">
        <v>795</v>
      </c>
      <c r="Q179" s="68" t="s">
        <v>2961</v>
      </c>
      <c r="R179" s="494"/>
      <c r="S179" s="400"/>
      <c r="T179" s="101">
        <v>43768</v>
      </c>
      <c r="U179" s="494"/>
      <c r="W179" s="486"/>
    </row>
    <row r="180" spans="1:23" s="68" customFormat="1" ht="14.25" customHeight="1">
      <c r="A180" s="671" t="s">
        <v>2648</v>
      </c>
      <c r="B180" s="675" t="s">
        <v>471</v>
      </c>
      <c r="C180" s="677" t="s">
        <v>3112</v>
      </c>
      <c r="D180" s="485"/>
      <c r="E180" s="672"/>
      <c r="F180" s="672"/>
      <c r="G180" s="672"/>
      <c r="H180" s="672"/>
      <c r="I180" s="672"/>
      <c r="J180" s="659" t="s">
        <v>794</v>
      </c>
      <c r="K180" s="659" t="s">
        <v>794</v>
      </c>
      <c r="L180" s="659" t="s">
        <v>794</v>
      </c>
      <c r="M180" s="672"/>
      <c r="N180" s="672"/>
      <c r="O180" s="672"/>
      <c r="P180" s="672" t="s">
        <v>795</v>
      </c>
      <c r="Q180" s="659" t="s">
        <v>3102</v>
      </c>
      <c r="R180" s="673"/>
      <c r="S180" s="671"/>
      <c r="T180" s="674">
        <v>43851</v>
      </c>
      <c r="U180" s="673"/>
      <c r="V180" s="672"/>
      <c r="W180" s="486"/>
    </row>
    <row r="181" spans="1:23" s="68" customFormat="1" ht="14.25" customHeight="1">
      <c r="A181" s="671" t="s">
        <v>2648</v>
      </c>
      <c r="B181" s="675" t="s">
        <v>471</v>
      </c>
      <c r="C181" s="677" t="s">
        <v>3116</v>
      </c>
      <c r="D181" s="485"/>
      <c r="E181" s="672">
        <v>196619</v>
      </c>
      <c r="F181" s="672" t="s">
        <v>3113</v>
      </c>
      <c r="G181" s="672"/>
      <c r="H181" s="672"/>
      <c r="I181" s="672"/>
      <c r="J181" s="659" t="s">
        <v>794</v>
      </c>
      <c r="K181" s="659" t="s">
        <v>794</v>
      </c>
      <c r="L181" s="659" t="s">
        <v>794</v>
      </c>
      <c r="M181" s="672"/>
      <c r="N181" s="510">
        <v>20.646299362182599</v>
      </c>
      <c r="O181" s="510">
        <v>93.096778869628906</v>
      </c>
      <c r="P181" s="672" t="s">
        <v>795</v>
      </c>
      <c r="Q181" s="659" t="s">
        <v>3102</v>
      </c>
      <c r="R181" s="673"/>
      <c r="S181" s="671"/>
      <c r="T181" s="674">
        <v>43851</v>
      </c>
      <c r="U181" s="673"/>
      <c r="V181" s="672"/>
      <c r="W181" s="486"/>
    </row>
    <row r="182" spans="1:23" s="68" customFormat="1" ht="14.25" customHeight="1">
      <c r="A182" s="487" t="s">
        <v>2648</v>
      </c>
      <c r="B182" s="490" t="s">
        <v>471</v>
      </c>
      <c r="C182" s="491" t="s">
        <v>2964</v>
      </c>
      <c r="D182" s="485"/>
      <c r="E182" s="68">
        <v>196657</v>
      </c>
      <c r="F182" s="68" t="s">
        <v>2964</v>
      </c>
      <c r="J182" s="68" t="s">
        <v>794</v>
      </c>
      <c r="K182" s="396" t="s">
        <v>794</v>
      </c>
      <c r="L182" s="396" t="s">
        <v>794</v>
      </c>
      <c r="N182" s="68">
        <v>20.840990066528299</v>
      </c>
      <c r="O182" s="68">
        <v>93.072242736816406</v>
      </c>
      <c r="P182" s="482" t="s">
        <v>795</v>
      </c>
      <c r="Q182" s="68" t="s">
        <v>2961</v>
      </c>
      <c r="R182" s="494"/>
      <c r="S182" s="487"/>
      <c r="T182" s="101">
        <v>43768</v>
      </c>
      <c r="U182" s="494"/>
      <c r="W182" s="486"/>
    </row>
    <row r="183" spans="1:23" s="68" customFormat="1" ht="14.25" customHeight="1">
      <c r="A183" s="490" t="s">
        <v>2648</v>
      </c>
      <c r="B183" s="490" t="s">
        <v>471</v>
      </c>
      <c r="C183" s="491" t="s">
        <v>2742</v>
      </c>
      <c r="D183" s="485"/>
      <c r="E183" s="482"/>
      <c r="F183" s="482"/>
      <c r="G183" s="482"/>
      <c r="H183" s="482"/>
      <c r="I183" s="482"/>
      <c r="J183" s="482" t="s">
        <v>2652</v>
      </c>
      <c r="K183" s="482" t="s">
        <v>2622</v>
      </c>
      <c r="L183" s="482" t="s">
        <v>2622</v>
      </c>
      <c r="M183" s="482"/>
      <c r="N183" s="482"/>
      <c r="O183" s="482"/>
      <c r="P183" s="482" t="s">
        <v>1972</v>
      </c>
      <c r="Q183" s="482"/>
      <c r="R183" s="494"/>
      <c r="S183" s="487"/>
      <c r="T183" s="506">
        <v>43591</v>
      </c>
      <c r="U183" s="494"/>
      <c r="V183" s="482"/>
      <c r="W183" s="486"/>
    </row>
    <row r="184" spans="1:23" s="68" customFormat="1" ht="14.25" customHeight="1">
      <c r="A184" s="487" t="s">
        <v>2648</v>
      </c>
      <c r="B184" s="482" t="s">
        <v>471</v>
      </c>
      <c r="C184" s="482" t="s">
        <v>2567</v>
      </c>
      <c r="D184" s="431"/>
      <c r="F184" s="482"/>
      <c r="J184" s="68" t="s">
        <v>2652</v>
      </c>
      <c r="K184" s="68" t="s">
        <v>2622</v>
      </c>
      <c r="L184" s="68" t="s">
        <v>2651</v>
      </c>
      <c r="P184" s="482" t="s">
        <v>1972</v>
      </c>
      <c r="Q184" s="482"/>
      <c r="R184" s="486"/>
      <c r="S184" s="400"/>
      <c r="T184" s="506"/>
      <c r="U184" s="488" t="s">
        <v>2563</v>
      </c>
      <c r="W184" s="482"/>
    </row>
    <row r="185" spans="1:23" s="68" customFormat="1" ht="14.25" customHeight="1">
      <c r="A185" s="487" t="s">
        <v>2648</v>
      </c>
      <c r="B185" s="482" t="s">
        <v>471</v>
      </c>
      <c r="C185" s="482" t="s">
        <v>474</v>
      </c>
      <c r="D185" s="431" t="s">
        <v>1656</v>
      </c>
      <c r="E185" s="68">
        <v>196496</v>
      </c>
      <c r="F185" s="482"/>
      <c r="J185" s="68" t="s">
        <v>794</v>
      </c>
      <c r="K185" s="68" t="s">
        <v>794</v>
      </c>
      <c r="L185" s="396" t="s">
        <v>794</v>
      </c>
      <c r="M185" s="68" t="s">
        <v>294</v>
      </c>
      <c r="N185" s="68">
        <v>20.46477509</v>
      </c>
      <c r="O185" s="68">
        <v>93.269363400000003</v>
      </c>
      <c r="P185" s="482" t="s">
        <v>795</v>
      </c>
      <c r="Q185" s="482" t="s">
        <v>776</v>
      </c>
      <c r="R185" s="486"/>
      <c r="S185" s="400"/>
      <c r="T185" s="506"/>
      <c r="U185" s="488"/>
      <c r="V185" s="68" t="s">
        <v>474</v>
      </c>
      <c r="W185" s="482"/>
    </row>
    <row r="186" spans="1:23" s="68" customFormat="1" ht="14.25" customHeight="1">
      <c r="A186" s="487" t="s">
        <v>2648</v>
      </c>
      <c r="B186" s="482" t="s">
        <v>471</v>
      </c>
      <c r="C186" s="482" t="s">
        <v>472</v>
      </c>
      <c r="D186" s="431" t="s">
        <v>1656</v>
      </c>
      <c r="E186" s="68">
        <v>220626</v>
      </c>
      <c r="J186" s="68" t="s">
        <v>794</v>
      </c>
      <c r="K186" s="68" t="s">
        <v>794</v>
      </c>
      <c r="L186" s="396" t="s">
        <v>794</v>
      </c>
      <c r="M186" s="68" t="s">
        <v>294</v>
      </c>
      <c r="N186" s="68">
        <v>20.46252441</v>
      </c>
      <c r="O186" s="68">
        <v>93.257278439999993</v>
      </c>
      <c r="P186" s="482" t="s">
        <v>795</v>
      </c>
      <c r="Q186" s="68" t="s">
        <v>776</v>
      </c>
      <c r="R186" s="486"/>
      <c r="S186" s="400"/>
      <c r="T186" s="101"/>
      <c r="U186" s="488"/>
      <c r="V186" s="68" t="s">
        <v>894</v>
      </c>
      <c r="W186" s="482"/>
    </row>
    <row r="187" spans="1:23" s="68" customFormat="1" ht="14.25" customHeight="1">
      <c r="A187" s="487" t="s">
        <v>2648</v>
      </c>
      <c r="B187" s="484" t="s">
        <v>471</v>
      </c>
      <c r="C187" s="484" t="s">
        <v>2790</v>
      </c>
      <c r="D187" s="431"/>
      <c r="E187" s="68">
        <v>196661</v>
      </c>
      <c r="J187" s="68" t="s">
        <v>2652</v>
      </c>
      <c r="K187" s="68" t="s">
        <v>2622</v>
      </c>
      <c r="L187" s="396" t="s">
        <v>2622</v>
      </c>
      <c r="N187" s="68">
        <v>20.829959869384801</v>
      </c>
      <c r="O187" s="68">
        <v>93.073478698730497</v>
      </c>
      <c r="P187" s="68" t="s">
        <v>1972</v>
      </c>
      <c r="R187" s="486"/>
      <c r="S187" s="400"/>
      <c r="T187" s="101"/>
      <c r="U187" s="488"/>
      <c r="W187" s="482"/>
    </row>
    <row r="188" spans="1:23" s="68" customFormat="1" ht="14.25" customHeight="1">
      <c r="A188" s="487" t="s">
        <v>2648</v>
      </c>
      <c r="B188" s="482" t="s">
        <v>471</v>
      </c>
      <c r="C188" s="482" t="s">
        <v>2566</v>
      </c>
      <c r="D188" s="431"/>
      <c r="E188" s="396"/>
      <c r="F188" s="482"/>
      <c r="J188" s="68" t="s">
        <v>2652</v>
      </c>
      <c r="K188" s="396" t="s">
        <v>2622</v>
      </c>
      <c r="L188" s="396" t="s">
        <v>2651</v>
      </c>
      <c r="P188" s="482" t="s">
        <v>1972</v>
      </c>
      <c r="Q188" s="482"/>
      <c r="R188" s="486"/>
      <c r="S188" s="400"/>
      <c r="T188" s="506"/>
      <c r="U188" s="488" t="s">
        <v>2563</v>
      </c>
      <c r="W188" s="482"/>
    </row>
    <row r="189" spans="1:23" s="68" customFormat="1" ht="14.25" customHeight="1">
      <c r="A189" s="487" t="s">
        <v>2648</v>
      </c>
      <c r="B189" s="482" t="s">
        <v>471</v>
      </c>
      <c r="C189" s="482" t="s">
        <v>2573</v>
      </c>
      <c r="D189" s="431"/>
      <c r="E189" s="482"/>
      <c r="F189" s="482"/>
      <c r="G189" s="482"/>
      <c r="H189" s="482"/>
      <c r="I189" s="482"/>
      <c r="J189" s="68" t="s">
        <v>2652</v>
      </c>
      <c r="K189" s="396" t="s">
        <v>2622</v>
      </c>
      <c r="L189" s="396" t="s">
        <v>2622</v>
      </c>
      <c r="M189" s="482"/>
      <c r="N189" s="482"/>
      <c r="O189" s="482"/>
      <c r="P189" s="482" t="s">
        <v>1972</v>
      </c>
      <c r="Q189" s="482"/>
      <c r="R189" s="486"/>
      <c r="S189" s="487"/>
      <c r="T189" s="506"/>
      <c r="U189" s="488"/>
      <c r="V189" s="482"/>
      <c r="W189" s="482"/>
    </row>
    <row r="190" spans="1:23" s="68" customFormat="1" ht="14.25" customHeight="1">
      <c r="A190" s="490" t="s">
        <v>2648</v>
      </c>
      <c r="B190" s="490" t="s">
        <v>471</v>
      </c>
      <c r="C190" s="491" t="s">
        <v>2740</v>
      </c>
      <c r="D190" s="485"/>
      <c r="E190" s="482"/>
      <c r="F190" s="482"/>
      <c r="G190" s="482"/>
      <c r="H190" s="482"/>
      <c r="I190" s="482"/>
      <c r="J190" s="68" t="s">
        <v>2652</v>
      </c>
      <c r="K190" s="396" t="s">
        <v>2622</v>
      </c>
      <c r="L190" s="396" t="s">
        <v>2622</v>
      </c>
      <c r="M190" s="482"/>
      <c r="N190" s="482"/>
      <c r="O190" s="482"/>
      <c r="P190" s="482" t="s">
        <v>1972</v>
      </c>
      <c r="Q190" s="482"/>
      <c r="R190" s="494"/>
      <c r="S190" s="487"/>
      <c r="T190" s="506">
        <v>43591</v>
      </c>
      <c r="U190" s="494"/>
      <c r="V190" s="482"/>
      <c r="W190" s="486"/>
    </row>
    <row r="191" spans="1:23" s="68" customFormat="1" ht="14.25" customHeight="1">
      <c r="A191" s="671" t="s">
        <v>2648</v>
      </c>
      <c r="B191" s="675" t="s">
        <v>471</v>
      </c>
      <c r="C191" s="677" t="s">
        <v>3110</v>
      </c>
      <c r="D191" s="485"/>
      <c r="E191" s="672">
        <v>196633</v>
      </c>
      <c r="F191" s="672" t="s">
        <v>3114</v>
      </c>
      <c r="G191" s="672"/>
      <c r="H191" s="672"/>
      <c r="I191" s="672"/>
      <c r="J191" s="659" t="s">
        <v>794</v>
      </c>
      <c r="K191" s="659" t="s">
        <v>794</v>
      </c>
      <c r="L191" s="659" t="s">
        <v>794</v>
      </c>
      <c r="M191" s="672"/>
      <c r="N191" s="510">
        <v>20.6096591949463</v>
      </c>
      <c r="O191" s="510">
        <v>93.111427307128906</v>
      </c>
      <c r="P191" s="672" t="s">
        <v>795</v>
      </c>
      <c r="Q191" s="659" t="s">
        <v>3102</v>
      </c>
      <c r="R191" s="673"/>
      <c r="S191" s="671"/>
      <c r="T191" s="674">
        <v>43851</v>
      </c>
      <c r="U191" s="673"/>
      <c r="V191" s="672"/>
      <c r="W191" s="486"/>
    </row>
    <row r="192" spans="1:23" s="68" customFormat="1" ht="14.25" customHeight="1">
      <c r="A192" s="487" t="s">
        <v>2648</v>
      </c>
      <c r="B192" s="490" t="s">
        <v>471</v>
      </c>
      <c r="C192" s="491" t="s">
        <v>2963</v>
      </c>
      <c r="D192" s="485"/>
      <c r="E192" s="396">
        <v>196483</v>
      </c>
      <c r="F192" s="482" t="s">
        <v>2963</v>
      </c>
      <c r="G192" s="396"/>
      <c r="H192" s="396"/>
      <c r="I192" s="396"/>
      <c r="J192" s="482" t="s">
        <v>794</v>
      </c>
      <c r="K192" s="482" t="s">
        <v>794</v>
      </c>
      <c r="L192" s="482" t="s">
        <v>794</v>
      </c>
      <c r="N192" s="396">
        <v>20.5348205566406</v>
      </c>
      <c r="O192" s="396">
        <v>93.253181457519503</v>
      </c>
      <c r="P192" s="482" t="s">
        <v>795</v>
      </c>
      <c r="Q192" s="68" t="s">
        <v>2961</v>
      </c>
      <c r="R192" s="494"/>
      <c r="S192" s="400"/>
      <c r="T192" s="101">
        <v>43768</v>
      </c>
      <c r="U192" s="494"/>
      <c r="V192" s="396"/>
      <c r="W192" s="486"/>
    </row>
    <row r="193" spans="1:23" s="68" customFormat="1" ht="14.25" customHeight="1">
      <c r="A193" s="490" t="s">
        <v>2648</v>
      </c>
      <c r="B193" s="490" t="s">
        <v>471</v>
      </c>
      <c r="C193" s="491" t="s">
        <v>2743</v>
      </c>
      <c r="D193" s="485"/>
      <c r="E193" s="482">
        <v>196448</v>
      </c>
      <c r="F193" s="482"/>
      <c r="G193" s="482"/>
      <c r="H193" s="482"/>
      <c r="I193" s="482"/>
      <c r="J193" s="68" t="s">
        <v>2652</v>
      </c>
      <c r="K193" s="396" t="s">
        <v>2622</v>
      </c>
      <c r="L193" s="396" t="s">
        <v>2622</v>
      </c>
      <c r="M193" s="482"/>
      <c r="N193" s="482">
        <v>20.6728000640869</v>
      </c>
      <c r="O193" s="482">
        <v>93.243469238281307</v>
      </c>
      <c r="P193" s="482" t="s">
        <v>1972</v>
      </c>
      <c r="Q193" s="482"/>
      <c r="R193" s="494"/>
      <c r="S193" s="487"/>
      <c r="T193" s="506">
        <v>43591</v>
      </c>
      <c r="U193" s="494"/>
      <c r="V193" s="482"/>
      <c r="W193" s="486"/>
    </row>
    <row r="194" spans="1:23" s="68" customFormat="1" ht="14.25" customHeight="1">
      <c r="A194" s="487" t="s">
        <v>2648</v>
      </c>
      <c r="B194" s="482" t="s">
        <v>471</v>
      </c>
      <c r="C194" s="482" t="s">
        <v>549</v>
      </c>
      <c r="D194" s="431" t="s">
        <v>1656</v>
      </c>
      <c r="E194" s="482">
        <v>196642</v>
      </c>
      <c r="F194" s="482"/>
      <c r="G194" s="482"/>
      <c r="H194" s="482"/>
      <c r="I194" s="482"/>
      <c r="J194" s="482" t="s">
        <v>794</v>
      </c>
      <c r="K194" s="482" t="s">
        <v>794</v>
      </c>
      <c r="L194" s="482" t="s">
        <v>794</v>
      </c>
      <c r="M194" s="482" t="s">
        <v>294</v>
      </c>
      <c r="N194" s="482">
        <v>20.70355034</v>
      </c>
      <c r="O194" s="482">
        <v>93.060462950000002</v>
      </c>
      <c r="P194" s="482" t="s">
        <v>795</v>
      </c>
      <c r="Q194" s="482" t="s">
        <v>776</v>
      </c>
      <c r="R194" s="486"/>
      <c r="S194" s="487"/>
      <c r="T194" s="506"/>
      <c r="U194" s="488"/>
      <c r="V194" s="482" t="s">
        <v>549</v>
      </c>
      <c r="W194" s="482"/>
    </row>
    <row r="195" spans="1:23" s="68" customFormat="1" ht="14.25" customHeight="1">
      <c r="A195" s="487" t="s">
        <v>2648</v>
      </c>
      <c r="B195" s="482" t="s">
        <v>471</v>
      </c>
      <c r="C195" s="482" t="s">
        <v>2570</v>
      </c>
      <c r="D195" s="431"/>
      <c r="E195" s="482"/>
      <c r="F195" s="482"/>
      <c r="G195" s="482"/>
      <c r="H195" s="482"/>
      <c r="I195" s="482"/>
      <c r="J195" s="482" t="s">
        <v>2652</v>
      </c>
      <c r="K195" s="482" t="s">
        <v>2622</v>
      </c>
      <c r="L195" s="482" t="s">
        <v>2622</v>
      </c>
      <c r="M195" s="482"/>
      <c r="N195" s="482"/>
      <c r="O195" s="482"/>
      <c r="P195" s="482" t="s">
        <v>1972</v>
      </c>
      <c r="Q195" s="482"/>
      <c r="R195" s="486"/>
      <c r="S195" s="487"/>
      <c r="T195" s="506"/>
      <c r="U195" s="488"/>
      <c r="V195" s="482"/>
      <c r="W195" s="482"/>
    </row>
    <row r="196" spans="1:23" s="68" customFormat="1" ht="14.25" customHeight="1">
      <c r="A196" s="400" t="s">
        <v>2648</v>
      </c>
      <c r="B196" s="490" t="s">
        <v>471</v>
      </c>
      <c r="C196" s="397" t="s">
        <v>905</v>
      </c>
      <c r="D196" s="431" t="s">
        <v>2712</v>
      </c>
      <c r="E196" s="68" t="s">
        <v>1393</v>
      </c>
      <c r="F196" s="484" t="s">
        <v>1858</v>
      </c>
      <c r="G196" s="68" t="s">
        <v>1858</v>
      </c>
      <c r="I196" s="396"/>
      <c r="J196" s="68" t="s">
        <v>794</v>
      </c>
      <c r="K196" s="396" t="s">
        <v>794</v>
      </c>
      <c r="L196" s="396" t="s">
        <v>879</v>
      </c>
      <c r="M196" s="68" t="s">
        <v>791</v>
      </c>
      <c r="N196" s="68">
        <v>20.576577</v>
      </c>
      <c r="O196" s="68">
        <v>93.245551000000006</v>
      </c>
      <c r="P196" s="396" t="s">
        <v>795</v>
      </c>
      <c r="Q196" s="484"/>
      <c r="R196" s="486">
        <v>204</v>
      </c>
      <c r="S196" s="487">
        <v>1265</v>
      </c>
      <c r="T196" s="507"/>
      <c r="U196" s="97" t="s">
        <v>856</v>
      </c>
      <c r="V196" s="68" t="s">
        <v>905</v>
      </c>
    </row>
    <row r="197" spans="1:23" s="68" customFormat="1" ht="14.25" customHeight="1">
      <c r="A197" s="400" t="s">
        <v>2648</v>
      </c>
      <c r="B197" s="490" t="s">
        <v>471</v>
      </c>
      <c r="C197" s="491" t="s">
        <v>2952</v>
      </c>
      <c r="D197" s="485"/>
      <c r="E197" s="396">
        <v>196533</v>
      </c>
      <c r="F197" s="482" t="s">
        <v>2962</v>
      </c>
      <c r="G197" s="396"/>
      <c r="H197" s="396"/>
      <c r="I197" s="396"/>
      <c r="J197" s="68" t="s">
        <v>794</v>
      </c>
      <c r="K197" s="396" t="s">
        <v>794</v>
      </c>
      <c r="L197" s="396" t="s">
        <v>794</v>
      </c>
      <c r="N197" s="68">
        <v>20.4424648284912</v>
      </c>
      <c r="O197" s="68">
        <v>93.2396240234375</v>
      </c>
      <c r="P197" s="68" t="s">
        <v>795</v>
      </c>
      <c r="Q197" s="68" t="s">
        <v>2961</v>
      </c>
      <c r="R197" s="494"/>
      <c r="S197" s="487"/>
      <c r="T197" s="101">
        <v>43768</v>
      </c>
      <c r="U197" s="494"/>
      <c r="W197" s="486"/>
    </row>
    <row r="198" spans="1:23" s="68" customFormat="1" ht="14.25" customHeight="1">
      <c r="A198" s="487" t="s">
        <v>2648</v>
      </c>
      <c r="B198" s="482" t="s">
        <v>471</v>
      </c>
      <c r="C198" s="482" t="s">
        <v>2572</v>
      </c>
      <c r="D198" s="431"/>
      <c r="F198" s="482"/>
      <c r="J198" s="68" t="s">
        <v>2652</v>
      </c>
      <c r="K198" s="396" t="s">
        <v>2622</v>
      </c>
      <c r="L198" s="396" t="s">
        <v>2651</v>
      </c>
      <c r="P198" s="68" t="s">
        <v>1972</v>
      </c>
      <c r="R198" s="486"/>
      <c r="S198" s="487"/>
      <c r="T198" s="101"/>
      <c r="U198" s="488" t="s">
        <v>2563</v>
      </c>
      <c r="W198" s="482"/>
    </row>
    <row r="199" spans="1:23" s="68" customFormat="1" ht="14.25" customHeight="1">
      <c r="A199" s="487" t="s">
        <v>2648</v>
      </c>
      <c r="B199" s="482" t="s">
        <v>471</v>
      </c>
      <c r="C199" s="482" t="s">
        <v>2568</v>
      </c>
      <c r="D199" s="431"/>
      <c r="E199" s="396"/>
      <c r="F199" s="396"/>
      <c r="G199" s="396"/>
      <c r="H199" s="396"/>
      <c r="I199" s="396"/>
      <c r="J199" s="68" t="s">
        <v>2652</v>
      </c>
      <c r="K199" s="396" t="s">
        <v>2622</v>
      </c>
      <c r="L199" s="396" t="s">
        <v>2651</v>
      </c>
      <c r="M199" s="396"/>
      <c r="N199" s="396"/>
      <c r="O199" s="396"/>
      <c r="P199" s="68" t="s">
        <v>1972</v>
      </c>
      <c r="Q199" s="396"/>
      <c r="R199" s="486"/>
      <c r="S199" s="487"/>
      <c r="T199" s="412"/>
      <c r="U199" s="488" t="s">
        <v>2563</v>
      </c>
      <c r="V199" s="396"/>
      <c r="W199" s="482"/>
    </row>
    <row r="200" spans="1:23" s="68" customFormat="1" ht="14.25" customHeight="1">
      <c r="A200" s="490" t="s">
        <v>2648</v>
      </c>
      <c r="B200" s="490" t="s">
        <v>471</v>
      </c>
      <c r="C200" s="491" t="s">
        <v>2734</v>
      </c>
      <c r="D200" s="485"/>
      <c r="E200" s="396"/>
      <c r="F200" s="482"/>
      <c r="G200" s="396"/>
      <c r="H200" s="396"/>
      <c r="I200" s="396"/>
      <c r="J200" s="68" t="s">
        <v>794</v>
      </c>
      <c r="K200" s="396" t="s">
        <v>794</v>
      </c>
      <c r="L200" s="396" t="s">
        <v>3123</v>
      </c>
      <c r="O200" s="396"/>
      <c r="P200" s="68" t="s">
        <v>1972</v>
      </c>
      <c r="R200" s="494"/>
      <c r="S200" s="487"/>
      <c r="T200" s="101">
        <v>43591</v>
      </c>
      <c r="U200" s="494"/>
      <c r="W200" s="486"/>
    </row>
    <row r="201" spans="1:23" s="68" customFormat="1" ht="14.25" customHeight="1">
      <c r="A201" s="487" t="s">
        <v>2648</v>
      </c>
      <c r="B201" s="490" t="s">
        <v>471</v>
      </c>
      <c r="C201" s="484" t="s">
        <v>908</v>
      </c>
      <c r="D201" s="432" t="s">
        <v>1656</v>
      </c>
      <c r="E201" s="484">
        <v>196429</v>
      </c>
      <c r="F201" s="484"/>
      <c r="G201" s="484"/>
      <c r="H201" s="484"/>
      <c r="I201" s="484"/>
      <c r="J201" s="68" t="s">
        <v>794</v>
      </c>
      <c r="K201" s="396" t="s">
        <v>794</v>
      </c>
      <c r="L201" s="396" t="s">
        <v>794</v>
      </c>
      <c r="M201" s="484" t="s">
        <v>294</v>
      </c>
      <c r="N201" s="484">
        <v>20.58151054</v>
      </c>
      <c r="O201" s="484">
        <v>93.24609375</v>
      </c>
      <c r="P201" s="68" t="s">
        <v>795</v>
      </c>
      <c r="Q201" s="484"/>
      <c r="R201" s="495"/>
      <c r="S201" s="491"/>
      <c r="T201" s="507"/>
      <c r="U201" s="492"/>
      <c r="V201" s="484" t="s">
        <v>908</v>
      </c>
      <c r="W201" s="482"/>
    </row>
    <row r="202" spans="1:23" s="68" customFormat="1" ht="14.25" customHeight="1">
      <c r="A202" s="671" t="s">
        <v>2648</v>
      </c>
      <c r="B202" s="675" t="s">
        <v>471</v>
      </c>
      <c r="C202" s="677" t="s">
        <v>3115</v>
      </c>
      <c r="D202" s="485"/>
      <c r="E202" s="672">
        <v>196427</v>
      </c>
      <c r="F202" s="512" t="s">
        <v>3115</v>
      </c>
      <c r="G202" s="672"/>
      <c r="H202" s="672"/>
      <c r="I202" s="672"/>
      <c r="J202" s="659" t="s">
        <v>794</v>
      </c>
      <c r="K202" s="659" t="s">
        <v>794</v>
      </c>
      <c r="L202" s="659" t="s">
        <v>794</v>
      </c>
      <c r="M202" s="672"/>
      <c r="N202" s="510">
        <v>20.608230590820298</v>
      </c>
      <c r="O202" s="510">
        <v>93.141777038574205</v>
      </c>
      <c r="P202" s="672" t="s">
        <v>795</v>
      </c>
      <c r="Q202" s="659" t="s">
        <v>3102</v>
      </c>
      <c r="R202" s="673"/>
      <c r="S202" s="671"/>
      <c r="T202" s="674">
        <v>43851</v>
      </c>
      <c r="U202" s="673"/>
      <c r="V202" s="672"/>
      <c r="W202" s="486"/>
    </row>
    <row r="203" spans="1:23" s="68" customFormat="1" ht="14.25" customHeight="1">
      <c r="A203" s="671" t="s">
        <v>2648</v>
      </c>
      <c r="B203" s="675" t="s">
        <v>471</v>
      </c>
      <c r="C203" s="677" t="s">
        <v>3111</v>
      </c>
      <c r="D203" s="485"/>
      <c r="E203" s="672">
        <v>196618</v>
      </c>
      <c r="F203" s="672" t="s">
        <v>3113</v>
      </c>
      <c r="G203" s="672"/>
      <c r="H203" s="672"/>
      <c r="I203" s="672"/>
      <c r="J203" s="659" t="s">
        <v>794</v>
      </c>
      <c r="K203" s="659" t="s">
        <v>794</v>
      </c>
      <c r="L203" s="659" t="s">
        <v>794</v>
      </c>
      <c r="M203" s="672"/>
      <c r="N203" s="510">
        <v>20.652900695800799</v>
      </c>
      <c r="O203" s="510">
        <v>93.117912292480497</v>
      </c>
      <c r="P203" s="672" t="s">
        <v>795</v>
      </c>
      <c r="Q203" s="659" t="s">
        <v>3102</v>
      </c>
      <c r="R203" s="673"/>
      <c r="S203" s="671"/>
      <c r="T203" s="674">
        <v>43851</v>
      </c>
      <c r="U203" s="673"/>
      <c r="V203" s="672"/>
      <c r="W203" s="486"/>
    </row>
    <row r="204" spans="1:23" s="68" customFormat="1" ht="14.25" customHeight="1">
      <c r="A204" s="487" t="s">
        <v>2648</v>
      </c>
      <c r="B204" s="484" t="s">
        <v>471</v>
      </c>
      <c r="C204" s="484" t="s">
        <v>913</v>
      </c>
      <c r="D204" s="431" t="s">
        <v>2712</v>
      </c>
      <c r="E204" s="68" t="s">
        <v>1395</v>
      </c>
      <c r="F204" s="68" t="s">
        <v>491</v>
      </c>
      <c r="G204" s="68" t="s">
        <v>1859</v>
      </c>
      <c r="J204" s="482" t="s">
        <v>794</v>
      </c>
      <c r="K204" s="482" t="s">
        <v>794</v>
      </c>
      <c r="L204" s="482" t="s">
        <v>817</v>
      </c>
      <c r="M204" s="68" t="s">
        <v>294</v>
      </c>
      <c r="N204" s="68">
        <v>20.61692</v>
      </c>
      <c r="O204" s="396">
        <v>93.239519999999999</v>
      </c>
      <c r="P204" s="68" t="s">
        <v>795</v>
      </c>
      <c r="R204" s="486">
        <v>10</v>
      </c>
      <c r="S204" s="487">
        <v>64</v>
      </c>
      <c r="T204" s="101"/>
      <c r="U204" s="488" t="s">
        <v>856</v>
      </c>
      <c r="V204" s="68" t="s">
        <v>913</v>
      </c>
      <c r="W204" s="482"/>
    </row>
    <row r="205" spans="1:23" s="68" customFormat="1" ht="14.25" customHeight="1">
      <c r="A205" s="487" t="s">
        <v>2648</v>
      </c>
      <c r="B205" s="484" t="s">
        <v>471</v>
      </c>
      <c r="C205" s="484" t="s">
        <v>2565</v>
      </c>
      <c r="D205" s="431"/>
      <c r="E205" s="68">
        <v>196465</v>
      </c>
      <c r="F205" s="396"/>
      <c r="J205" s="68" t="s">
        <v>2652</v>
      </c>
      <c r="K205" s="396" t="s">
        <v>2622</v>
      </c>
      <c r="L205" s="396" t="s">
        <v>2622</v>
      </c>
      <c r="N205" s="68">
        <v>20.7270202636719</v>
      </c>
      <c r="O205" s="68">
        <v>93.249069213867202</v>
      </c>
      <c r="P205" s="68" t="s">
        <v>1972</v>
      </c>
      <c r="R205" s="486"/>
      <c r="S205" s="487"/>
      <c r="T205" s="101"/>
      <c r="U205" s="488"/>
      <c r="W205" s="482"/>
    </row>
    <row r="206" spans="1:23" s="68" customFormat="1" ht="14.25" customHeight="1">
      <c r="A206" s="487" t="s">
        <v>2648</v>
      </c>
      <c r="B206" s="484" t="s">
        <v>471</v>
      </c>
      <c r="C206" s="484" t="s">
        <v>2564</v>
      </c>
      <c r="D206" s="431"/>
      <c r="F206" s="484"/>
      <c r="J206" s="68" t="s">
        <v>2652</v>
      </c>
      <c r="K206" s="68" t="s">
        <v>2622</v>
      </c>
      <c r="L206" s="396" t="s">
        <v>2651</v>
      </c>
      <c r="O206" s="396"/>
      <c r="P206" s="68" t="s">
        <v>1972</v>
      </c>
      <c r="R206" s="486"/>
      <c r="S206" s="400"/>
      <c r="T206" s="101"/>
      <c r="U206" s="488" t="s">
        <v>2563</v>
      </c>
      <c r="W206" s="482"/>
    </row>
    <row r="207" spans="1:23" s="68" customFormat="1" ht="14.25" customHeight="1">
      <c r="A207" s="487" t="s">
        <v>2648</v>
      </c>
      <c r="B207" s="484" t="s">
        <v>471</v>
      </c>
      <c r="C207" s="484" t="s">
        <v>2571</v>
      </c>
      <c r="D207" s="431"/>
      <c r="F207" s="482"/>
      <c r="J207" s="68" t="s">
        <v>2652</v>
      </c>
      <c r="K207" s="396" t="s">
        <v>2622</v>
      </c>
      <c r="L207" s="396" t="s">
        <v>2622</v>
      </c>
      <c r="P207" s="68" t="s">
        <v>1972</v>
      </c>
      <c r="R207" s="486"/>
      <c r="S207" s="487"/>
      <c r="T207" s="101"/>
      <c r="U207" s="488"/>
      <c r="W207" s="482"/>
    </row>
    <row r="208" spans="1:23" s="68" customFormat="1" ht="14.25" customHeight="1">
      <c r="A208" s="487" t="s">
        <v>2648</v>
      </c>
      <c r="B208" s="484" t="s">
        <v>471</v>
      </c>
      <c r="C208" s="484" t="s">
        <v>2791</v>
      </c>
      <c r="D208" s="431"/>
      <c r="E208" s="68">
        <v>196453</v>
      </c>
      <c r="F208" s="484"/>
      <c r="J208" s="68" t="s">
        <v>2652</v>
      </c>
      <c r="K208" s="396" t="s">
        <v>2622</v>
      </c>
      <c r="L208" s="396" t="s">
        <v>2622</v>
      </c>
      <c r="N208" s="68">
        <v>20.686229705810501</v>
      </c>
      <c r="O208" s="68">
        <v>93.220001220703097</v>
      </c>
      <c r="P208" s="68" t="s">
        <v>1972</v>
      </c>
      <c r="R208" s="490"/>
      <c r="S208" s="491"/>
      <c r="T208" s="101"/>
      <c r="U208" s="488"/>
      <c r="W208" s="482"/>
    </row>
    <row r="209" spans="1:23" s="68" customFormat="1" ht="14.25" customHeight="1">
      <c r="A209" s="487" t="s">
        <v>2648</v>
      </c>
      <c r="B209" s="484" t="s">
        <v>471</v>
      </c>
      <c r="C209" s="484" t="s">
        <v>2792</v>
      </c>
      <c r="D209" s="431"/>
      <c r="E209" s="68">
        <v>196453</v>
      </c>
      <c r="F209" s="482"/>
      <c r="J209" s="68" t="s">
        <v>2652</v>
      </c>
      <c r="K209" s="68" t="s">
        <v>2622</v>
      </c>
      <c r="L209" s="68" t="s">
        <v>2622</v>
      </c>
      <c r="N209" s="68">
        <v>20.686229705810501</v>
      </c>
      <c r="O209" s="396">
        <v>93.220001220703097</v>
      </c>
      <c r="P209" s="396" t="s">
        <v>1972</v>
      </c>
      <c r="R209" s="490"/>
      <c r="S209" s="491"/>
      <c r="T209" s="101"/>
      <c r="U209" s="488"/>
      <c r="W209" s="482"/>
    </row>
    <row r="210" spans="1:23" s="68" customFormat="1" ht="14.25" customHeight="1">
      <c r="A210" s="487" t="s">
        <v>2648</v>
      </c>
      <c r="B210" s="484" t="s">
        <v>471</v>
      </c>
      <c r="C210" s="484" t="s">
        <v>2575</v>
      </c>
      <c r="D210" s="431"/>
      <c r="E210" s="482">
        <v>196464</v>
      </c>
      <c r="J210" s="68" t="s">
        <v>2652</v>
      </c>
      <c r="K210" s="482" t="s">
        <v>2622</v>
      </c>
      <c r="L210" s="396" t="s">
        <v>2622</v>
      </c>
      <c r="N210" s="68">
        <v>20.7529296875</v>
      </c>
      <c r="O210" s="68">
        <v>93.267311096191406</v>
      </c>
      <c r="P210" s="482" t="s">
        <v>1972</v>
      </c>
      <c r="R210" s="486"/>
      <c r="S210" s="487"/>
      <c r="T210" s="101"/>
      <c r="U210" s="488"/>
      <c r="W210" s="482"/>
    </row>
    <row r="211" spans="1:23" s="68" customFormat="1" ht="14.25" customHeight="1">
      <c r="A211" s="400" t="s">
        <v>2648</v>
      </c>
      <c r="B211" s="397" t="s">
        <v>471</v>
      </c>
      <c r="C211" s="397" t="s">
        <v>2576</v>
      </c>
      <c r="D211" s="431"/>
      <c r="F211" s="482"/>
      <c r="J211" s="68" t="s">
        <v>2652</v>
      </c>
      <c r="K211" s="68" t="s">
        <v>2622</v>
      </c>
      <c r="L211" s="68" t="s">
        <v>2622</v>
      </c>
      <c r="P211" s="396" t="s">
        <v>1972</v>
      </c>
      <c r="R211" s="486"/>
      <c r="S211" s="487"/>
      <c r="T211" s="101"/>
      <c r="U211" s="97"/>
      <c r="W211" s="396"/>
    </row>
    <row r="212" spans="1:23" s="68" customFormat="1" ht="14.25" customHeight="1">
      <c r="A212" s="490" t="s">
        <v>2648</v>
      </c>
      <c r="B212" s="490" t="s">
        <v>471</v>
      </c>
      <c r="C212" s="491" t="s">
        <v>2733</v>
      </c>
      <c r="D212" s="485"/>
      <c r="E212" s="396">
        <v>196645</v>
      </c>
      <c r="F212" s="482"/>
      <c r="G212" s="396"/>
      <c r="H212" s="396"/>
      <c r="I212" s="396"/>
      <c r="J212" s="68" t="s">
        <v>794</v>
      </c>
      <c r="K212" s="482" t="s">
        <v>794</v>
      </c>
      <c r="L212" s="482" t="s">
        <v>875</v>
      </c>
      <c r="N212" s="68">
        <v>20.718429565429702</v>
      </c>
      <c r="O212" s="68">
        <v>93.059432983398395</v>
      </c>
      <c r="P212" s="68" t="s">
        <v>1972</v>
      </c>
      <c r="R212" s="494"/>
      <c r="S212" s="487"/>
      <c r="T212" s="101">
        <v>43591</v>
      </c>
      <c r="U212" s="494"/>
      <c r="W212" s="486"/>
    </row>
    <row r="213" spans="1:23" s="68" customFormat="1" ht="14.25" customHeight="1">
      <c r="A213" s="487" t="s">
        <v>2648</v>
      </c>
      <c r="B213" s="490" t="s">
        <v>471</v>
      </c>
      <c r="C213" s="491" t="s">
        <v>2965</v>
      </c>
      <c r="D213" s="485"/>
      <c r="E213" s="482">
        <v>196649</v>
      </c>
      <c r="F213" s="482" t="s">
        <v>2965</v>
      </c>
      <c r="H213" s="396"/>
      <c r="I213" s="396"/>
      <c r="J213" s="396" t="s">
        <v>794</v>
      </c>
      <c r="K213" s="482" t="s">
        <v>794</v>
      </c>
      <c r="L213" s="396" t="s">
        <v>794</v>
      </c>
      <c r="M213" s="396"/>
      <c r="N213" s="396">
        <v>20.812870025634801</v>
      </c>
      <c r="O213" s="396">
        <v>93.075592041015597</v>
      </c>
      <c r="P213" s="482" t="s">
        <v>795</v>
      </c>
      <c r="Q213" s="396" t="s">
        <v>2961</v>
      </c>
      <c r="R213" s="494"/>
      <c r="S213" s="487"/>
      <c r="T213" s="412">
        <v>43768</v>
      </c>
      <c r="U213" s="494"/>
      <c r="W213" s="486"/>
    </row>
    <row r="214" spans="1:23" s="68" customFormat="1" ht="14.25" customHeight="1">
      <c r="A214" s="490" t="s">
        <v>2648</v>
      </c>
      <c r="B214" s="490" t="s">
        <v>471</v>
      </c>
      <c r="C214" s="491" t="s">
        <v>2741</v>
      </c>
      <c r="D214" s="485"/>
      <c r="E214" s="396"/>
      <c r="F214" s="396"/>
      <c r="G214" s="396"/>
      <c r="H214" s="396"/>
      <c r="I214" s="396"/>
      <c r="J214" s="396" t="s">
        <v>2652</v>
      </c>
      <c r="K214" s="482" t="s">
        <v>2622</v>
      </c>
      <c r="L214" s="482" t="s">
        <v>2622</v>
      </c>
      <c r="M214" s="396"/>
      <c r="N214" s="396"/>
      <c r="O214" s="396"/>
      <c r="P214" s="396" t="s">
        <v>1972</v>
      </c>
      <c r="Q214" s="396"/>
      <c r="R214" s="494"/>
      <c r="S214" s="487"/>
      <c r="T214" s="412">
        <v>43591</v>
      </c>
      <c r="U214" s="494"/>
      <c r="V214" s="396"/>
      <c r="W214" s="486"/>
    </row>
    <row r="215" spans="1:23" s="68" customFormat="1" ht="14.25" customHeight="1">
      <c r="A215" s="487" t="s">
        <v>2648</v>
      </c>
      <c r="B215" s="484" t="s">
        <v>471</v>
      </c>
      <c r="C215" s="484" t="s">
        <v>898</v>
      </c>
      <c r="D215" s="431" t="s">
        <v>2712</v>
      </c>
      <c r="E215" s="396" t="s">
        <v>1390</v>
      </c>
      <c r="F215" s="396" t="s">
        <v>1856</v>
      </c>
      <c r="G215" s="396" t="s">
        <v>898</v>
      </c>
      <c r="H215" s="396"/>
      <c r="I215" s="396"/>
      <c r="J215" s="482" t="s">
        <v>794</v>
      </c>
      <c r="K215" s="482" t="s">
        <v>794</v>
      </c>
      <c r="L215" s="482" t="s">
        <v>817</v>
      </c>
      <c r="M215" s="68" t="s">
        <v>294</v>
      </c>
      <c r="N215" s="68">
        <v>20.495086000000001</v>
      </c>
      <c r="O215" s="68">
        <v>93.246863000000005</v>
      </c>
      <c r="P215" s="482" t="s">
        <v>795</v>
      </c>
      <c r="R215" s="486">
        <v>32</v>
      </c>
      <c r="S215" s="487">
        <v>131</v>
      </c>
      <c r="T215" s="101"/>
      <c r="U215" s="488" t="s">
        <v>856</v>
      </c>
      <c r="V215" s="68" t="s">
        <v>899</v>
      </c>
      <c r="W215" s="482"/>
    </row>
    <row r="216" spans="1:23" s="68" customFormat="1" ht="14.25" customHeight="1">
      <c r="A216" s="490" t="s">
        <v>2648</v>
      </c>
      <c r="B216" s="490" t="s">
        <v>471</v>
      </c>
      <c r="C216" s="491" t="s">
        <v>2731</v>
      </c>
      <c r="D216" s="485"/>
      <c r="E216" s="68">
        <v>196626</v>
      </c>
      <c r="F216" s="396"/>
      <c r="J216" s="68" t="s">
        <v>2652</v>
      </c>
      <c r="K216" s="482" t="s">
        <v>2622</v>
      </c>
      <c r="L216" s="482" t="s">
        <v>2622</v>
      </c>
      <c r="N216" s="68">
        <v>20.648319244384801</v>
      </c>
      <c r="O216" s="68">
        <v>93.085273742675795</v>
      </c>
      <c r="P216" s="68" t="s">
        <v>1972</v>
      </c>
      <c r="R216" s="494"/>
      <c r="S216" s="487"/>
      <c r="T216" s="101">
        <v>43591</v>
      </c>
      <c r="U216" s="494"/>
      <c r="W216" s="486"/>
    </row>
    <row r="217" spans="1:23" s="68" customFormat="1" ht="14.25" customHeight="1">
      <c r="A217" s="490" t="s">
        <v>2648</v>
      </c>
      <c r="B217" s="490" t="s">
        <v>471</v>
      </c>
      <c r="C217" s="491" t="s">
        <v>2728</v>
      </c>
      <c r="D217" s="485"/>
      <c r="F217" s="489"/>
      <c r="J217" s="68" t="s">
        <v>2652</v>
      </c>
      <c r="K217" s="482" t="s">
        <v>2622</v>
      </c>
      <c r="L217" s="482" t="s">
        <v>2622</v>
      </c>
      <c r="P217" s="68" t="s">
        <v>1972</v>
      </c>
      <c r="R217" s="494"/>
      <c r="S217" s="487"/>
      <c r="T217" s="101">
        <v>43591</v>
      </c>
      <c r="U217" s="494"/>
      <c r="W217" s="486"/>
    </row>
    <row r="218" spans="1:23" s="68" customFormat="1" ht="14.25" customHeight="1">
      <c r="A218" s="490" t="s">
        <v>2648</v>
      </c>
      <c r="B218" s="490" t="s">
        <v>471</v>
      </c>
      <c r="C218" s="491" t="s">
        <v>2730</v>
      </c>
      <c r="D218" s="485"/>
      <c r="E218" s="68">
        <v>196621</v>
      </c>
      <c r="F218" s="482"/>
      <c r="J218" s="68" t="s">
        <v>794</v>
      </c>
      <c r="K218" s="396" t="s">
        <v>794</v>
      </c>
      <c r="L218" s="396" t="s">
        <v>3123</v>
      </c>
      <c r="N218" s="68">
        <v>20.675979614257798</v>
      </c>
      <c r="O218" s="68">
        <v>93.098922729492202</v>
      </c>
      <c r="P218" s="482" t="s">
        <v>1972</v>
      </c>
      <c r="R218" s="494"/>
      <c r="S218" s="487"/>
      <c r="T218" s="101">
        <v>43591</v>
      </c>
      <c r="U218" s="494"/>
      <c r="W218" s="486"/>
    </row>
    <row r="219" spans="1:23" s="68" customFormat="1" ht="14.25" customHeight="1">
      <c r="A219" s="400" t="s">
        <v>2648</v>
      </c>
      <c r="B219" s="397" t="s">
        <v>471</v>
      </c>
      <c r="C219" s="397" t="s">
        <v>2569</v>
      </c>
      <c r="D219" s="431"/>
      <c r="J219" s="68" t="s">
        <v>2652</v>
      </c>
      <c r="K219" s="396" t="s">
        <v>2622</v>
      </c>
      <c r="L219" s="396" t="s">
        <v>2622</v>
      </c>
      <c r="O219" s="396"/>
      <c r="P219" s="482" t="s">
        <v>1972</v>
      </c>
      <c r="R219" s="486"/>
      <c r="S219" s="487"/>
      <c r="T219" s="101"/>
      <c r="U219" s="97"/>
      <c r="W219" s="396"/>
    </row>
    <row r="220" spans="1:23" s="68" customFormat="1" ht="14.25" customHeight="1">
      <c r="A220" s="490" t="s">
        <v>2648</v>
      </c>
      <c r="B220" s="490" t="s">
        <v>471</v>
      </c>
      <c r="C220" s="491" t="s">
        <v>2727</v>
      </c>
      <c r="D220" s="485"/>
      <c r="J220" s="68" t="s">
        <v>2652</v>
      </c>
      <c r="K220" s="68" t="s">
        <v>2622</v>
      </c>
      <c r="L220" s="482" t="s">
        <v>2622</v>
      </c>
      <c r="P220" s="482" t="s">
        <v>1972</v>
      </c>
      <c r="R220" s="494"/>
      <c r="S220" s="487"/>
      <c r="T220" s="101">
        <v>43591</v>
      </c>
      <c r="U220" s="494"/>
      <c r="W220" s="486"/>
    </row>
    <row r="221" spans="1:23" s="68" customFormat="1" ht="14.25" customHeight="1">
      <c r="A221" s="490" t="s">
        <v>2648</v>
      </c>
      <c r="B221" s="490" t="s">
        <v>471</v>
      </c>
      <c r="C221" s="491" t="s">
        <v>2732</v>
      </c>
      <c r="D221" s="485"/>
      <c r="E221" s="68">
        <v>196636</v>
      </c>
      <c r="F221" s="482"/>
      <c r="J221" s="68" t="s">
        <v>794</v>
      </c>
      <c r="K221" s="68" t="s">
        <v>794</v>
      </c>
      <c r="L221" s="482" t="s">
        <v>1095</v>
      </c>
      <c r="N221" s="68">
        <v>20.6698608398438</v>
      </c>
      <c r="O221" s="396">
        <v>93.087516784667997</v>
      </c>
      <c r="P221" s="482" t="s">
        <v>1972</v>
      </c>
      <c r="R221" s="494"/>
      <c r="S221" s="487"/>
      <c r="T221" s="101">
        <v>43591</v>
      </c>
      <c r="U221" s="494"/>
      <c r="W221" s="486"/>
    </row>
    <row r="222" spans="1:23" s="68" customFormat="1" ht="14.25" customHeight="1">
      <c r="A222" s="400" t="s">
        <v>2648</v>
      </c>
      <c r="B222" s="397" t="s">
        <v>471</v>
      </c>
      <c r="C222" s="397" t="s">
        <v>900</v>
      </c>
      <c r="D222" s="431" t="s">
        <v>2712</v>
      </c>
      <c r="E222" s="68" t="s">
        <v>1391</v>
      </c>
      <c r="F222" s="482" t="s">
        <v>1857</v>
      </c>
      <c r="G222" s="68" t="s">
        <v>1857</v>
      </c>
      <c r="J222" s="68" t="s">
        <v>794</v>
      </c>
      <c r="K222" s="68" t="s">
        <v>794</v>
      </c>
      <c r="L222" s="68" t="s">
        <v>879</v>
      </c>
      <c r="M222" s="68" t="s">
        <v>791</v>
      </c>
      <c r="N222" s="68">
        <v>20.501757999999999</v>
      </c>
      <c r="O222" s="396">
        <v>93.217039999999997</v>
      </c>
      <c r="P222" s="482" t="s">
        <v>795</v>
      </c>
      <c r="R222" s="486">
        <v>365</v>
      </c>
      <c r="S222" s="487">
        <v>2366</v>
      </c>
      <c r="T222" s="101"/>
      <c r="U222" s="97" t="s">
        <v>856</v>
      </c>
      <c r="V222" s="68" t="s">
        <v>901</v>
      </c>
      <c r="W222" s="484"/>
    </row>
    <row r="223" spans="1:23" s="68" customFormat="1" ht="14.25" customHeight="1">
      <c r="A223" s="490" t="s">
        <v>2648</v>
      </c>
      <c r="B223" s="490" t="s">
        <v>471</v>
      </c>
      <c r="C223" s="491" t="s">
        <v>2729</v>
      </c>
      <c r="D223" s="485"/>
      <c r="E223" s="68">
        <v>196622</v>
      </c>
      <c r="F223" s="482"/>
      <c r="I223" s="396"/>
      <c r="J223" s="68" t="s">
        <v>794</v>
      </c>
      <c r="K223" s="68" t="s">
        <v>794</v>
      </c>
      <c r="L223" s="68" t="s">
        <v>3123</v>
      </c>
      <c r="N223" s="68">
        <v>20.666166305541999</v>
      </c>
      <c r="O223" s="68">
        <v>93.094825744628906</v>
      </c>
      <c r="P223" s="482" t="s">
        <v>1972</v>
      </c>
      <c r="R223" s="494"/>
      <c r="S223" s="487"/>
      <c r="T223" s="101">
        <v>43591</v>
      </c>
      <c r="U223" s="494"/>
      <c r="W223" s="486"/>
    </row>
    <row r="224" spans="1:23" s="68" customFormat="1" ht="14.25" customHeight="1">
      <c r="A224" s="400" t="s">
        <v>2648</v>
      </c>
      <c r="B224" s="397" t="s">
        <v>399</v>
      </c>
      <c r="C224" s="397" t="s">
        <v>812</v>
      </c>
      <c r="D224" s="431" t="s">
        <v>1656</v>
      </c>
      <c r="E224" s="482">
        <v>197254</v>
      </c>
      <c r="F224" s="482"/>
      <c r="G224" s="396"/>
      <c r="H224" s="396"/>
      <c r="I224" s="396"/>
      <c r="J224" s="68" t="s">
        <v>794</v>
      </c>
      <c r="K224" s="482" t="s">
        <v>794</v>
      </c>
      <c r="L224" s="482" t="s">
        <v>794</v>
      </c>
      <c r="M224" s="396" t="s">
        <v>294</v>
      </c>
      <c r="N224" s="396">
        <v>20.021469119999999</v>
      </c>
      <c r="O224" s="396">
        <v>93.367980959999997</v>
      </c>
      <c r="P224" s="68" t="s">
        <v>795</v>
      </c>
      <c r="Q224" s="396"/>
      <c r="R224" s="490"/>
      <c r="S224" s="491"/>
      <c r="T224" s="412"/>
      <c r="U224" s="401"/>
      <c r="V224" s="396" t="s">
        <v>812</v>
      </c>
      <c r="W224" s="396"/>
    </row>
    <row r="225" spans="1:23" s="68" customFormat="1" ht="14.25" customHeight="1">
      <c r="A225" s="400" t="s">
        <v>2648</v>
      </c>
      <c r="B225" s="397" t="s">
        <v>399</v>
      </c>
      <c r="C225" s="397" t="s">
        <v>813</v>
      </c>
      <c r="D225" s="431" t="s">
        <v>1656</v>
      </c>
      <c r="E225" s="482">
        <v>197253</v>
      </c>
      <c r="F225" s="484"/>
      <c r="G225" s="396"/>
      <c r="H225" s="396"/>
      <c r="I225" s="396"/>
      <c r="J225" s="396" t="s">
        <v>794</v>
      </c>
      <c r="K225" s="482" t="s">
        <v>794</v>
      </c>
      <c r="L225" s="482" t="s">
        <v>794</v>
      </c>
      <c r="M225" s="396" t="s">
        <v>294</v>
      </c>
      <c r="N225" s="396">
        <v>20.023879999999998</v>
      </c>
      <c r="O225" s="396">
        <v>93.376663210000004</v>
      </c>
      <c r="P225" s="396" t="s">
        <v>795</v>
      </c>
      <c r="Q225" s="396"/>
      <c r="R225" s="490"/>
      <c r="S225" s="491"/>
      <c r="T225" s="412"/>
      <c r="U225" s="401"/>
      <c r="V225" s="396" t="s">
        <v>813</v>
      </c>
      <c r="W225" s="396"/>
    </row>
    <row r="226" spans="1:23" s="68" customFormat="1" ht="14.25" customHeight="1">
      <c r="A226" s="400" t="s">
        <v>2648</v>
      </c>
      <c r="B226" s="397" t="s">
        <v>399</v>
      </c>
      <c r="C226" s="397" t="s">
        <v>815</v>
      </c>
      <c r="D226" s="431" t="s">
        <v>1656</v>
      </c>
      <c r="E226" s="68">
        <v>217974</v>
      </c>
      <c r="F226" s="484"/>
      <c r="J226" s="68" t="s">
        <v>794</v>
      </c>
      <c r="K226" s="482" t="s">
        <v>794</v>
      </c>
      <c r="L226" s="482" t="s">
        <v>794</v>
      </c>
      <c r="M226" s="68" t="s">
        <v>294</v>
      </c>
      <c r="N226" s="68">
        <v>20.032299999999999</v>
      </c>
      <c r="O226" s="68">
        <v>93.375100000000003</v>
      </c>
      <c r="P226" s="482" t="s">
        <v>795</v>
      </c>
      <c r="R226" s="490"/>
      <c r="S226" s="491"/>
      <c r="T226" s="101"/>
      <c r="U226" s="97"/>
      <c r="V226" s="482" t="s">
        <v>815</v>
      </c>
      <c r="W226" s="396"/>
    </row>
    <row r="227" spans="1:23" s="68" customFormat="1" ht="14.25" customHeight="1">
      <c r="A227" s="400" t="s">
        <v>2648</v>
      </c>
      <c r="B227" s="397" t="s">
        <v>399</v>
      </c>
      <c r="C227" s="397" t="s">
        <v>830</v>
      </c>
      <c r="D227" s="431" t="s">
        <v>1656</v>
      </c>
      <c r="E227" s="482">
        <v>197279</v>
      </c>
      <c r="F227" s="482"/>
      <c r="J227" s="68" t="s">
        <v>794</v>
      </c>
      <c r="K227" s="482" t="s">
        <v>794</v>
      </c>
      <c r="L227" s="482" t="s">
        <v>794</v>
      </c>
      <c r="M227" s="68" t="s">
        <v>294</v>
      </c>
      <c r="N227" s="68">
        <v>20.100000000000001</v>
      </c>
      <c r="O227" s="68">
        <v>93.35</v>
      </c>
      <c r="P227" s="68" t="s">
        <v>795</v>
      </c>
      <c r="R227" s="490"/>
      <c r="S227" s="491"/>
      <c r="T227" s="101"/>
      <c r="U227" s="97"/>
      <c r="V227" s="68" t="s">
        <v>830</v>
      </c>
      <c r="W227" s="396"/>
    </row>
    <row r="228" spans="1:23" s="68" customFormat="1" ht="14.25" customHeight="1">
      <c r="A228" s="400" t="s">
        <v>2648</v>
      </c>
      <c r="B228" s="397" t="s">
        <v>399</v>
      </c>
      <c r="C228" s="397" t="s">
        <v>828</v>
      </c>
      <c r="D228" s="431" t="s">
        <v>1656</v>
      </c>
      <c r="E228" s="482">
        <v>197277</v>
      </c>
      <c r="J228" s="68" t="s">
        <v>794</v>
      </c>
      <c r="K228" s="482" t="s">
        <v>794</v>
      </c>
      <c r="L228" s="482" t="s">
        <v>794</v>
      </c>
      <c r="M228" s="68" t="s">
        <v>294</v>
      </c>
      <c r="N228" s="68">
        <v>20.079999999999998</v>
      </c>
      <c r="O228" s="68">
        <v>93.36</v>
      </c>
      <c r="P228" s="482" t="s">
        <v>795</v>
      </c>
      <c r="R228" s="490"/>
      <c r="S228" s="491"/>
      <c r="T228" s="101"/>
      <c r="U228" s="97"/>
      <c r="V228" s="68" t="s">
        <v>828</v>
      </c>
      <c r="W228" s="396"/>
    </row>
    <row r="229" spans="1:23" s="68" customFormat="1" ht="14.25" customHeight="1">
      <c r="A229" s="487" t="s">
        <v>2648</v>
      </c>
      <c r="B229" s="484" t="s">
        <v>399</v>
      </c>
      <c r="C229" s="484" t="s">
        <v>401</v>
      </c>
      <c r="D229" s="431" t="s">
        <v>2712</v>
      </c>
      <c r="E229" s="68" t="s">
        <v>1350</v>
      </c>
      <c r="F229" s="482" t="s">
        <v>1686</v>
      </c>
      <c r="G229" s="68" t="s">
        <v>1738</v>
      </c>
      <c r="J229" s="68" t="s">
        <v>794</v>
      </c>
      <c r="K229" s="482" t="s">
        <v>794</v>
      </c>
      <c r="L229" s="482" t="s">
        <v>817</v>
      </c>
      <c r="M229" s="68" t="s">
        <v>294</v>
      </c>
      <c r="N229" s="68">
        <v>20.041981</v>
      </c>
      <c r="O229" s="68">
        <v>93.373951000000005</v>
      </c>
      <c r="P229" s="482" t="s">
        <v>795</v>
      </c>
      <c r="Q229" s="68" t="s">
        <v>776</v>
      </c>
      <c r="R229" s="486">
        <v>40</v>
      </c>
      <c r="S229" s="487">
        <v>204</v>
      </c>
      <c r="T229" s="101"/>
      <c r="U229" s="488"/>
      <c r="V229" s="68" t="s">
        <v>401</v>
      </c>
      <c r="W229" s="482"/>
    </row>
    <row r="230" spans="1:23" s="68" customFormat="1" ht="14.25" customHeight="1">
      <c r="A230" s="487" t="s">
        <v>2648</v>
      </c>
      <c r="B230" s="484" t="s">
        <v>399</v>
      </c>
      <c r="C230" s="484" t="s">
        <v>844</v>
      </c>
      <c r="D230" s="431" t="s">
        <v>1656</v>
      </c>
      <c r="E230" s="482">
        <v>197286</v>
      </c>
      <c r="F230" s="484"/>
      <c r="J230" s="68" t="s">
        <v>794</v>
      </c>
      <c r="K230" s="482" t="s">
        <v>794</v>
      </c>
      <c r="L230" s="482" t="s">
        <v>794</v>
      </c>
      <c r="M230" s="68" t="s">
        <v>294</v>
      </c>
      <c r="N230" s="68">
        <v>20.149999999999999</v>
      </c>
      <c r="O230" s="68">
        <v>93.41</v>
      </c>
      <c r="P230" s="482" t="s">
        <v>795</v>
      </c>
      <c r="R230" s="490"/>
      <c r="S230" s="491"/>
      <c r="T230" s="101"/>
      <c r="U230" s="488"/>
      <c r="V230" s="68" t="s">
        <v>844</v>
      </c>
      <c r="W230" s="482"/>
    </row>
    <row r="231" spans="1:23" s="68" customFormat="1" ht="14.25" customHeight="1">
      <c r="A231" s="400" t="s">
        <v>2648</v>
      </c>
      <c r="B231" s="397" t="s">
        <v>399</v>
      </c>
      <c r="C231" s="397" t="s">
        <v>811</v>
      </c>
      <c r="D231" s="431" t="s">
        <v>1656</v>
      </c>
      <c r="E231" s="68">
        <v>197309</v>
      </c>
      <c r="F231" s="484"/>
      <c r="I231" s="396"/>
      <c r="J231" s="68" t="s">
        <v>794</v>
      </c>
      <c r="K231" s="482" t="s">
        <v>794</v>
      </c>
      <c r="L231" s="482" t="s">
        <v>794</v>
      </c>
      <c r="M231" s="68" t="s">
        <v>294</v>
      </c>
      <c r="N231" s="68">
        <v>20.010000000000002</v>
      </c>
      <c r="O231" s="68">
        <v>93.42</v>
      </c>
      <c r="P231" s="482" t="s">
        <v>795</v>
      </c>
      <c r="R231" s="490"/>
      <c r="S231" s="491"/>
      <c r="T231" s="101"/>
      <c r="U231" s="97"/>
      <c r="V231" s="68" t="s">
        <v>811</v>
      </c>
      <c r="W231" s="396"/>
    </row>
    <row r="232" spans="1:23" s="68" customFormat="1" ht="14.25" customHeight="1">
      <c r="A232" s="487" t="s">
        <v>2648</v>
      </c>
      <c r="B232" s="484" t="s">
        <v>399</v>
      </c>
      <c r="C232" s="484" t="s">
        <v>814</v>
      </c>
      <c r="D232" s="431" t="s">
        <v>1656</v>
      </c>
      <c r="E232" s="68">
        <v>197255</v>
      </c>
      <c r="F232" s="482"/>
      <c r="J232" s="68" t="s">
        <v>794</v>
      </c>
      <c r="K232" s="482" t="s">
        <v>794</v>
      </c>
      <c r="L232" s="482" t="s">
        <v>794</v>
      </c>
      <c r="M232" s="68" t="s">
        <v>294</v>
      </c>
      <c r="N232" s="68">
        <v>20.03</v>
      </c>
      <c r="O232" s="68">
        <v>93.38</v>
      </c>
      <c r="P232" s="482" t="s">
        <v>795</v>
      </c>
      <c r="R232" s="490"/>
      <c r="S232" s="491"/>
      <c r="T232" s="101"/>
      <c r="U232" s="488"/>
      <c r="V232" s="68" t="s">
        <v>814</v>
      </c>
      <c r="W232" s="482"/>
    </row>
    <row r="233" spans="1:23" s="68" customFormat="1" ht="14.25" customHeight="1">
      <c r="A233" s="487" t="s">
        <v>2648</v>
      </c>
      <c r="B233" s="484" t="s">
        <v>399</v>
      </c>
      <c r="C233" s="484" t="s">
        <v>816</v>
      </c>
      <c r="D233" s="431" t="s">
        <v>1656</v>
      </c>
      <c r="E233" s="482">
        <v>217973</v>
      </c>
      <c r="F233" s="482"/>
      <c r="J233" s="68" t="s">
        <v>794</v>
      </c>
      <c r="K233" s="482" t="s">
        <v>794</v>
      </c>
      <c r="L233" s="482" t="s">
        <v>794</v>
      </c>
      <c r="M233" s="68" t="s">
        <v>294</v>
      </c>
      <c r="N233" s="68">
        <v>20.032760620000001</v>
      </c>
      <c r="O233" s="68">
        <v>93.372978209999999</v>
      </c>
      <c r="P233" s="68" t="s">
        <v>795</v>
      </c>
      <c r="R233" s="490"/>
      <c r="S233" s="491"/>
      <c r="T233" s="101"/>
      <c r="U233" s="488"/>
      <c r="V233" s="68" t="s">
        <v>816</v>
      </c>
      <c r="W233" s="482"/>
    </row>
    <row r="234" spans="1:23" s="68" customFormat="1" ht="14.25" customHeight="1">
      <c r="A234" s="400" t="s">
        <v>2648</v>
      </c>
      <c r="B234" s="397" t="s">
        <v>399</v>
      </c>
      <c r="C234" s="397" t="s">
        <v>400</v>
      </c>
      <c r="D234" s="431" t="s">
        <v>2712</v>
      </c>
      <c r="E234" s="68" t="s">
        <v>1349</v>
      </c>
      <c r="F234" s="482"/>
      <c r="H234" s="68" t="s">
        <v>40</v>
      </c>
      <c r="J234" s="68" t="s">
        <v>42</v>
      </c>
      <c r="K234" s="482" t="s">
        <v>42</v>
      </c>
      <c r="L234" s="482" t="s">
        <v>790</v>
      </c>
      <c r="M234" s="68" t="s">
        <v>791</v>
      </c>
      <c r="N234" s="68">
        <v>20.037655000000001</v>
      </c>
      <c r="O234" s="68">
        <v>93.370037999999994</v>
      </c>
      <c r="P234" s="396" t="s">
        <v>757</v>
      </c>
      <c r="Q234" s="68" t="s">
        <v>776</v>
      </c>
      <c r="R234" s="486">
        <v>655</v>
      </c>
      <c r="S234" s="487">
        <v>2690</v>
      </c>
      <c r="T234" s="101"/>
      <c r="U234" s="97"/>
      <c r="V234" s="68" t="s">
        <v>400</v>
      </c>
      <c r="W234" s="396"/>
    </row>
    <row r="235" spans="1:23" s="68" customFormat="1" ht="14.25" customHeight="1">
      <c r="A235" s="487" t="s">
        <v>2648</v>
      </c>
      <c r="B235" s="484" t="s">
        <v>399</v>
      </c>
      <c r="C235" s="484" t="s">
        <v>821</v>
      </c>
      <c r="D235" s="431" t="s">
        <v>1656</v>
      </c>
      <c r="E235" s="68">
        <v>197378</v>
      </c>
      <c r="F235" s="484"/>
      <c r="J235" s="68" t="s">
        <v>794</v>
      </c>
      <c r="K235" s="482" t="s">
        <v>794</v>
      </c>
      <c r="L235" s="482" t="s">
        <v>794</v>
      </c>
      <c r="M235" s="68" t="s">
        <v>294</v>
      </c>
      <c r="N235" s="68">
        <v>20.061309810000001</v>
      </c>
      <c r="O235" s="482">
        <v>93.540641780000001</v>
      </c>
      <c r="P235" s="396" t="s">
        <v>795</v>
      </c>
      <c r="R235" s="490"/>
      <c r="S235" s="491"/>
      <c r="T235" s="101"/>
      <c r="U235" s="488"/>
      <c r="V235" s="68" t="s">
        <v>821</v>
      </c>
      <c r="W235" s="482"/>
    </row>
    <row r="236" spans="1:23" s="68" customFormat="1" ht="14.25" customHeight="1">
      <c r="A236" s="400" t="s">
        <v>2648</v>
      </c>
      <c r="B236" s="397" t="s">
        <v>399</v>
      </c>
      <c r="C236" s="397" t="s">
        <v>834</v>
      </c>
      <c r="D236" s="431" t="s">
        <v>1656</v>
      </c>
      <c r="E236" s="68">
        <v>197280</v>
      </c>
      <c r="J236" s="68" t="s">
        <v>794</v>
      </c>
      <c r="K236" s="482" t="s">
        <v>794</v>
      </c>
      <c r="L236" s="482" t="s">
        <v>794</v>
      </c>
      <c r="M236" s="68" t="s">
        <v>294</v>
      </c>
      <c r="N236" s="68">
        <v>20.12</v>
      </c>
      <c r="O236" s="68">
        <v>93.34</v>
      </c>
      <c r="P236" s="482" t="s">
        <v>795</v>
      </c>
      <c r="R236" s="490"/>
      <c r="S236" s="491"/>
      <c r="T236" s="101"/>
      <c r="U236" s="97"/>
      <c r="V236" s="68" t="s">
        <v>834</v>
      </c>
      <c r="W236" s="396"/>
    </row>
    <row r="237" spans="1:23" s="68" customFormat="1" ht="14.25" customHeight="1">
      <c r="A237" s="400" t="s">
        <v>2648</v>
      </c>
      <c r="B237" s="397" t="s">
        <v>399</v>
      </c>
      <c r="C237" s="397" t="s">
        <v>829</v>
      </c>
      <c r="D237" s="431" t="s">
        <v>1656</v>
      </c>
      <c r="E237" s="68">
        <v>197366</v>
      </c>
      <c r="F237" s="484"/>
      <c r="J237" s="68" t="s">
        <v>794</v>
      </c>
      <c r="K237" s="482" t="s">
        <v>794</v>
      </c>
      <c r="L237" s="482" t="s">
        <v>794</v>
      </c>
      <c r="M237" s="68" t="s">
        <v>294</v>
      </c>
      <c r="N237" s="396">
        <v>20.084</v>
      </c>
      <c r="O237" s="68">
        <v>93.483999999999995</v>
      </c>
      <c r="P237" s="482" t="s">
        <v>795</v>
      </c>
      <c r="R237" s="490"/>
      <c r="S237" s="491"/>
      <c r="T237" s="101"/>
      <c r="U237" s="97"/>
      <c r="V237" s="68" t="s">
        <v>829</v>
      </c>
      <c r="W237" s="396"/>
    </row>
    <row r="238" spans="1:23" s="68" customFormat="1" ht="14.25" customHeight="1">
      <c r="A238" s="487" t="s">
        <v>2648</v>
      </c>
      <c r="B238" s="484" t="s">
        <v>402</v>
      </c>
      <c r="C238" s="484" t="s">
        <v>2796</v>
      </c>
      <c r="D238" s="431"/>
      <c r="E238" s="484">
        <v>196310</v>
      </c>
      <c r="J238" s="68" t="s">
        <v>2652</v>
      </c>
      <c r="K238" s="482" t="s">
        <v>2622</v>
      </c>
      <c r="L238" s="482" t="s">
        <v>2622</v>
      </c>
      <c r="M238" s="68" t="s">
        <v>2624</v>
      </c>
      <c r="N238" s="68">
        <v>20.61741065979</v>
      </c>
      <c r="O238" s="68">
        <v>92.932502746582003</v>
      </c>
      <c r="P238" s="68" t="s">
        <v>1972</v>
      </c>
      <c r="R238" s="486"/>
      <c r="S238" s="400"/>
      <c r="T238" s="101"/>
      <c r="U238" s="488"/>
      <c r="V238" s="68" t="s">
        <v>2542</v>
      </c>
      <c r="W238" s="482"/>
    </row>
    <row r="239" spans="1:23" s="68" customFormat="1" ht="14.25" customHeight="1">
      <c r="A239" s="400" t="s">
        <v>2648</v>
      </c>
      <c r="B239" s="397" t="s">
        <v>402</v>
      </c>
      <c r="C239" s="397" t="s">
        <v>411</v>
      </c>
      <c r="D239" s="431" t="s">
        <v>1656</v>
      </c>
      <c r="E239" s="68">
        <v>197558</v>
      </c>
      <c r="F239" s="482"/>
      <c r="J239" s="68" t="s">
        <v>794</v>
      </c>
      <c r="K239" s="482" t="s">
        <v>794</v>
      </c>
      <c r="L239" s="482" t="s">
        <v>794</v>
      </c>
      <c r="M239" s="68" t="s">
        <v>791</v>
      </c>
      <c r="N239" s="68">
        <v>20.099340439999999</v>
      </c>
      <c r="O239" s="68">
        <v>92.989143369999994</v>
      </c>
      <c r="P239" s="68" t="s">
        <v>795</v>
      </c>
      <c r="Q239" s="68" t="s">
        <v>776</v>
      </c>
      <c r="R239" s="490"/>
      <c r="S239" s="491"/>
      <c r="T239" s="101"/>
      <c r="U239" s="97"/>
      <c r="W239" s="396"/>
    </row>
    <row r="240" spans="1:23" s="68" customFormat="1" ht="14.25" customHeight="1">
      <c r="A240" s="400" t="s">
        <v>2648</v>
      </c>
      <c r="B240" s="397" t="s">
        <v>402</v>
      </c>
      <c r="C240" s="397" t="s">
        <v>412</v>
      </c>
      <c r="D240" s="431" t="s">
        <v>2712</v>
      </c>
      <c r="E240" s="396" t="s">
        <v>1355</v>
      </c>
      <c r="F240" s="68" t="s">
        <v>831</v>
      </c>
      <c r="G240" s="68" t="s">
        <v>532</v>
      </c>
      <c r="H240" s="68" t="s">
        <v>40</v>
      </c>
      <c r="J240" s="68" t="s">
        <v>42</v>
      </c>
      <c r="K240" s="484" t="s">
        <v>42</v>
      </c>
      <c r="L240" s="484" t="s">
        <v>790</v>
      </c>
      <c r="M240" s="68" t="s">
        <v>791</v>
      </c>
      <c r="N240" s="68">
        <v>20.108101999999999</v>
      </c>
      <c r="O240" s="68">
        <v>92.985095000000001</v>
      </c>
      <c r="P240" s="482" t="s">
        <v>757</v>
      </c>
      <c r="Q240" s="68" t="s">
        <v>776</v>
      </c>
      <c r="R240" s="486">
        <v>1244</v>
      </c>
      <c r="S240" s="487">
        <v>4757</v>
      </c>
      <c r="T240" s="101"/>
      <c r="U240" s="97"/>
      <c r="V240" s="482" t="s">
        <v>833</v>
      </c>
      <c r="W240" s="396"/>
    </row>
    <row r="241" spans="1:23" s="68" customFormat="1" ht="14.25" customHeight="1">
      <c r="A241" s="400" t="s">
        <v>2648</v>
      </c>
      <c r="B241" s="397" t="s">
        <v>402</v>
      </c>
      <c r="C241" s="397" t="s">
        <v>2541</v>
      </c>
      <c r="D241" s="431"/>
      <c r="E241" s="484">
        <v>220611</v>
      </c>
      <c r="J241" s="68" t="s">
        <v>2652</v>
      </c>
      <c r="K241" s="68" t="s">
        <v>2622</v>
      </c>
      <c r="L241" s="482" t="s">
        <v>2622</v>
      </c>
      <c r="M241" s="68" t="s">
        <v>2624</v>
      </c>
      <c r="N241" s="482">
        <v>0</v>
      </c>
      <c r="O241" s="482">
        <v>0</v>
      </c>
      <c r="P241" s="482" t="s">
        <v>1972</v>
      </c>
      <c r="R241" s="486"/>
      <c r="S241" s="487"/>
      <c r="T241" s="101"/>
      <c r="U241" s="97"/>
      <c r="V241" s="482"/>
      <c r="W241" s="396"/>
    </row>
    <row r="242" spans="1:23" s="68" customFormat="1" ht="14.25" customHeight="1">
      <c r="A242" s="400" t="s">
        <v>2648</v>
      </c>
      <c r="B242" s="397" t="s">
        <v>402</v>
      </c>
      <c r="C242" s="397" t="s">
        <v>855</v>
      </c>
      <c r="D242" s="431" t="s">
        <v>2712</v>
      </c>
      <c r="E242" s="68" t="s">
        <v>1367</v>
      </c>
      <c r="F242" s="68" t="s">
        <v>1686</v>
      </c>
      <c r="G242" s="68" t="s">
        <v>1851</v>
      </c>
      <c r="J242" s="68" t="s">
        <v>794</v>
      </c>
      <c r="K242" s="484" t="s">
        <v>794</v>
      </c>
      <c r="L242" s="484" t="s">
        <v>817</v>
      </c>
      <c r="M242" s="68" t="s">
        <v>294</v>
      </c>
      <c r="N242" s="68">
        <v>20.173468</v>
      </c>
      <c r="O242" s="68">
        <v>93.067891000000003</v>
      </c>
      <c r="P242" s="482" t="s">
        <v>795</v>
      </c>
      <c r="R242" s="486">
        <v>21</v>
      </c>
      <c r="S242" s="487">
        <v>122</v>
      </c>
      <c r="T242" s="101"/>
      <c r="U242" s="97" t="s">
        <v>856</v>
      </c>
      <c r="V242" s="68" t="s">
        <v>857</v>
      </c>
      <c r="W242" s="396"/>
    </row>
    <row r="243" spans="1:23" s="68" customFormat="1" ht="14.25" customHeight="1">
      <c r="A243" s="490" t="s">
        <v>2648</v>
      </c>
      <c r="B243" s="490" t="s">
        <v>402</v>
      </c>
      <c r="C243" s="491" t="s">
        <v>2774</v>
      </c>
      <c r="D243" s="485"/>
      <c r="E243" s="482" t="s">
        <v>2795</v>
      </c>
      <c r="F243" s="482"/>
      <c r="G243" s="482"/>
      <c r="H243" s="482"/>
      <c r="I243" s="482"/>
      <c r="J243" s="68" t="s">
        <v>2652</v>
      </c>
      <c r="K243" s="482" t="s">
        <v>2622</v>
      </c>
      <c r="L243" s="482" t="s">
        <v>2622</v>
      </c>
      <c r="N243" s="482"/>
      <c r="O243" s="482"/>
      <c r="P243" s="396" t="s">
        <v>1972</v>
      </c>
      <c r="R243" s="494"/>
      <c r="S243" s="487"/>
      <c r="T243" s="101">
        <v>43591</v>
      </c>
      <c r="U243" s="494"/>
      <c r="V243" s="396"/>
      <c r="W243" s="486"/>
    </row>
    <row r="244" spans="1:23" s="68" customFormat="1" ht="14.25" customHeight="1">
      <c r="A244" s="400" t="s">
        <v>2648</v>
      </c>
      <c r="B244" s="490" t="s">
        <v>402</v>
      </c>
      <c r="C244" s="491" t="s">
        <v>3154</v>
      </c>
      <c r="D244" s="485"/>
      <c r="E244" s="68">
        <v>197542</v>
      </c>
      <c r="F244" s="68" t="s">
        <v>521</v>
      </c>
      <c r="J244" s="68" t="s">
        <v>794</v>
      </c>
      <c r="K244" s="482" t="s">
        <v>794</v>
      </c>
      <c r="L244" s="482" t="s">
        <v>794</v>
      </c>
      <c r="N244" s="68">
        <v>92.969009399414105</v>
      </c>
      <c r="O244" s="68">
        <v>20.014240264892599</v>
      </c>
      <c r="P244" s="396"/>
      <c r="Q244" s="68" t="s">
        <v>3163</v>
      </c>
      <c r="R244" s="494"/>
      <c r="S244" s="400"/>
      <c r="T244" s="101">
        <v>43935</v>
      </c>
      <c r="U244" s="494"/>
      <c r="W244" s="486"/>
    </row>
    <row r="245" spans="1:23" s="68" customFormat="1" ht="14.25" customHeight="1">
      <c r="A245" s="400" t="s">
        <v>2648</v>
      </c>
      <c r="B245" s="484" t="s">
        <v>402</v>
      </c>
      <c r="C245" s="484" t="s">
        <v>818</v>
      </c>
      <c r="D245" s="431" t="s">
        <v>1656</v>
      </c>
      <c r="E245" s="482">
        <v>197486</v>
      </c>
      <c r="F245" s="482"/>
      <c r="G245" s="482"/>
      <c r="H245" s="482"/>
      <c r="I245" s="482"/>
      <c r="J245" s="68" t="s">
        <v>794</v>
      </c>
      <c r="K245" s="484" t="s">
        <v>794</v>
      </c>
      <c r="L245" s="484" t="s">
        <v>794</v>
      </c>
      <c r="M245" s="482" t="s">
        <v>819</v>
      </c>
      <c r="N245" s="482">
        <v>20.05117035</v>
      </c>
      <c r="O245" s="482">
        <v>93.040992739999993</v>
      </c>
      <c r="P245" s="68" t="s">
        <v>795</v>
      </c>
      <c r="Q245" s="482"/>
      <c r="R245" s="486"/>
      <c r="S245" s="487"/>
      <c r="T245" s="506"/>
      <c r="U245" s="488"/>
      <c r="V245" s="482" t="s">
        <v>818</v>
      </c>
      <c r="W245" s="396"/>
    </row>
    <row r="246" spans="1:23" s="68" customFormat="1" ht="14.25" customHeight="1">
      <c r="A246" s="400" t="s">
        <v>2648</v>
      </c>
      <c r="B246" s="397" t="s">
        <v>402</v>
      </c>
      <c r="C246" s="397" t="s">
        <v>820</v>
      </c>
      <c r="D246" s="431" t="s">
        <v>1656</v>
      </c>
      <c r="E246" s="396">
        <v>197479</v>
      </c>
      <c r="F246" s="484"/>
      <c r="G246" s="396"/>
      <c r="H246" s="396"/>
      <c r="I246" s="396"/>
      <c r="J246" s="68" t="s">
        <v>794</v>
      </c>
      <c r="K246" s="484" t="s">
        <v>794</v>
      </c>
      <c r="L246" s="484" t="s">
        <v>794</v>
      </c>
      <c r="M246" s="68" t="s">
        <v>294</v>
      </c>
      <c r="N246" s="396">
        <v>20.05978966</v>
      </c>
      <c r="O246" s="482">
        <v>93.034988400000003</v>
      </c>
      <c r="P246" s="396" t="s">
        <v>795</v>
      </c>
      <c r="R246" s="486"/>
      <c r="S246" s="487"/>
      <c r="T246" s="101"/>
      <c r="U246" s="401"/>
      <c r="V246" s="482" t="s">
        <v>820</v>
      </c>
      <c r="W246" s="396"/>
    </row>
    <row r="247" spans="1:23" s="68" customFormat="1" ht="14.25" customHeight="1">
      <c r="A247" s="490" t="s">
        <v>2648</v>
      </c>
      <c r="B247" s="490" t="s">
        <v>402</v>
      </c>
      <c r="C247" s="491" t="s">
        <v>2773</v>
      </c>
      <c r="D247" s="485"/>
      <c r="E247" s="68">
        <v>197470</v>
      </c>
      <c r="F247" s="396"/>
      <c r="J247" s="68" t="s">
        <v>2652</v>
      </c>
      <c r="K247" s="482" t="s">
        <v>2622</v>
      </c>
      <c r="L247" s="482" t="s">
        <v>2622</v>
      </c>
      <c r="N247" s="68">
        <v>20.343349456787099</v>
      </c>
      <c r="O247" s="482">
        <v>93.121322631835895</v>
      </c>
      <c r="P247" s="68" t="s">
        <v>1972</v>
      </c>
      <c r="R247" s="494"/>
      <c r="S247" s="400"/>
      <c r="T247" s="101">
        <v>43591</v>
      </c>
      <c r="U247" s="494"/>
      <c r="W247" s="486"/>
    </row>
    <row r="248" spans="1:23" s="68" customFormat="1" ht="14.25" customHeight="1">
      <c r="A248" s="400" t="s">
        <v>2648</v>
      </c>
      <c r="B248" s="484" t="s">
        <v>402</v>
      </c>
      <c r="C248" s="484" t="s">
        <v>2535</v>
      </c>
      <c r="D248" s="431"/>
      <c r="E248" s="68">
        <v>197561</v>
      </c>
      <c r="F248" s="482" t="s">
        <v>2535</v>
      </c>
      <c r="J248" s="68" t="s">
        <v>794</v>
      </c>
      <c r="K248" s="482" t="s">
        <v>794</v>
      </c>
      <c r="L248" s="482" t="s">
        <v>794</v>
      </c>
      <c r="N248" s="68">
        <v>20.072999954223601</v>
      </c>
      <c r="O248" s="68">
        <v>92.924957275390597</v>
      </c>
      <c r="P248" s="68" t="s">
        <v>795</v>
      </c>
      <c r="R248" s="490"/>
      <c r="S248" s="491"/>
      <c r="T248" s="101"/>
      <c r="U248" s="97"/>
      <c r="W248" s="482"/>
    </row>
    <row r="249" spans="1:23" s="68" customFormat="1" ht="14.25" customHeight="1">
      <c r="A249" s="400" t="s">
        <v>2648</v>
      </c>
      <c r="B249" s="484" t="s">
        <v>402</v>
      </c>
      <c r="C249" s="484" t="s">
        <v>2561</v>
      </c>
      <c r="D249" s="431" t="s">
        <v>1656</v>
      </c>
      <c r="E249" s="396">
        <v>197461</v>
      </c>
      <c r="F249" s="482"/>
      <c r="G249" s="396"/>
      <c r="H249" s="396"/>
      <c r="I249" s="396"/>
      <c r="J249" s="68" t="s">
        <v>794</v>
      </c>
      <c r="K249" s="482" t="s">
        <v>794</v>
      </c>
      <c r="L249" s="163" t="s">
        <v>794</v>
      </c>
      <c r="M249" s="68" t="s">
        <v>294</v>
      </c>
      <c r="N249" s="482">
        <v>20.300760269165</v>
      </c>
      <c r="O249" s="482">
        <v>93.0572509765625</v>
      </c>
      <c r="P249" s="482" t="s">
        <v>795</v>
      </c>
      <c r="R249" s="490"/>
      <c r="S249" s="491"/>
      <c r="T249" s="101"/>
      <c r="U249" s="488"/>
      <c r="V249" s="396"/>
      <c r="W249" s="482"/>
    </row>
    <row r="250" spans="1:23" s="68" customFormat="1" ht="14.25" customHeight="1">
      <c r="A250" s="400" t="s">
        <v>2648</v>
      </c>
      <c r="B250" s="490" t="s">
        <v>402</v>
      </c>
      <c r="C250" s="491" t="s">
        <v>3155</v>
      </c>
      <c r="D250" s="485"/>
      <c r="E250" s="68">
        <v>197568</v>
      </c>
      <c r="F250" s="482" t="s">
        <v>2535</v>
      </c>
      <c r="J250" s="68" t="s">
        <v>794</v>
      </c>
      <c r="K250" s="482" t="s">
        <v>794</v>
      </c>
      <c r="L250" s="482" t="s">
        <v>794</v>
      </c>
      <c r="N250" s="68">
        <v>92.967132568359403</v>
      </c>
      <c r="O250" s="482">
        <v>19.9705104827881</v>
      </c>
      <c r="P250" s="482"/>
      <c r="Q250" s="68" t="s">
        <v>3163</v>
      </c>
      <c r="R250" s="494"/>
      <c r="S250" s="400"/>
      <c r="T250" s="101">
        <v>43935</v>
      </c>
      <c r="U250" s="494"/>
      <c r="W250" s="486"/>
    </row>
    <row r="251" spans="1:23" s="68" customFormat="1" ht="14.25" customHeight="1">
      <c r="A251" s="400" t="s">
        <v>2648</v>
      </c>
      <c r="B251" s="397" t="s">
        <v>402</v>
      </c>
      <c r="C251" s="397" t="s">
        <v>2553</v>
      </c>
      <c r="D251" s="431" t="s">
        <v>1656</v>
      </c>
      <c r="E251" s="68">
        <v>197441</v>
      </c>
      <c r="F251" s="482"/>
      <c r="J251" s="68" t="s">
        <v>794</v>
      </c>
      <c r="K251" s="482" t="s">
        <v>794</v>
      </c>
      <c r="L251" s="163" t="s">
        <v>794</v>
      </c>
      <c r="M251" s="68" t="s">
        <v>294</v>
      </c>
      <c r="N251" s="482">
        <v>20.3690795898438</v>
      </c>
      <c r="O251" s="482">
        <v>93.165313720703097</v>
      </c>
      <c r="P251" s="68" t="s">
        <v>795</v>
      </c>
      <c r="R251" s="486"/>
      <c r="S251" s="487"/>
      <c r="T251" s="101"/>
      <c r="U251" s="97"/>
      <c r="W251" s="482"/>
    </row>
    <row r="252" spans="1:23" s="68" customFormat="1" ht="14.25" customHeight="1">
      <c r="A252" s="400" t="s">
        <v>2648</v>
      </c>
      <c r="B252" s="397" t="s">
        <v>402</v>
      </c>
      <c r="C252" s="397" t="s">
        <v>2909</v>
      </c>
      <c r="D252" s="431"/>
      <c r="E252" s="68">
        <v>217985</v>
      </c>
      <c r="F252" s="68" t="s">
        <v>521</v>
      </c>
      <c r="J252" s="68" t="s">
        <v>794</v>
      </c>
      <c r="K252" s="68" t="s">
        <v>794</v>
      </c>
      <c r="L252" s="482" t="s">
        <v>794</v>
      </c>
      <c r="N252" s="68">
        <v>19.863630294799801</v>
      </c>
      <c r="O252" s="482">
        <v>93.030677795410199</v>
      </c>
      <c r="P252" s="482" t="s">
        <v>795</v>
      </c>
      <c r="R252" s="490"/>
      <c r="S252" s="491"/>
      <c r="T252" s="101"/>
      <c r="U252" s="97"/>
      <c r="W252" s="396"/>
    </row>
    <row r="253" spans="1:23" s="68" customFormat="1" ht="14.25" customHeight="1">
      <c r="A253" s="400" t="s">
        <v>2648</v>
      </c>
      <c r="B253" s="397" t="s">
        <v>402</v>
      </c>
      <c r="C253" s="397" t="s">
        <v>2540</v>
      </c>
      <c r="D253" s="431"/>
      <c r="E253" s="68">
        <v>197546</v>
      </c>
      <c r="F253" s="68" t="s">
        <v>521</v>
      </c>
      <c r="J253" s="68" t="s">
        <v>794</v>
      </c>
      <c r="K253" s="482" t="s">
        <v>794</v>
      </c>
      <c r="L253" s="482" t="s">
        <v>794</v>
      </c>
      <c r="N253" s="68">
        <v>19.986650466918899</v>
      </c>
      <c r="O253" s="68">
        <v>92.986160278320298</v>
      </c>
      <c r="P253" s="482" t="s">
        <v>795</v>
      </c>
      <c r="Q253" s="396"/>
      <c r="R253" s="486"/>
      <c r="S253" s="487"/>
      <c r="T253" s="412"/>
      <c r="U253" s="97"/>
      <c r="W253" s="396"/>
    </row>
    <row r="254" spans="1:23" s="68" customFormat="1" ht="14.25" customHeight="1">
      <c r="A254" s="400" t="s">
        <v>2648</v>
      </c>
      <c r="B254" s="490" t="s">
        <v>402</v>
      </c>
      <c r="C254" s="491" t="s">
        <v>3164</v>
      </c>
      <c r="D254" s="485"/>
      <c r="E254" s="68">
        <v>217987</v>
      </c>
      <c r="F254" s="482" t="s">
        <v>2535</v>
      </c>
      <c r="J254" s="68" t="s">
        <v>794</v>
      </c>
      <c r="K254" s="482" t="s">
        <v>794</v>
      </c>
      <c r="L254" s="482" t="s">
        <v>794</v>
      </c>
      <c r="N254" s="68">
        <v>92.943733215332003</v>
      </c>
      <c r="O254" s="68">
        <v>20.0130805969238</v>
      </c>
      <c r="P254" s="482"/>
      <c r="Q254" s="68" t="s">
        <v>3163</v>
      </c>
      <c r="R254" s="494"/>
      <c r="S254" s="487"/>
      <c r="T254" s="101">
        <v>43935</v>
      </c>
      <c r="U254" s="494"/>
      <c r="W254" s="486"/>
    </row>
    <row r="255" spans="1:23" s="68" customFormat="1" ht="14.25" customHeight="1">
      <c r="A255" s="400" t="s">
        <v>2648</v>
      </c>
      <c r="B255" s="397" t="s">
        <v>402</v>
      </c>
      <c r="C255" s="397" t="s">
        <v>532</v>
      </c>
      <c r="D255" s="431" t="s">
        <v>1656</v>
      </c>
      <c r="E255" s="396">
        <v>197537</v>
      </c>
      <c r="F255" s="482" t="s">
        <v>831</v>
      </c>
      <c r="J255" s="68" t="s">
        <v>794</v>
      </c>
      <c r="K255" s="484" t="s">
        <v>794</v>
      </c>
      <c r="L255" s="484" t="s">
        <v>794</v>
      </c>
      <c r="N255" s="68">
        <v>20.109220499999999</v>
      </c>
      <c r="O255" s="68">
        <v>92.995483399999998</v>
      </c>
      <c r="P255" s="482" t="s">
        <v>795</v>
      </c>
      <c r="R255" s="486"/>
      <c r="S255" s="487"/>
      <c r="T255" s="101"/>
      <c r="U255" s="97"/>
      <c r="V255" s="68" t="s">
        <v>532</v>
      </c>
      <c r="W255" s="396"/>
    </row>
    <row r="256" spans="1:23" s="68" customFormat="1" ht="14.25" customHeight="1">
      <c r="A256" s="400" t="s">
        <v>2648</v>
      </c>
      <c r="B256" s="397" t="s">
        <v>402</v>
      </c>
      <c r="C256" s="397" t="s">
        <v>410</v>
      </c>
      <c r="D256" s="431" t="s">
        <v>2712</v>
      </c>
      <c r="E256" s="68" t="s">
        <v>1354</v>
      </c>
      <c r="F256" s="68" t="s">
        <v>831</v>
      </c>
      <c r="G256" s="68" t="s">
        <v>410</v>
      </c>
      <c r="H256" s="68" t="s">
        <v>40</v>
      </c>
      <c r="J256" s="68" t="s">
        <v>42</v>
      </c>
      <c r="K256" s="484" t="s">
        <v>42</v>
      </c>
      <c r="L256" s="484" t="s">
        <v>790</v>
      </c>
      <c r="M256" s="68" t="s">
        <v>791</v>
      </c>
      <c r="N256" s="68">
        <v>20.090183</v>
      </c>
      <c r="O256" s="482">
        <v>93.010368999999997</v>
      </c>
      <c r="P256" s="482" t="s">
        <v>757</v>
      </c>
      <c r="Q256" s="68" t="s">
        <v>776</v>
      </c>
      <c r="R256" s="486">
        <v>1320</v>
      </c>
      <c r="S256" s="487">
        <v>6116</v>
      </c>
      <c r="T256" s="101"/>
      <c r="U256" s="97"/>
      <c r="V256" s="68" t="s">
        <v>410</v>
      </c>
      <c r="W256" s="396"/>
    </row>
    <row r="257" spans="1:23" s="68" customFormat="1" ht="14.25" customHeight="1">
      <c r="A257" s="400" t="s">
        <v>2648</v>
      </c>
      <c r="B257" s="397" t="s">
        <v>402</v>
      </c>
      <c r="C257" s="397" t="s">
        <v>2794</v>
      </c>
      <c r="D257" s="431"/>
      <c r="E257" s="396">
        <v>197547</v>
      </c>
      <c r="J257" s="68" t="s">
        <v>794</v>
      </c>
      <c r="K257" s="68" t="s">
        <v>794</v>
      </c>
      <c r="L257" s="482" t="s">
        <v>794</v>
      </c>
      <c r="N257" s="68">
        <v>19.9233303070068</v>
      </c>
      <c r="O257" s="68">
        <v>93.018592834472699</v>
      </c>
      <c r="P257" s="482" t="s">
        <v>795</v>
      </c>
      <c r="R257" s="490"/>
      <c r="S257" s="491"/>
      <c r="T257" s="101"/>
      <c r="U257" s="97"/>
      <c r="V257" s="484" t="s">
        <v>2539</v>
      </c>
      <c r="W257" s="396"/>
    </row>
    <row r="258" spans="1:23" s="68" customFormat="1" ht="14.25" customHeight="1">
      <c r="A258" s="400" t="s">
        <v>2648</v>
      </c>
      <c r="B258" s="397" t="s">
        <v>402</v>
      </c>
      <c r="C258" s="397" t="s">
        <v>806</v>
      </c>
      <c r="D258" s="431" t="s">
        <v>1656</v>
      </c>
      <c r="E258" s="482">
        <v>197566</v>
      </c>
      <c r="F258" s="482"/>
      <c r="G258" s="482"/>
      <c r="H258" s="482"/>
      <c r="I258" s="482"/>
      <c r="J258" s="68" t="s">
        <v>794</v>
      </c>
      <c r="K258" s="482" t="s">
        <v>794</v>
      </c>
      <c r="L258" s="484" t="s">
        <v>794</v>
      </c>
      <c r="N258" s="68">
        <v>19.94882965</v>
      </c>
      <c r="O258" s="68">
        <v>92.978782649999999</v>
      </c>
      <c r="P258" s="482" t="s">
        <v>795</v>
      </c>
      <c r="R258" s="486"/>
      <c r="S258" s="487"/>
      <c r="T258" s="101"/>
      <c r="U258" s="97"/>
      <c r="V258" s="68" t="s">
        <v>806</v>
      </c>
      <c r="W258" s="396"/>
    </row>
    <row r="259" spans="1:23" s="68" customFormat="1" ht="14.25" customHeight="1">
      <c r="A259" s="400" t="s">
        <v>2648</v>
      </c>
      <c r="B259" s="484" t="s">
        <v>402</v>
      </c>
      <c r="C259" s="484" t="s">
        <v>2552</v>
      </c>
      <c r="D259" s="485" t="s">
        <v>1656</v>
      </c>
      <c r="E259" s="482">
        <v>197450</v>
      </c>
      <c r="F259" s="482"/>
      <c r="G259" s="482"/>
      <c r="H259" s="482"/>
      <c r="I259" s="482"/>
      <c r="J259" s="68" t="s">
        <v>794</v>
      </c>
      <c r="K259" s="482" t="s">
        <v>794</v>
      </c>
      <c r="L259" s="163" t="s">
        <v>794</v>
      </c>
      <c r="M259" s="68" t="s">
        <v>294</v>
      </c>
      <c r="N259" s="482">
        <v>20.35671043396</v>
      </c>
      <c r="O259" s="482">
        <v>93.208602905273395</v>
      </c>
      <c r="P259" s="482" t="s">
        <v>795</v>
      </c>
      <c r="R259" s="484"/>
      <c r="S259" s="484"/>
      <c r="T259" s="101"/>
      <c r="U259" s="488"/>
      <c r="W259" s="482"/>
    </row>
    <row r="260" spans="1:23" s="68" customFormat="1" ht="14.25" customHeight="1">
      <c r="A260" s="487" t="s">
        <v>2648</v>
      </c>
      <c r="B260" s="490" t="s">
        <v>402</v>
      </c>
      <c r="C260" s="491" t="s">
        <v>2939</v>
      </c>
      <c r="D260" s="485"/>
      <c r="E260" s="482">
        <v>197570</v>
      </c>
      <c r="F260" s="482" t="s">
        <v>2693</v>
      </c>
      <c r="G260" s="482"/>
      <c r="H260" s="482"/>
      <c r="I260" s="482"/>
      <c r="J260" s="68" t="s">
        <v>794</v>
      </c>
      <c r="K260" s="482" t="s">
        <v>794</v>
      </c>
      <c r="L260" s="482" t="s">
        <v>794</v>
      </c>
      <c r="M260" s="482"/>
      <c r="N260" s="482">
        <v>20.074710845947301</v>
      </c>
      <c r="O260" s="482">
        <v>92.949638366699205</v>
      </c>
      <c r="P260" s="482" t="s">
        <v>795</v>
      </c>
      <c r="Q260" s="482" t="s">
        <v>2961</v>
      </c>
      <c r="R260" s="494"/>
      <c r="S260" s="487"/>
      <c r="T260" s="506">
        <v>43768</v>
      </c>
      <c r="U260" s="494"/>
      <c r="V260" s="482"/>
      <c r="W260" s="486"/>
    </row>
    <row r="261" spans="1:23" s="68" customFormat="1" ht="14.25" customHeight="1">
      <c r="A261" s="487" t="s">
        <v>2648</v>
      </c>
      <c r="B261" s="484" t="s">
        <v>402</v>
      </c>
      <c r="C261" s="484" t="s">
        <v>2562</v>
      </c>
      <c r="D261" s="431" t="s">
        <v>1656</v>
      </c>
      <c r="E261" s="482">
        <v>197463</v>
      </c>
      <c r="F261" s="482"/>
      <c r="G261" s="482"/>
      <c r="H261" s="482"/>
      <c r="I261" s="482"/>
      <c r="J261" s="68" t="s">
        <v>794</v>
      </c>
      <c r="K261" s="482" t="s">
        <v>794</v>
      </c>
      <c r="L261" s="163" t="s">
        <v>794</v>
      </c>
      <c r="M261" s="482" t="s">
        <v>294</v>
      </c>
      <c r="N261" s="482">
        <v>20.293270111083999</v>
      </c>
      <c r="O261" s="482">
        <v>93.051849365234403</v>
      </c>
      <c r="P261" s="482" t="s">
        <v>795</v>
      </c>
      <c r="Q261" s="482"/>
      <c r="R261" s="486"/>
      <c r="S261" s="487"/>
      <c r="T261" s="506"/>
      <c r="U261" s="488"/>
      <c r="V261" s="482"/>
      <c r="W261" s="482"/>
    </row>
    <row r="262" spans="1:23" s="68" customFormat="1" ht="14.25" customHeight="1">
      <c r="A262" s="487" t="s">
        <v>2648</v>
      </c>
      <c r="B262" s="484" t="s">
        <v>402</v>
      </c>
      <c r="C262" s="484" t="s">
        <v>2536</v>
      </c>
      <c r="D262" s="431"/>
      <c r="E262" s="68">
        <v>197565</v>
      </c>
      <c r="F262" s="68" t="s">
        <v>2535</v>
      </c>
      <c r="J262" s="68" t="s">
        <v>794</v>
      </c>
      <c r="K262" s="482" t="s">
        <v>794</v>
      </c>
      <c r="L262" s="482" t="s">
        <v>794</v>
      </c>
      <c r="N262" s="68">
        <v>20.005199432373001</v>
      </c>
      <c r="O262" s="482">
        <v>92.948463439941406</v>
      </c>
      <c r="P262" s="482" t="s">
        <v>795</v>
      </c>
      <c r="R262" s="490"/>
      <c r="S262" s="491"/>
      <c r="T262" s="101"/>
      <c r="U262" s="488"/>
      <c r="W262" s="482"/>
    </row>
    <row r="263" spans="1:23" s="68" customFormat="1" ht="14.25" customHeight="1">
      <c r="A263" s="400" t="s">
        <v>2648</v>
      </c>
      <c r="B263" s="397" t="s">
        <v>402</v>
      </c>
      <c r="C263" s="397" t="s">
        <v>2556</v>
      </c>
      <c r="D263" s="431" t="s">
        <v>1656</v>
      </c>
      <c r="E263" s="68">
        <v>197404</v>
      </c>
      <c r="F263" s="482"/>
      <c r="J263" s="68" t="s">
        <v>794</v>
      </c>
      <c r="K263" s="482" t="s">
        <v>794</v>
      </c>
      <c r="L263" s="163" t="s">
        <v>794</v>
      </c>
      <c r="M263" s="68" t="s">
        <v>294</v>
      </c>
      <c r="N263" s="482">
        <v>20.2700290679932</v>
      </c>
      <c r="O263" s="482">
        <v>93.058853149414105</v>
      </c>
      <c r="P263" s="68" t="s">
        <v>795</v>
      </c>
      <c r="R263" s="486"/>
      <c r="S263" s="487"/>
      <c r="T263" s="101"/>
      <c r="U263" s="97"/>
      <c r="W263" s="482"/>
    </row>
    <row r="264" spans="1:23" s="68" customFormat="1" ht="14.25" customHeight="1">
      <c r="A264" s="487" t="s">
        <v>2648</v>
      </c>
      <c r="B264" s="484" t="s">
        <v>402</v>
      </c>
      <c r="C264" s="484" t="s">
        <v>2560</v>
      </c>
      <c r="D264" s="431" t="s">
        <v>1656</v>
      </c>
      <c r="E264" s="482">
        <v>197464</v>
      </c>
      <c r="F264" s="482"/>
      <c r="G264" s="482"/>
      <c r="H264" s="482"/>
      <c r="I264" s="482"/>
      <c r="J264" s="68" t="s">
        <v>794</v>
      </c>
      <c r="K264" s="482" t="s">
        <v>794</v>
      </c>
      <c r="L264" s="163" t="s">
        <v>794</v>
      </c>
      <c r="M264" s="68" t="s">
        <v>294</v>
      </c>
      <c r="N264" s="482">
        <v>20.3108005523682</v>
      </c>
      <c r="O264" s="482">
        <v>93.042427062988295</v>
      </c>
      <c r="P264" s="482" t="s">
        <v>795</v>
      </c>
      <c r="R264" s="486"/>
      <c r="S264" s="487"/>
      <c r="T264" s="101"/>
      <c r="U264" s="488"/>
      <c r="W264" s="482"/>
    </row>
    <row r="265" spans="1:23" s="68" customFormat="1" ht="14.25" customHeight="1">
      <c r="A265" s="400" t="s">
        <v>2648</v>
      </c>
      <c r="B265" s="490" t="s">
        <v>402</v>
      </c>
      <c r="C265" s="491" t="s">
        <v>827</v>
      </c>
      <c r="D265" s="485" t="s">
        <v>1656</v>
      </c>
      <c r="E265" s="68" t="s">
        <v>1353</v>
      </c>
      <c r="F265" s="512"/>
      <c r="J265" s="68" t="s">
        <v>42</v>
      </c>
      <c r="K265" s="484" t="s">
        <v>42</v>
      </c>
      <c r="L265" s="484" t="s">
        <v>756</v>
      </c>
      <c r="M265" s="68" t="s">
        <v>791</v>
      </c>
      <c r="N265" s="68">
        <v>20.073437999999999</v>
      </c>
      <c r="O265" s="68">
        <v>93.154551999999995</v>
      </c>
      <c r="P265" s="68" t="s">
        <v>757</v>
      </c>
      <c r="R265" s="494"/>
      <c r="S265" s="400"/>
      <c r="T265" s="101"/>
      <c r="U265" s="97"/>
      <c r="W265" s="482"/>
    </row>
    <row r="266" spans="1:23" s="68" customFormat="1" ht="14.25" customHeight="1">
      <c r="A266" s="487" t="s">
        <v>2648</v>
      </c>
      <c r="B266" s="484" t="s">
        <v>402</v>
      </c>
      <c r="C266" s="484" t="s">
        <v>406</v>
      </c>
      <c r="D266" s="431" t="s">
        <v>2712</v>
      </c>
      <c r="E266" s="482" t="s">
        <v>1353</v>
      </c>
      <c r="F266" s="484" t="s">
        <v>1739</v>
      </c>
      <c r="G266" s="482" t="s">
        <v>1740</v>
      </c>
      <c r="H266" s="482" t="s">
        <v>40</v>
      </c>
      <c r="I266" s="482"/>
      <c r="J266" s="68" t="s">
        <v>42</v>
      </c>
      <c r="K266" s="484" t="s">
        <v>42</v>
      </c>
      <c r="L266" s="484" t="s">
        <v>1875</v>
      </c>
      <c r="M266" s="482" t="s">
        <v>791</v>
      </c>
      <c r="N266" s="482">
        <v>20.073437999999999</v>
      </c>
      <c r="O266" s="482">
        <v>93.154551999999995</v>
      </c>
      <c r="P266" s="482" t="s">
        <v>795</v>
      </c>
      <c r="Q266" s="482" t="s">
        <v>776</v>
      </c>
      <c r="R266" s="486">
        <v>1010</v>
      </c>
      <c r="S266" s="487">
        <v>4686</v>
      </c>
      <c r="T266" s="506"/>
      <c r="U266" s="488"/>
      <c r="V266" s="482" t="s">
        <v>406</v>
      </c>
      <c r="W266" s="482"/>
    </row>
    <row r="267" spans="1:23" s="68" customFormat="1" ht="14.25" customHeight="1">
      <c r="A267" s="400" t="s">
        <v>2648</v>
      </c>
      <c r="B267" s="397" t="s">
        <v>402</v>
      </c>
      <c r="C267" s="397" t="s">
        <v>407</v>
      </c>
      <c r="D267" s="431" t="s">
        <v>2712</v>
      </c>
      <c r="E267" s="396" t="s">
        <v>1353</v>
      </c>
      <c r="F267" s="482" t="s">
        <v>1739</v>
      </c>
      <c r="G267" s="396" t="s">
        <v>1740</v>
      </c>
      <c r="H267" s="396" t="s">
        <v>40</v>
      </c>
      <c r="J267" s="68" t="s">
        <v>42</v>
      </c>
      <c r="K267" s="484" t="s">
        <v>42</v>
      </c>
      <c r="L267" s="484" t="s">
        <v>790</v>
      </c>
      <c r="M267" s="68" t="s">
        <v>791</v>
      </c>
      <c r="N267" s="396">
        <v>20.073437999999999</v>
      </c>
      <c r="O267" s="484">
        <v>93.154551999999995</v>
      </c>
      <c r="P267" s="396" t="s">
        <v>757</v>
      </c>
      <c r="Q267" s="68" t="s">
        <v>776</v>
      </c>
      <c r="R267" s="486">
        <v>905</v>
      </c>
      <c r="S267" s="487">
        <v>4124</v>
      </c>
      <c r="T267" s="101"/>
      <c r="U267" s="401"/>
      <c r="V267" s="396" t="s">
        <v>407</v>
      </c>
      <c r="W267" s="482"/>
    </row>
    <row r="268" spans="1:23" s="68" customFormat="1" ht="14.25" customHeight="1">
      <c r="A268" s="400" t="s">
        <v>2648</v>
      </c>
      <c r="B268" s="397" t="s">
        <v>402</v>
      </c>
      <c r="C268" s="397" t="s">
        <v>2559</v>
      </c>
      <c r="D268" s="431" t="s">
        <v>1656</v>
      </c>
      <c r="E268" s="68">
        <v>197460</v>
      </c>
      <c r="J268" s="68" t="s">
        <v>794</v>
      </c>
      <c r="K268" s="482" t="s">
        <v>794</v>
      </c>
      <c r="L268" s="163" t="s">
        <v>794</v>
      </c>
      <c r="M268" s="68" t="s">
        <v>294</v>
      </c>
      <c r="N268" s="482">
        <v>20.2988796234131</v>
      </c>
      <c r="O268" s="482">
        <v>93.076553344726605</v>
      </c>
      <c r="P268" s="68" t="s">
        <v>795</v>
      </c>
      <c r="R268" s="486"/>
      <c r="S268" s="487"/>
      <c r="T268" s="101"/>
      <c r="U268" s="97"/>
      <c r="W268" s="482"/>
    </row>
    <row r="269" spans="1:23" s="68" customFormat="1" ht="14.25" customHeight="1">
      <c r="A269" s="487" t="s">
        <v>2648</v>
      </c>
      <c r="B269" s="490" t="s">
        <v>402</v>
      </c>
      <c r="C269" s="491" t="s">
        <v>3159</v>
      </c>
      <c r="D269" s="485"/>
      <c r="E269" s="68">
        <v>197541</v>
      </c>
      <c r="F269" s="482" t="s">
        <v>521</v>
      </c>
      <c r="J269" s="68" t="s">
        <v>794</v>
      </c>
      <c r="K269" s="482" t="s">
        <v>794</v>
      </c>
      <c r="L269" s="482" t="s">
        <v>794</v>
      </c>
      <c r="N269" s="68">
        <v>92.994781494140597</v>
      </c>
      <c r="O269" s="68">
        <v>19.9693508148193</v>
      </c>
      <c r="P269" s="482"/>
      <c r="Q269" s="68" t="s">
        <v>3163</v>
      </c>
      <c r="R269" s="494"/>
      <c r="S269" s="487"/>
      <c r="T269" s="101">
        <v>43935</v>
      </c>
      <c r="U269" s="494"/>
      <c r="W269" s="486"/>
    </row>
    <row r="270" spans="1:23" s="68" customFormat="1" ht="14.25" customHeight="1">
      <c r="A270" s="400" t="s">
        <v>2648</v>
      </c>
      <c r="B270" s="397" t="s">
        <v>402</v>
      </c>
      <c r="C270" s="397" t="s">
        <v>2550</v>
      </c>
      <c r="D270" s="431" t="s">
        <v>1656</v>
      </c>
      <c r="E270" s="68">
        <v>197449</v>
      </c>
      <c r="F270" s="482"/>
      <c r="J270" s="68" t="s">
        <v>794</v>
      </c>
      <c r="K270" s="68" t="s">
        <v>794</v>
      </c>
      <c r="L270" s="163" t="s">
        <v>794</v>
      </c>
      <c r="M270" s="68" t="s">
        <v>294</v>
      </c>
      <c r="N270" s="482">
        <v>20.336500167846701</v>
      </c>
      <c r="O270" s="482">
        <v>93.186721801757798</v>
      </c>
      <c r="P270" s="68" t="s">
        <v>795</v>
      </c>
      <c r="R270" s="490"/>
      <c r="S270" s="491"/>
      <c r="T270" s="101"/>
      <c r="U270" s="97"/>
      <c r="W270" s="482"/>
    </row>
    <row r="271" spans="1:23" s="68" customFormat="1" ht="14.25" customHeight="1">
      <c r="A271" s="400" t="s">
        <v>2648</v>
      </c>
      <c r="B271" s="397" t="s">
        <v>402</v>
      </c>
      <c r="C271" s="397" t="s">
        <v>831</v>
      </c>
      <c r="D271" s="431" t="s">
        <v>1656</v>
      </c>
      <c r="E271" s="68">
        <v>197531</v>
      </c>
      <c r="F271" s="482" t="s">
        <v>831</v>
      </c>
      <c r="J271" s="68" t="s">
        <v>794</v>
      </c>
      <c r="K271" s="484" t="s">
        <v>794</v>
      </c>
      <c r="L271" s="484" t="s">
        <v>794</v>
      </c>
      <c r="N271" s="68">
        <v>20.10293961</v>
      </c>
      <c r="O271" s="68">
        <v>93.000679020000007</v>
      </c>
      <c r="P271" s="68" t="s">
        <v>795</v>
      </c>
      <c r="R271" s="486"/>
      <c r="S271" s="487"/>
      <c r="T271" s="101"/>
      <c r="U271" s="97"/>
      <c r="V271" s="68" t="s">
        <v>832</v>
      </c>
      <c r="W271" s="482"/>
    </row>
    <row r="272" spans="1:23" s="68" customFormat="1" ht="14.25" customHeight="1">
      <c r="A272" s="400" t="s">
        <v>2648</v>
      </c>
      <c r="B272" s="397" t="s">
        <v>402</v>
      </c>
      <c r="C272" s="397" t="s">
        <v>824</v>
      </c>
      <c r="D272" s="431" t="s">
        <v>1656</v>
      </c>
      <c r="E272" s="396">
        <v>197430</v>
      </c>
      <c r="F272" s="484"/>
      <c r="J272" s="68" t="s">
        <v>794</v>
      </c>
      <c r="K272" s="484" t="s">
        <v>794</v>
      </c>
      <c r="L272" s="484" t="s">
        <v>794</v>
      </c>
      <c r="M272" s="68" t="s">
        <v>294</v>
      </c>
      <c r="N272" s="68">
        <v>20.065919000000001</v>
      </c>
      <c r="O272" s="482">
        <v>93.004040000000003</v>
      </c>
      <c r="P272" s="68" t="s">
        <v>795</v>
      </c>
      <c r="R272" s="486"/>
      <c r="S272" s="487"/>
      <c r="T272" s="101"/>
      <c r="U272" s="97"/>
      <c r="V272" s="68" t="s">
        <v>824</v>
      </c>
      <c r="W272" s="482"/>
    </row>
    <row r="273" spans="1:23" s="68" customFormat="1" ht="14.25" customHeight="1">
      <c r="A273" s="400" t="s">
        <v>2648</v>
      </c>
      <c r="B273" s="397" t="s">
        <v>402</v>
      </c>
      <c r="C273" s="397" t="s">
        <v>2640</v>
      </c>
      <c r="D273" s="431" t="s">
        <v>1656</v>
      </c>
      <c r="E273" s="482">
        <v>197462</v>
      </c>
      <c r="F273" s="482"/>
      <c r="G273" s="482"/>
      <c r="H273" s="482"/>
      <c r="I273" s="482"/>
      <c r="J273" s="68" t="s">
        <v>794</v>
      </c>
      <c r="K273" s="68" t="s">
        <v>794</v>
      </c>
      <c r="L273" s="163" t="s">
        <v>794</v>
      </c>
      <c r="M273" s="68" t="s">
        <v>294</v>
      </c>
      <c r="N273" s="482">
        <v>20.2935695648193</v>
      </c>
      <c r="O273" s="482">
        <v>93.0489501953125</v>
      </c>
      <c r="P273" s="68" t="s">
        <v>795</v>
      </c>
      <c r="R273" s="490"/>
      <c r="S273" s="491"/>
      <c r="T273" s="101"/>
      <c r="U273" s="97"/>
      <c r="W273" s="482"/>
    </row>
    <row r="274" spans="1:23" s="68" customFormat="1" ht="14.25" customHeight="1">
      <c r="A274" s="487" t="s">
        <v>2648</v>
      </c>
      <c r="B274" s="490" t="s">
        <v>402</v>
      </c>
      <c r="C274" s="491" t="s">
        <v>3160</v>
      </c>
      <c r="D274" s="485"/>
      <c r="E274" s="482">
        <v>197567</v>
      </c>
      <c r="F274" s="482" t="s">
        <v>3160</v>
      </c>
      <c r="G274" s="482"/>
      <c r="H274" s="482"/>
      <c r="I274" s="482"/>
      <c r="J274" s="68" t="s">
        <v>794</v>
      </c>
      <c r="K274" s="396" t="s">
        <v>794</v>
      </c>
      <c r="L274" s="482" t="s">
        <v>794</v>
      </c>
      <c r="N274" s="68">
        <v>93.005447387695298</v>
      </c>
      <c r="O274" s="68">
        <v>19.914190292358398</v>
      </c>
      <c r="P274" s="482"/>
      <c r="Q274" s="68" t="s">
        <v>3163</v>
      </c>
      <c r="R274" s="494"/>
      <c r="S274" s="487"/>
      <c r="T274" s="101">
        <v>43935</v>
      </c>
      <c r="U274" s="494"/>
      <c r="V274" s="396"/>
      <c r="W274" s="486"/>
    </row>
    <row r="275" spans="1:23" s="68" customFormat="1" ht="14.25" customHeight="1">
      <c r="A275" s="487" t="s">
        <v>2648</v>
      </c>
      <c r="B275" s="484" t="s">
        <v>402</v>
      </c>
      <c r="C275" s="484" t="s">
        <v>2554</v>
      </c>
      <c r="D275" s="485" t="s">
        <v>1656</v>
      </c>
      <c r="E275" s="396">
        <v>197442</v>
      </c>
      <c r="F275" s="482"/>
      <c r="J275" s="68" t="s">
        <v>794</v>
      </c>
      <c r="K275" s="396" t="s">
        <v>794</v>
      </c>
      <c r="L275" s="163" t="s">
        <v>794</v>
      </c>
      <c r="M275" s="68" t="s">
        <v>2639</v>
      </c>
      <c r="N275" s="482">
        <v>20.3856201171875</v>
      </c>
      <c r="O275" s="482">
        <v>93.206382751464801</v>
      </c>
      <c r="P275" s="68" t="s">
        <v>795</v>
      </c>
      <c r="R275" s="484"/>
      <c r="S275" s="484"/>
      <c r="T275" s="101"/>
      <c r="U275" s="488"/>
      <c r="W275" s="482"/>
    </row>
    <row r="276" spans="1:23" s="68" customFormat="1" ht="14.25" customHeight="1">
      <c r="A276" s="487" t="s">
        <v>2648</v>
      </c>
      <c r="B276" s="484" t="s">
        <v>402</v>
      </c>
      <c r="C276" s="484" t="s">
        <v>2555</v>
      </c>
      <c r="D276" s="431" t="s">
        <v>1656</v>
      </c>
      <c r="E276" s="68">
        <v>197405</v>
      </c>
      <c r="F276" s="482"/>
      <c r="J276" s="68" t="s">
        <v>794</v>
      </c>
      <c r="K276" s="68" t="s">
        <v>794</v>
      </c>
      <c r="L276" s="163" t="s">
        <v>794</v>
      </c>
      <c r="M276" s="68" t="s">
        <v>294</v>
      </c>
      <c r="N276" s="482">
        <v>20.282110214233398</v>
      </c>
      <c r="O276" s="482">
        <v>93.059883117675795</v>
      </c>
      <c r="P276" s="68" t="s">
        <v>795</v>
      </c>
      <c r="R276" s="486"/>
      <c r="S276" s="487"/>
      <c r="T276" s="101"/>
      <c r="U276" s="488"/>
      <c r="W276" s="482"/>
    </row>
    <row r="277" spans="1:23" s="68" customFormat="1" ht="14.25" customHeight="1">
      <c r="A277" s="487" t="s">
        <v>2648</v>
      </c>
      <c r="B277" s="484" t="s">
        <v>402</v>
      </c>
      <c r="C277" s="484" t="s">
        <v>408</v>
      </c>
      <c r="D277" s="485" t="s">
        <v>1656</v>
      </c>
      <c r="E277" s="493">
        <v>197557</v>
      </c>
      <c r="F277" s="417"/>
      <c r="G277" s="493"/>
      <c r="H277" s="493"/>
      <c r="I277" s="493"/>
      <c r="J277" s="68" t="s">
        <v>794</v>
      </c>
      <c r="K277" s="484" t="s">
        <v>794</v>
      </c>
      <c r="L277" s="484" t="s">
        <v>794</v>
      </c>
      <c r="M277" s="68" t="s">
        <v>294</v>
      </c>
      <c r="N277" s="68">
        <v>20.0839</v>
      </c>
      <c r="O277" s="68">
        <v>92.993799999999993</v>
      </c>
      <c r="P277" s="68" t="s">
        <v>795</v>
      </c>
      <c r="Q277" s="68" t="s">
        <v>776</v>
      </c>
      <c r="R277" s="484"/>
      <c r="S277" s="484"/>
      <c r="T277" s="101"/>
      <c r="U277" s="488"/>
      <c r="V277" s="68" t="s">
        <v>408</v>
      </c>
      <c r="W277" s="482"/>
    </row>
    <row r="278" spans="1:23" s="68" customFormat="1" ht="14.25" customHeight="1">
      <c r="A278" s="487" t="s">
        <v>2648</v>
      </c>
      <c r="B278" s="484" t="s">
        <v>402</v>
      </c>
      <c r="C278" s="484" t="s">
        <v>405</v>
      </c>
      <c r="D278" s="431" t="s">
        <v>2712</v>
      </c>
      <c r="E278" s="68" t="s">
        <v>1351</v>
      </c>
      <c r="F278" s="482" t="s">
        <v>405</v>
      </c>
      <c r="G278" s="68" t="s">
        <v>1685</v>
      </c>
      <c r="H278" s="68" t="s">
        <v>40</v>
      </c>
      <c r="J278" s="68" t="s">
        <v>42</v>
      </c>
      <c r="K278" s="484" t="s">
        <v>42</v>
      </c>
      <c r="L278" s="484" t="s">
        <v>790</v>
      </c>
      <c r="M278" s="68" t="s">
        <v>791</v>
      </c>
      <c r="N278" s="68">
        <v>20.064226000000001</v>
      </c>
      <c r="O278" s="68">
        <v>92.993758999999997</v>
      </c>
      <c r="P278" s="482" t="s">
        <v>757</v>
      </c>
      <c r="Q278" s="68" t="s">
        <v>776</v>
      </c>
      <c r="R278" s="486">
        <v>617</v>
      </c>
      <c r="S278" s="487">
        <v>2852</v>
      </c>
      <c r="T278" s="101"/>
      <c r="U278" s="488"/>
      <c r="V278" s="68" t="s">
        <v>405</v>
      </c>
      <c r="W278" s="482"/>
    </row>
    <row r="279" spans="1:23" s="68" customFormat="1" ht="14.25" customHeight="1">
      <c r="A279" s="487" t="s">
        <v>2648</v>
      </c>
      <c r="B279" s="154" t="s">
        <v>402</v>
      </c>
      <c r="C279" s="154" t="s">
        <v>822</v>
      </c>
      <c r="D279" s="485" t="s">
        <v>1657</v>
      </c>
      <c r="E279" s="150" t="s">
        <v>1352</v>
      </c>
      <c r="F279" s="150" t="s">
        <v>405</v>
      </c>
      <c r="G279" s="150" t="s">
        <v>1685</v>
      </c>
      <c r="H279" s="150"/>
      <c r="I279" s="150"/>
      <c r="J279" s="396" t="s">
        <v>42</v>
      </c>
      <c r="K279" s="484" t="s">
        <v>42</v>
      </c>
      <c r="L279" s="484" t="s">
        <v>756</v>
      </c>
      <c r="M279" s="150" t="s">
        <v>791</v>
      </c>
      <c r="N279" s="150">
        <v>20.064226000000001</v>
      </c>
      <c r="O279" s="150">
        <v>92.993758999999997</v>
      </c>
      <c r="P279" s="396" t="s">
        <v>757</v>
      </c>
      <c r="Q279" s="150"/>
      <c r="R279" s="151"/>
      <c r="S279" s="149"/>
      <c r="T279" s="152"/>
      <c r="U279" s="153"/>
      <c r="V279" s="150" t="s">
        <v>823</v>
      </c>
      <c r="W279" s="482"/>
    </row>
    <row r="280" spans="1:23" s="68" customFormat="1" ht="14.25" customHeight="1">
      <c r="A280" s="487" t="s">
        <v>2648</v>
      </c>
      <c r="B280" s="484" t="s">
        <v>402</v>
      </c>
      <c r="C280" s="484" t="s">
        <v>404</v>
      </c>
      <c r="D280" s="431" t="s">
        <v>1656</v>
      </c>
      <c r="E280" s="68">
        <v>197548</v>
      </c>
      <c r="F280" s="482"/>
      <c r="J280" s="68" t="s">
        <v>794</v>
      </c>
      <c r="K280" s="484" t="s">
        <v>794</v>
      </c>
      <c r="L280" s="484" t="s">
        <v>794</v>
      </c>
      <c r="M280" s="68" t="s">
        <v>791</v>
      </c>
      <c r="N280" s="68">
        <v>20.0641</v>
      </c>
      <c r="O280" s="484">
        <v>92.994600000000005</v>
      </c>
      <c r="P280" s="68" t="s">
        <v>795</v>
      </c>
      <c r="Q280" s="68" t="s">
        <v>776</v>
      </c>
      <c r="R280" s="486"/>
      <c r="S280" s="400"/>
      <c r="T280" s="101"/>
      <c r="U280" s="488"/>
      <c r="V280" s="68" t="s">
        <v>404</v>
      </c>
      <c r="W280" s="482"/>
    </row>
    <row r="281" spans="1:23" s="68" customFormat="1" ht="14.25" customHeight="1">
      <c r="A281" s="487" t="s">
        <v>2648</v>
      </c>
      <c r="B281" s="484" t="s">
        <v>402</v>
      </c>
      <c r="C281" s="484" t="s">
        <v>403</v>
      </c>
      <c r="D281" s="431" t="s">
        <v>1656</v>
      </c>
      <c r="E281" s="68">
        <v>197550</v>
      </c>
      <c r="F281" s="482"/>
      <c r="J281" s="68" t="s">
        <v>794</v>
      </c>
      <c r="K281" s="484" t="s">
        <v>794</v>
      </c>
      <c r="L281" s="484" t="s">
        <v>794</v>
      </c>
      <c r="M281" s="68" t="s">
        <v>294</v>
      </c>
      <c r="N281" s="68">
        <v>20.057860999999999</v>
      </c>
      <c r="O281" s="484">
        <v>92.995181000000002</v>
      </c>
      <c r="P281" s="68" t="s">
        <v>795</v>
      </c>
      <c r="Q281" s="68" t="s">
        <v>776</v>
      </c>
      <c r="R281" s="486"/>
      <c r="S281" s="400"/>
      <c r="T281" s="101"/>
      <c r="U281" s="488"/>
      <c r="V281" s="68" t="s">
        <v>403</v>
      </c>
      <c r="W281" s="399"/>
    </row>
    <row r="282" spans="1:23" s="68" customFormat="1" ht="14.25" customHeight="1">
      <c r="A282" s="487" t="s">
        <v>2648</v>
      </c>
      <c r="B282" s="484" t="s">
        <v>402</v>
      </c>
      <c r="C282" s="484" t="s">
        <v>1141</v>
      </c>
      <c r="D282" s="431" t="s">
        <v>1656</v>
      </c>
      <c r="E282" s="68">
        <v>220691</v>
      </c>
      <c r="F282" s="484"/>
      <c r="J282" s="68" t="s">
        <v>794</v>
      </c>
      <c r="K282" s="484" t="s">
        <v>794</v>
      </c>
      <c r="L282" s="484" t="s">
        <v>794</v>
      </c>
      <c r="N282" s="482">
        <v>20.107856750488299</v>
      </c>
      <c r="O282" s="482">
        <v>92.985984802246094</v>
      </c>
      <c r="P282" s="482" t="s">
        <v>795</v>
      </c>
      <c r="R282" s="490"/>
      <c r="S282" s="491"/>
      <c r="T282" s="101"/>
      <c r="U282" s="488"/>
      <c r="V282" s="68" t="s">
        <v>1141</v>
      </c>
      <c r="W282" s="399"/>
    </row>
    <row r="283" spans="1:23" s="68" customFormat="1" ht="14.25" customHeight="1">
      <c r="A283" s="487" t="s">
        <v>2648</v>
      </c>
      <c r="B283" s="484" t="s">
        <v>402</v>
      </c>
      <c r="C283" s="484" t="s">
        <v>2558</v>
      </c>
      <c r="D283" s="431" t="s">
        <v>1656</v>
      </c>
      <c r="E283" s="396">
        <v>197403</v>
      </c>
      <c r="J283" s="68" t="s">
        <v>794</v>
      </c>
      <c r="K283" s="482" t="s">
        <v>794</v>
      </c>
      <c r="L283" s="163" t="s">
        <v>794</v>
      </c>
      <c r="M283" s="68" t="s">
        <v>294</v>
      </c>
      <c r="N283" s="482">
        <v>20.2546997070313</v>
      </c>
      <c r="O283" s="482">
        <v>93.052268981933594</v>
      </c>
      <c r="P283" s="482" t="s">
        <v>795</v>
      </c>
      <c r="R283" s="486"/>
      <c r="S283" s="96"/>
      <c r="T283" s="101"/>
      <c r="U283" s="488"/>
      <c r="W283" s="482"/>
    </row>
    <row r="284" spans="1:23" s="68" customFormat="1" ht="14.25" customHeight="1">
      <c r="A284" s="487" t="s">
        <v>2648</v>
      </c>
      <c r="B284" s="484" t="s">
        <v>402</v>
      </c>
      <c r="C284" s="484" t="s">
        <v>2557</v>
      </c>
      <c r="D284" s="431" t="s">
        <v>1656</v>
      </c>
      <c r="E284" s="68">
        <v>197401</v>
      </c>
      <c r="F284" s="482" t="s">
        <v>2557</v>
      </c>
      <c r="J284" s="68" t="s">
        <v>794</v>
      </c>
      <c r="K284" s="482" t="s">
        <v>794</v>
      </c>
      <c r="L284" s="163" t="s">
        <v>794</v>
      </c>
      <c r="M284" s="68" t="s">
        <v>294</v>
      </c>
      <c r="N284" s="396">
        <v>20.260679244995099</v>
      </c>
      <c r="O284" s="396">
        <v>93.051597595214801</v>
      </c>
      <c r="P284" s="68" t="s">
        <v>795</v>
      </c>
      <c r="R284" s="486"/>
      <c r="S284" s="400"/>
      <c r="T284" s="101"/>
      <c r="U284" s="488"/>
      <c r="W284" s="482"/>
    </row>
    <row r="285" spans="1:23" s="68" customFormat="1" ht="14.25" customHeight="1">
      <c r="A285" s="487" t="s">
        <v>2648</v>
      </c>
      <c r="B285" s="490" t="s">
        <v>402</v>
      </c>
      <c r="C285" s="491" t="s">
        <v>3165</v>
      </c>
      <c r="D285" s="485"/>
      <c r="E285" s="68">
        <v>217989</v>
      </c>
      <c r="F285" s="396" t="s">
        <v>2535</v>
      </c>
      <c r="J285" s="68" t="s">
        <v>794</v>
      </c>
      <c r="K285" s="396" t="s">
        <v>794</v>
      </c>
      <c r="L285" s="396" t="s">
        <v>794</v>
      </c>
      <c r="N285" s="396">
        <v>92.925521850585895</v>
      </c>
      <c r="O285" s="396">
        <v>20.091190338134801</v>
      </c>
      <c r="Q285" s="68" t="s">
        <v>3163</v>
      </c>
      <c r="R285" s="494"/>
      <c r="S285" s="400"/>
      <c r="T285" s="101">
        <v>43935</v>
      </c>
      <c r="U285" s="494"/>
      <c r="W285" s="399"/>
    </row>
    <row r="286" spans="1:23" s="68" customFormat="1" ht="14.25" customHeight="1">
      <c r="A286" s="400" t="s">
        <v>2648</v>
      </c>
      <c r="B286" s="397" t="s">
        <v>402</v>
      </c>
      <c r="C286" s="397" t="s">
        <v>825</v>
      </c>
      <c r="D286" s="431" t="s">
        <v>1656</v>
      </c>
      <c r="E286" s="68">
        <v>197562</v>
      </c>
      <c r="F286" s="484"/>
      <c r="J286" s="68" t="s">
        <v>794</v>
      </c>
      <c r="K286" s="484" t="s">
        <v>794</v>
      </c>
      <c r="L286" s="484" t="s">
        <v>794</v>
      </c>
      <c r="N286" s="396">
        <v>20.06903076</v>
      </c>
      <c r="O286" s="396">
        <v>92.930137630000004</v>
      </c>
      <c r="P286" s="68" t="s">
        <v>795</v>
      </c>
      <c r="R286" s="399"/>
      <c r="S286" s="400"/>
      <c r="T286" s="101"/>
      <c r="U286" s="97"/>
      <c r="V286" s="68" t="s">
        <v>826</v>
      </c>
      <c r="W286" s="399"/>
    </row>
    <row r="287" spans="1:23" s="68" customFormat="1" ht="14.25" customHeight="1">
      <c r="A287" s="487" t="s">
        <v>2648</v>
      </c>
      <c r="B287" s="484" t="s">
        <v>402</v>
      </c>
      <c r="C287" s="484" t="s">
        <v>2793</v>
      </c>
      <c r="D287" s="431"/>
      <c r="E287" s="68">
        <v>217986</v>
      </c>
      <c r="J287" s="68" t="s">
        <v>794</v>
      </c>
      <c r="K287" s="68" t="s">
        <v>794</v>
      </c>
      <c r="L287" s="68" t="s">
        <v>794</v>
      </c>
      <c r="N287" s="68">
        <v>19.9964408874512</v>
      </c>
      <c r="O287" s="484">
        <v>92.951683044433594</v>
      </c>
      <c r="P287" s="68" t="s">
        <v>795</v>
      </c>
      <c r="R287" s="490"/>
      <c r="S287" s="491"/>
      <c r="T287" s="101"/>
      <c r="U287" s="488"/>
      <c r="W287" s="482"/>
    </row>
    <row r="288" spans="1:23" s="68" customFormat="1" ht="14.25" customHeight="1">
      <c r="A288" s="400" t="s">
        <v>2648</v>
      </c>
      <c r="B288" s="484" t="s">
        <v>402</v>
      </c>
      <c r="C288" s="484" t="s">
        <v>2551</v>
      </c>
      <c r="D288" s="431" t="s">
        <v>1656</v>
      </c>
      <c r="E288" s="68">
        <v>197451</v>
      </c>
      <c r="F288" s="396"/>
      <c r="J288" s="68" t="s">
        <v>794</v>
      </c>
      <c r="K288" s="482" t="s">
        <v>794</v>
      </c>
      <c r="L288" s="163" t="s">
        <v>794</v>
      </c>
      <c r="M288" s="68" t="s">
        <v>294</v>
      </c>
      <c r="N288" s="482">
        <v>20.358079910278299</v>
      </c>
      <c r="O288" s="482">
        <v>93.197959899902301</v>
      </c>
      <c r="P288" s="482" t="s">
        <v>795</v>
      </c>
      <c r="R288" s="486"/>
      <c r="S288" s="400"/>
      <c r="T288" s="101"/>
      <c r="U288" s="488"/>
      <c r="V288" s="489"/>
      <c r="W288" s="482"/>
    </row>
    <row r="289" spans="1:23" s="68" customFormat="1" ht="14.25" customHeight="1">
      <c r="A289" s="487" t="s">
        <v>2648</v>
      </c>
      <c r="B289" s="484" t="s">
        <v>402</v>
      </c>
      <c r="C289" s="484" t="s">
        <v>2912</v>
      </c>
      <c r="D289" s="431"/>
      <c r="E289" s="68">
        <v>197563</v>
      </c>
      <c r="F289" s="484" t="s">
        <v>2535</v>
      </c>
      <c r="J289" s="68" t="s">
        <v>794</v>
      </c>
      <c r="K289" s="482" t="s">
        <v>794</v>
      </c>
      <c r="L289" s="482" t="s">
        <v>794</v>
      </c>
      <c r="N289" s="68">
        <v>20.032600402831999</v>
      </c>
      <c r="O289" s="68">
        <v>92.931488037109403</v>
      </c>
      <c r="P289" s="68" t="s">
        <v>795</v>
      </c>
      <c r="R289" s="490"/>
      <c r="S289" s="491"/>
      <c r="T289" s="101"/>
      <c r="U289" s="488"/>
      <c r="V289" s="482"/>
      <c r="W289" s="482"/>
    </row>
    <row r="290" spans="1:23" s="68" customFormat="1" ht="14.25" customHeight="1">
      <c r="A290" s="487" t="s">
        <v>2648</v>
      </c>
      <c r="B290" s="484" t="s">
        <v>402</v>
      </c>
      <c r="C290" s="484" t="s">
        <v>2913</v>
      </c>
      <c r="D290" s="431"/>
      <c r="E290" s="68">
        <v>197564</v>
      </c>
      <c r="F290" s="484" t="s">
        <v>2535</v>
      </c>
      <c r="J290" s="68" t="s">
        <v>794</v>
      </c>
      <c r="K290" s="68" t="s">
        <v>794</v>
      </c>
      <c r="L290" s="68" t="s">
        <v>794</v>
      </c>
      <c r="N290" s="68">
        <v>20.0275993347168</v>
      </c>
      <c r="O290" s="482">
        <v>92.936653137207003</v>
      </c>
      <c r="P290" s="68" t="s">
        <v>795</v>
      </c>
      <c r="R290" s="490"/>
      <c r="S290" s="491"/>
      <c r="T290" s="101"/>
      <c r="U290" s="488"/>
      <c r="W290" s="482"/>
    </row>
    <row r="291" spans="1:23" s="68" customFormat="1" ht="14.25" customHeight="1">
      <c r="A291" s="400" t="s">
        <v>2648</v>
      </c>
      <c r="B291" s="484" t="s">
        <v>402</v>
      </c>
      <c r="C291" s="484" t="s">
        <v>2538</v>
      </c>
      <c r="D291" s="431"/>
      <c r="E291" s="68">
        <v>197543</v>
      </c>
      <c r="F291" s="482" t="s">
        <v>521</v>
      </c>
      <c r="J291" s="68" t="s">
        <v>794</v>
      </c>
      <c r="K291" s="68" t="s">
        <v>794</v>
      </c>
      <c r="L291" s="68" t="s">
        <v>794</v>
      </c>
      <c r="N291" s="68">
        <v>19.9403591156006</v>
      </c>
      <c r="O291" s="482">
        <v>93.009452819824205</v>
      </c>
      <c r="P291" s="68" t="s">
        <v>795</v>
      </c>
      <c r="R291" s="490"/>
      <c r="S291" s="491"/>
      <c r="T291" s="101"/>
      <c r="U291" s="97"/>
      <c r="W291" s="482"/>
    </row>
    <row r="292" spans="1:23" s="68" customFormat="1" ht="14.25" customHeight="1">
      <c r="A292" s="400" t="s">
        <v>2648</v>
      </c>
      <c r="B292" s="484" t="s">
        <v>402</v>
      </c>
      <c r="C292" s="484" t="s">
        <v>2537</v>
      </c>
      <c r="D292" s="431"/>
      <c r="E292" s="68">
        <v>197574</v>
      </c>
      <c r="F292" s="482" t="s">
        <v>2693</v>
      </c>
      <c r="J292" s="68" t="s">
        <v>794</v>
      </c>
      <c r="K292" s="68" t="s">
        <v>794</v>
      </c>
      <c r="L292" s="68" t="s">
        <v>794</v>
      </c>
      <c r="N292" s="68">
        <v>20.068620681762699</v>
      </c>
      <c r="O292" s="68">
        <v>92.934440612792997</v>
      </c>
      <c r="P292" s="68" t="s">
        <v>795</v>
      </c>
      <c r="R292" s="490"/>
      <c r="S292" s="491"/>
      <c r="T292" s="101"/>
      <c r="U292" s="97"/>
      <c r="W292" s="482"/>
    </row>
    <row r="293" spans="1:23" s="68" customFormat="1" ht="14.25" customHeight="1">
      <c r="A293" s="400" t="s">
        <v>2648</v>
      </c>
      <c r="B293" s="484" t="s">
        <v>402</v>
      </c>
      <c r="C293" s="484" t="s">
        <v>2549</v>
      </c>
      <c r="D293" s="485" t="s">
        <v>1656</v>
      </c>
      <c r="E293" s="493">
        <v>197447</v>
      </c>
      <c r="F293" s="493"/>
      <c r="G293" s="493"/>
      <c r="H293" s="493"/>
      <c r="I293" s="493"/>
      <c r="J293" s="68" t="s">
        <v>794</v>
      </c>
      <c r="K293" s="68" t="s">
        <v>794</v>
      </c>
      <c r="L293" s="163" t="s">
        <v>794</v>
      </c>
      <c r="M293" s="68" t="s">
        <v>294</v>
      </c>
      <c r="N293" s="482">
        <v>20.335029602050799</v>
      </c>
      <c r="O293" s="482">
        <v>93.176460266113295</v>
      </c>
      <c r="P293" s="68" t="s">
        <v>795</v>
      </c>
      <c r="R293" s="484"/>
      <c r="S293" s="484"/>
      <c r="T293" s="101"/>
      <c r="U293" s="488"/>
      <c r="V293" s="482"/>
      <c r="W293" s="482"/>
    </row>
    <row r="294" spans="1:23" s="68" customFormat="1" ht="14.25" customHeight="1">
      <c r="A294" s="400" t="s">
        <v>2648</v>
      </c>
      <c r="B294" s="490" t="s">
        <v>452</v>
      </c>
      <c r="C294" s="491" t="s">
        <v>2715</v>
      </c>
      <c r="D294" s="485"/>
      <c r="E294" s="396">
        <v>196217</v>
      </c>
      <c r="F294" s="482"/>
      <c r="J294" s="68" t="s">
        <v>2652</v>
      </c>
      <c r="K294" s="396" t="s">
        <v>2622</v>
      </c>
      <c r="L294" s="396" t="s">
        <v>2622</v>
      </c>
      <c r="N294" s="68">
        <v>20.643140792846701</v>
      </c>
      <c r="O294" s="396">
        <v>92.851875305175795</v>
      </c>
      <c r="P294" s="68" t="s">
        <v>1972</v>
      </c>
      <c r="R294" s="494"/>
      <c r="S294" s="400"/>
      <c r="T294" s="101">
        <v>43591</v>
      </c>
      <c r="U294" s="494"/>
      <c r="V294" s="482"/>
      <c r="W294" s="399"/>
    </row>
    <row r="295" spans="1:23" s="68" customFormat="1" ht="14.25" customHeight="1">
      <c r="A295" s="490" t="s">
        <v>2648</v>
      </c>
      <c r="B295" s="490" t="s">
        <v>452</v>
      </c>
      <c r="C295" s="491" t="s">
        <v>2797</v>
      </c>
      <c r="D295" s="485"/>
      <c r="E295" s="68">
        <v>196309</v>
      </c>
      <c r="F295" s="482"/>
      <c r="J295" s="68" t="s">
        <v>2652</v>
      </c>
      <c r="K295" s="68" t="s">
        <v>2622</v>
      </c>
      <c r="L295" s="68" t="s">
        <v>2622</v>
      </c>
      <c r="N295" s="68">
        <v>20.623949050903299</v>
      </c>
      <c r="O295" s="68">
        <v>92.950813293457003</v>
      </c>
      <c r="P295" s="68" t="s">
        <v>1972</v>
      </c>
      <c r="R295" s="494"/>
      <c r="S295" s="96"/>
      <c r="T295" s="101">
        <v>43591</v>
      </c>
      <c r="U295" s="494"/>
      <c r="V295" s="68" t="s">
        <v>2750</v>
      </c>
      <c r="W295" s="399"/>
    </row>
    <row r="296" spans="1:23" s="68" customFormat="1" ht="14.25" customHeight="1">
      <c r="A296" s="490" t="s">
        <v>2648</v>
      </c>
      <c r="B296" s="490" t="s">
        <v>452</v>
      </c>
      <c r="C296" s="491" t="s">
        <v>2749</v>
      </c>
      <c r="D296" s="485"/>
      <c r="E296" s="396"/>
      <c r="F296" s="482"/>
      <c r="J296" s="68" t="s">
        <v>2652</v>
      </c>
      <c r="K296" s="396" t="s">
        <v>2622</v>
      </c>
      <c r="L296" s="396" t="s">
        <v>2622</v>
      </c>
      <c r="O296" s="482"/>
      <c r="P296" s="68" t="s">
        <v>1972</v>
      </c>
      <c r="R296" s="494"/>
      <c r="S296" s="487"/>
      <c r="T296" s="101">
        <v>43591</v>
      </c>
      <c r="U296" s="494"/>
      <c r="W296" s="399"/>
    </row>
    <row r="297" spans="1:23" s="68" customFormat="1" ht="14.25" customHeight="1">
      <c r="A297" s="490" t="s">
        <v>2648</v>
      </c>
      <c r="B297" s="490" t="s">
        <v>452</v>
      </c>
      <c r="C297" s="491" t="s">
        <v>2753</v>
      </c>
      <c r="D297" s="485"/>
      <c r="E297" s="68">
        <v>196329</v>
      </c>
      <c r="F297" s="482"/>
      <c r="J297" s="68" t="s">
        <v>2652</v>
      </c>
      <c r="K297" s="396" t="s">
        <v>2622</v>
      </c>
      <c r="L297" s="396" t="s">
        <v>2622</v>
      </c>
      <c r="N297" s="68">
        <v>20.5511798858643</v>
      </c>
      <c r="O297" s="68">
        <v>93.065322875976605</v>
      </c>
      <c r="P297" s="68" t="s">
        <v>1972</v>
      </c>
      <c r="R297" s="494"/>
      <c r="S297" s="400"/>
      <c r="T297" s="101">
        <v>43591</v>
      </c>
      <c r="U297" s="494"/>
      <c r="W297" s="399"/>
    </row>
    <row r="298" spans="1:23" s="68" customFormat="1" ht="14.25" customHeight="1">
      <c r="A298" s="487" t="s">
        <v>2648</v>
      </c>
      <c r="B298" s="484" t="s">
        <v>452</v>
      </c>
      <c r="C298" s="484" t="s">
        <v>484</v>
      </c>
      <c r="D298" s="431" t="s">
        <v>1656</v>
      </c>
      <c r="E298" s="68">
        <v>196350</v>
      </c>
      <c r="F298" s="484"/>
      <c r="J298" s="68" t="s">
        <v>794</v>
      </c>
      <c r="K298" s="484" t="s">
        <v>794</v>
      </c>
      <c r="L298" s="484" t="s">
        <v>794</v>
      </c>
      <c r="M298" s="68" t="s">
        <v>791</v>
      </c>
      <c r="N298" s="68">
        <v>20.494340900000001</v>
      </c>
      <c r="O298" s="68">
        <v>93.054298399999993</v>
      </c>
      <c r="P298" s="68" t="s">
        <v>795</v>
      </c>
      <c r="Q298" s="68" t="s">
        <v>776</v>
      </c>
      <c r="R298" s="486"/>
      <c r="S298" s="487"/>
      <c r="T298" s="101"/>
      <c r="U298" s="488"/>
      <c r="V298" s="68" t="s">
        <v>897</v>
      </c>
      <c r="W298" s="399"/>
    </row>
    <row r="299" spans="1:23" s="68" customFormat="1" ht="14.25" customHeight="1">
      <c r="A299" s="490" t="s">
        <v>2648</v>
      </c>
      <c r="B299" s="490" t="s">
        <v>452</v>
      </c>
      <c r="C299" s="491" t="s">
        <v>2746</v>
      </c>
      <c r="D299" s="485"/>
      <c r="E299" s="396">
        <v>196218</v>
      </c>
      <c r="F299" s="396"/>
      <c r="J299" s="68" t="s">
        <v>2652</v>
      </c>
      <c r="K299" s="396" t="s">
        <v>2622</v>
      </c>
      <c r="L299" s="396" t="s">
        <v>2622</v>
      </c>
      <c r="N299" s="68">
        <v>20.709392547607401</v>
      </c>
      <c r="O299" s="68">
        <v>92.815086364746094</v>
      </c>
      <c r="P299" s="68" t="s">
        <v>1972</v>
      </c>
      <c r="R299" s="494"/>
      <c r="S299" s="400"/>
      <c r="T299" s="101">
        <v>43591</v>
      </c>
      <c r="U299" s="494"/>
      <c r="W299" s="399"/>
    </row>
    <row r="300" spans="1:23" s="68" customFormat="1" ht="14.25" customHeight="1">
      <c r="A300" s="400" t="s">
        <v>2648</v>
      </c>
      <c r="B300" s="484" t="s">
        <v>452</v>
      </c>
      <c r="C300" s="484" t="s">
        <v>508</v>
      </c>
      <c r="D300" s="431" t="s">
        <v>1656</v>
      </c>
      <c r="E300" s="68">
        <v>196318</v>
      </c>
      <c r="F300" s="512" t="s">
        <v>508</v>
      </c>
      <c r="J300" s="68" t="s">
        <v>794</v>
      </c>
      <c r="K300" s="484" t="s">
        <v>794</v>
      </c>
      <c r="L300" s="484" t="s">
        <v>794</v>
      </c>
      <c r="M300" s="68" t="s">
        <v>791</v>
      </c>
      <c r="N300" s="68">
        <v>20.608819960000002</v>
      </c>
      <c r="O300" s="68">
        <v>93.022407529999995</v>
      </c>
      <c r="P300" s="68" t="s">
        <v>795</v>
      </c>
      <c r="Q300" s="68" t="s">
        <v>776</v>
      </c>
      <c r="R300" s="486"/>
      <c r="S300" s="400"/>
      <c r="T300" s="101"/>
      <c r="U300" s="97"/>
      <c r="V300" s="68" t="s">
        <v>912</v>
      </c>
      <c r="W300" s="399"/>
    </row>
    <row r="301" spans="1:23" s="68" customFormat="1" ht="14.25" customHeight="1">
      <c r="A301" s="490" t="s">
        <v>2648</v>
      </c>
      <c r="B301" s="490" t="s">
        <v>452</v>
      </c>
      <c r="C301" s="491" t="s">
        <v>2747</v>
      </c>
      <c r="D301" s="485"/>
      <c r="E301" s="68">
        <v>196403</v>
      </c>
      <c r="J301" s="68" t="s">
        <v>2652</v>
      </c>
      <c r="K301" s="396" t="s">
        <v>2622</v>
      </c>
      <c r="L301" s="396" t="s">
        <v>2622</v>
      </c>
      <c r="N301" s="68">
        <v>20.303350448608398</v>
      </c>
      <c r="O301" s="68">
        <v>92.927062988281307</v>
      </c>
      <c r="P301" s="68" t="s">
        <v>1972</v>
      </c>
      <c r="R301" s="494"/>
      <c r="S301" s="400"/>
      <c r="T301" s="101">
        <v>43591</v>
      </c>
      <c r="U301" s="494"/>
      <c r="V301" s="396"/>
      <c r="W301" s="399"/>
    </row>
    <row r="302" spans="1:23" s="68" customFormat="1" ht="14.25" customHeight="1">
      <c r="A302" s="400" t="s">
        <v>2648</v>
      </c>
      <c r="B302" s="484" t="s">
        <v>452</v>
      </c>
      <c r="C302" s="484" t="s">
        <v>881</v>
      </c>
      <c r="D302" s="431" t="s">
        <v>1656</v>
      </c>
      <c r="E302" s="68">
        <v>196357</v>
      </c>
      <c r="F302" s="68" t="s">
        <v>881</v>
      </c>
      <c r="J302" s="68" t="s">
        <v>794</v>
      </c>
      <c r="K302" s="484" t="s">
        <v>794</v>
      </c>
      <c r="L302" s="484" t="s">
        <v>794</v>
      </c>
      <c r="M302" s="68" t="s">
        <v>294</v>
      </c>
      <c r="N302" s="68">
        <v>20.369959999999999</v>
      </c>
      <c r="O302" s="68">
        <v>93.019220000000004</v>
      </c>
      <c r="P302" s="68" t="s">
        <v>795</v>
      </c>
      <c r="R302" s="486"/>
      <c r="S302" s="400"/>
      <c r="T302" s="101"/>
      <c r="U302" s="97"/>
      <c r="V302" s="484" t="s">
        <v>881</v>
      </c>
      <c r="W302" s="399"/>
    </row>
    <row r="303" spans="1:23" s="68" customFormat="1" ht="14.25" customHeight="1">
      <c r="A303" s="487" t="s">
        <v>2648</v>
      </c>
      <c r="B303" s="484" t="s">
        <v>452</v>
      </c>
      <c r="C303" s="484" t="s">
        <v>509</v>
      </c>
      <c r="D303" s="431" t="s">
        <v>1656</v>
      </c>
      <c r="E303" s="68">
        <v>196316</v>
      </c>
      <c r="F303" s="482"/>
      <c r="J303" s="68" t="s">
        <v>794</v>
      </c>
      <c r="K303" s="484" t="s">
        <v>794</v>
      </c>
      <c r="L303" s="484" t="s">
        <v>794</v>
      </c>
      <c r="M303" s="68" t="s">
        <v>294</v>
      </c>
      <c r="N303" s="68">
        <v>20.630609509999999</v>
      </c>
      <c r="O303" s="68">
        <v>92.998641969999994</v>
      </c>
      <c r="P303" s="482" t="s">
        <v>795</v>
      </c>
      <c r="Q303" s="68" t="s">
        <v>776</v>
      </c>
      <c r="R303" s="486"/>
      <c r="S303" s="487"/>
      <c r="T303" s="101"/>
      <c r="U303" s="488"/>
      <c r="V303" s="482" t="s">
        <v>914</v>
      </c>
      <c r="W303" s="399"/>
    </row>
    <row r="304" spans="1:23" s="68" customFormat="1" ht="14.25" customHeight="1">
      <c r="A304" s="490" t="s">
        <v>2648</v>
      </c>
      <c r="B304" s="490" t="s">
        <v>452</v>
      </c>
      <c r="C304" s="491" t="s">
        <v>2751</v>
      </c>
      <c r="D304" s="485"/>
      <c r="E304" s="68">
        <v>196317</v>
      </c>
      <c r="J304" s="68" t="s">
        <v>2652</v>
      </c>
      <c r="K304" s="396" t="s">
        <v>2622</v>
      </c>
      <c r="L304" s="396" t="s">
        <v>2622</v>
      </c>
      <c r="N304" s="68">
        <v>20.616569519043001</v>
      </c>
      <c r="O304" s="68">
        <v>92.991638183593807</v>
      </c>
      <c r="P304" s="482" t="s">
        <v>1972</v>
      </c>
      <c r="R304" s="494"/>
      <c r="S304" s="487"/>
      <c r="T304" s="101">
        <v>43591</v>
      </c>
      <c r="U304" s="494"/>
      <c r="V304" s="482"/>
      <c r="W304" s="399"/>
    </row>
    <row r="305" spans="1:23" s="68" customFormat="1" ht="14.25" customHeight="1">
      <c r="A305" s="400" t="s">
        <v>2648</v>
      </c>
      <c r="B305" s="484" t="s">
        <v>452</v>
      </c>
      <c r="C305" s="484" t="s">
        <v>515</v>
      </c>
      <c r="D305" s="431" t="s">
        <v>1656</v>
      </c>
      <c r="E305" s="68">
        <v>196313</v>
      </c>
      <c r="F305" s="68" t="s">
        <v>510</v>
      </c>
      <c r="J305" s="482" t="s">
        <v>794</v>
      </c>
      <c r="K305" s="68" t="s">
        <v>794</v>
      </c>
      <c r="L305" s="482" t="s">
        <v>794</v>
      </c>
      <c r="M305" s="68" t="s">
        <v>294</v>
      </c>
      <c r="N305" s="68">
        <v>20.645240780000002</v>
      </c>
      <c r="O305" s="68">
        <v>92.939758299999994</v>
      </c>
      <c r="P305" s="482" t="s">
        <v>795</v>
      </c>
      <c r="Q305" s="68" t="s">
        <v>776</v>
      </c>
      <c r="R305" s="486"/>
      <c r="S305" s="400"/>
      <c r="T305" s="101"/>
      <c r="U305" s="97"/>
      <c r="V305" s="396" t="s">
        <v>515</v>
      </c>
      <c r="W305" s="399"/>
    </row>
    <row r="306" spans="1:23" s="68" customFormat="1" ht="14.25" customHeight="1">
      <c r="A306" s="400" t="s">
        <v>2648</v>
      </c>
      <c r="B306" s="484" t="s">
        <v>452</v>
      </c>
      <c r="C306" s="484" t="s">
        <v>878</v>
      </c>
      <c r="D306" s="431" t="s">
        <v>1656</v>
      </c>
      <c r="E306" s="68">
        <v>196401</v>
      </c>
      <c r="J306" s="68" t="s">
        <v>794</v>
      </c>
      <c r="K306" s="68" t="s">
        <v>794</v>
      </c>
      <c r="L306" s="68" t="s">
        <v>794</v>
      </c>
      <c r="M306" s="68" t="s">
        <v>294</v>
      </c>
      <c r="N306" s="68">
        <v>20.327500000000001</v>
      </c>
      <c r="O306" s="68">
        <v>92.8947</v>
      </c>
      <c r="P306" s="68" t="s">
        <v>795</v>
      </c>
      <c r="R306" s="486"/>
      <c r="S306" s="96"/>
      <c r="T306" s="101"/>
      <c r="U306" s="97"/>
      <c r="V306" s="68" t="s">
        <v>878</v>
      </c>
      <c r="W306" s="399"/>
    </row>
    <row r="307" spans="1:23" s="68" customFormat="1" ht="14.25" customHeight="1">
      <c r="A307" s="400" t="s">
        <v>2648</v>
      </c>
      <c r="B307" s="484" t="s">
        <v>452</v>
      </c>
      <c r="C307" s="484" t="s">
        <v>481</v>
      </c>
      <c r="D307" s="431" t="s">
        <v>1656</v>
      </c>
      <c r="E307" s="68">
        <v>196349</v>
      </c>
      <c r="J307" s="68" t="s">
        <v>794</v>
      </c>
      <c r="K307" s="68" t="s">
        <v>794</v>
      </c>
      <c r="L307" s="68" t="s">
        <v>794</v>
      </c>
      <c r="M307" s="68" t="s">
        <v>294</v>
      </c>
      <c r="N307" s="68">
        <v>20.482030869999999</v>
      </c>
      <c r="O307" s="484">
        <v>93.045410160000003</v>
      </c>
      <c r="P307" s="68" t="s">
        <v>795</v>
      </c>
      <c r="Q307" s="68" t="s">
        <v>776</v>
      </c>
      <c r="R307" s="486"/>
      <c r="S307" s="96"/>
      <c r="T307" s="101"/>
      <c r="U307" s="488"/>
      <c r="V307" s="484" t="s">
        <v>481</v>
      </c>
      <c r="W307" s="399"/>
    </row>
    <row r="308" spans="1:23" s="68" customFormat="1" ht="14.25" customHeight="1">
      <c r="A308" s="400" t="s">
        <v>2648</v>
      </c>
      <c r="B308" s="484" t="s">
        <v>452</v>
      </c>
      <c r="C308" s="484" t="s">
        <v>877</v>
      </c>
      <c r="D308" s="431" t="s">
        <v>1656</v>
      </c>
      <c r="E308" s="68">
        <v>196375</v>
      </c>
      <c r="F308" s="68" t="s">
        <v>877</v>
      </c>
      <c r="J308" s="396" t="s">
        <v>794</v>
      </c>
      <c r="K308" s="396" t="s">
        <v>794</v>
      </c>
      <c r="L308" s="68" t="s">
        <v>794</v>
      </c>
      <c r="M308" s="68" t="s">
        <v>294</v>
      </c>
      <c r="N308" s="68">
        <v>20.308</v>
      </c>
      <c r="O308" s="68">
        <v>93.01</v>
      </c>
      <c r="P308" s="68" t="s">
        <v>795</v>
      </c>
      <c r="R308" s="486"/>
      <c r="S308" s="400"/>
      <c r="T308" s="101"/>
      <c r="U308" s="488"/>
      <c r="V308" s="484" t="s">
        <v>877</v>
      </c>
      <c r="W308" s="399"/>
    </row>
    <row r="309" spans="1:23" s="68" customFormat="1" ht="14.25" customHeight="1">
      <c r="A309" s="490" t="s">
        <v>2648</v>
      </c>
      <c r="B309" s="490" t="s">
        <v>452</v>
      </c>
      <c r="C309" s="404" t="s">
        <v>2752</v>
      </c>
      <c r="D309" s="398"/>
      <c r="E309" s="68">
        <v>196315</v>
      </c>
      <c r="J309" s="68" t="s">
        <v>2652</v>
      </c>
      <c r="K309" s="68" t="s">
        <v>2622</v>
      </c>
      <c r="L309" s="482" t="s">
        <v>2622</v>
      </c>
      <c r="N309" s="68">
        <v>20.622760772705099</v>
      </c>
      <c r="O309" s="68">
        <v>92.954826354980497</v>
      </c>
      <c r="P309" s="482" t="s">
        <v>1972</v>
      </c>
      <c r="R309" s="405"/>
      <c r="S309" s="400"/>
      <c r="T309" s="101">
        <v>43591</v>
      </c>
      <c r="U309" s="494"/>
      <c r="V309" s="482"/>
      <c r="W309" s="399"/>
    </row>
    <row r="310" spans="1:23" s="68" customFormat="1" ht="14.25" customHeight="1">
      <c r="A310" s="400" t="s">
        <v>2648</v>
      </c>
      <c r="B310" s="484" t="s">
        <v>452</v>
      </c>
      <c r="C310" s="484" t="s">
        <v>510</v>
      </c>
      <c r="D310" s="431" t="s">
        <v>1656</v>
      </c>
      <c r="E310" s="68">
        <v>196312</v>
      </c>
      <c r="F310" s="484"/>
      <c r="J310" s="68" t="s">
        <v>794</v>
      </c>
      <c r="K310" s="482" t="s">
        <v>794</v>
      </c>
      <c r="L310" s="482" t="s">
        <v>794</v>
      </c>
      <c r="M310" s="68" t="s">
        <v>294</v>
      </c>
      <c r="N310" s="68">
        <v>20.63272095</v>
      </c>
      <c r="O310" s="484">
        <v>92.940132140000003</v>
      </c>
      <c r="P310" s="482" t="s">
        <v>795</v>
      </c>
      <c r="Q310" s="68" t="s">
        <v>776</v>
      </c>
      <c r="R310" s="490"/>
      <c r="S310" s="491"/>
      <c r="T310" s="101"/>
      <c r="U310" s="488"/>
      <c r="V310" s="396" t="s">
        <v>915</v>
      </c>
      <c r="W310" s="399"/>
    </row>
    <row r="311" spans="1:23" s="68" customFormat="1" ht="14.25" customHeight="1">
      <c r="A311" s="400" t="s">
        <v>2648</v>
      </c>
      <c r="B311" s="484" t="s">
        <v>452</v>
      </c>
      <c r="C311" s="484" t="s">
        <v>507</v>
      </c>
      <c r="D311" s="431" t="s">
        <v>1656</v>
      </c>
      <c r="E311" s="68">
        <v>196321</v>
      </c>
      <c r="F311" s="484"/>
      <c r="J311" s="68" t="s">
        <v>794</v>
      </c>
      <c r="K311" s="68" t="s">
        <v>794</v>
      </c>
      <c r="L311" s="68" t="s">
        <v>794</v>
      </c>
      <c r="M311" s="68" t="s">
        <v>294</v>
      </c>
      <c r="N311" s="68">
        <v>20.59627914</v>
      </c>
      <c r="O311" s="68">
        <v>92.987480160000004</v>
      </c>
      <c r="P311" s="68" t="s">
        <v>795</v>
      </c>
      <c r="Q311" s="68" t="s">
        <v>776</v>
      </c>
      <c r="R311" s="486"/>
      <c r="S311" s="400"/>
      <c r="T311" s="101"/>
      <c r="U311" s="488"/>
      <c r="V311" s="68" t="s">
        <v>507</v>
      </c>
      <c r="W311" s="399"/>
    </row>
    <row r="312" spans="1:23" s="68" customFormat="1" ht="14.25" customHeight="1">
      <c r="A312" s="400" t="s">
        <v>2648</v>
      </c>
      <c r="B312" s="484" t="s">
        <v>452</v>
      </c>
      <c r="C312" s="484" t="s">
        <v>876</v>
      </c>
      <c r="D312" s="431" t="s">
        <v>1656</v>
      </c>
      <c r="E312" s="68">
        <v>196412</v>
      </c>
      <c r="F312" s="484" t="s">
        <v>876</v>
      </c>
      <c r="J312" s="68" t="s">
        <v>794</v>
      </c>
      <c r="K312" s="396" t="s">
        <v>794</v>
      </c>
      <c r="L312" s="396" t="s">
        <v>794</v>
      </c>
      <c r="M312" s="68" t="s">
        <v>294</v>
      </c>
      <c r="N312" s="68">
        <v>20.242139999999999</v>
      </c>
      <c r="O312" s="68">
        <v>92.921729999999997</v>
      </c>
      <c r="P312" s="68" t="s">
        <v>795</v>
      </c>
      <c r="R312" s="490"/>
      <c r="S312" s="491"/>
      <c r="T312" s="101"/>
      <c r="U312" s="97"/>
      <c r="V312" s="68" t="s">
        <v>876</v>
      </c>
      <c r="W312" s="399"/>
    </row>
    <row r="313" spans="1:23" s="68" customFormat="1" ht="14.25" customHeight="1">
      <c r="A313" s="400" t="s">
        <v>2648</v>
      </c>
      <c r="B313" s="403" t="s">
        <v>452</v>
      </c>
      <c r="C313" s="404" t="s">
        <v>2799</v>
      </c>
      <c r="D313" s="485"/>
      <c r="E313" s="68">
        <v>196234</v>
      </c>
      <c r="J313" s="68" t="s">
        <v>2652</v>
      </c>
      <c r="K313" s="68" t="s">
        <v>2622</v>
      </c>
      <c r="L313" s="68" t="s">
        <v>2622</v>
      </c>
      <c r="N313" s="68">
        <v>20.580810546875</v>
      </c>
      <c r="O313" s="68">
        <v>92.869346618652301</v>
      </c>
      <c r="P313" s="68" t="s">
        <v>1972</v>
      </c>
      <c r="R313" s="494"/>
      <c r="S313" s="96"/>
      <c r="T313" s="101">
        <v>43591</v>
      </c>
      <c r="U313" s="494"/>
      <c r="V313" s="68" t="s">
        <v>2717</v>
      </c>
      <c r="W313" s="399"/>
    </row>
    <row r="314" spans="1:23" s="68" customFormat="1" ht="14.25" customHeight="1">
      <c r="A314" s="400" t="s">
        <v>2648</v>
      </c>
      <c r="B314" s="484" t="s">
        <v>452</v>
      </c>
      <c r="C314" s="484" t="s">
        <v>453</v>
      </c>
      <c r="D314" s="431" t="s">
        <v>1656</v>
      </c>
      <c r="E314" s="482">
        <v>196408</v>
      </c>
      <c r="F314" s="484"/>
      <c r="J314" s="68" t="s">
        <v>794</v>
      </c>
      <c r="K314" s="482" t="s">
        <v>794</v>
      </c>
      <c r="L314" s="482" t="s">
        <v>794</v>
      </c>
      <c r="M314" s="68" t="s">
        <v>294</v>
      </c>
      <c r="N314" s="396">
        <v>20.268000000000001</v>
      </c>
      <c r="O314" s="396">
        <v>92.977999999999994</v>
      </c>
      <c r="P314" s="482" t="s">
        <v>795</v>
      </c>
      <c r="Q314" s="68" t="s">
        <v>776</v>
      </c>
      <c r="R314" s="486"/>
      <c r="S314" s="96"/>
      <c r="T314" s="101"/>
      <c r="U314" s="97"/>
      <c r="V314" s="68" t="s">
        <v>453</v>
      </c>
      <c r="W314" s="399"/>
    </row>
    <row r="315" spans="1:23" s="68" customFormat="1" ht="14.25" customHeight="1">
      <c r="A315" s="400" t="s">
        <v>2648</v>
      </c>
      <c r="B315" s="490" t="s">
        <v>452</v>
      </c>
      <c r="C315" s="491" t="s">
        <v>456</v>
      </c>
      <c r="D315" s="485" t="s">
        <v>1656</v>
      </c>
      <c r="E315" s="68">
        <v>196377</v>
      </c>
      <c r="F315" s="396"/>
      <c r="J315" s="68" t="s">
        <v>794</v>
      </c>
      <c r="K315" s="482" t="s">
        <v>794</v>
      </c>
      <c r="L315" s="482" t="s">
        <v>794</v>
      </c>
      <c r="M315" s="68" t="s">
        <v>294</v>
      </c>
      <c r="N315" s="68">
        <v>20.292100000000001</v>
      </c>
      <c r="O315" s="68">
        <v>92.994100000000003</v>
      </c>
      <c r="P315" s="482" t="s">
        <v>795</v>
      </c>
      <c r="Q315" s="68" t="s">
        <v>776</v>
      </c>
      <c r="R315" s="494"/>
      <c r="S315" s="487"/>
      <c r="T315" s="101"/>
      <c r="U315" s="97"/>
      <c r="V315" s="68" t="s">
        <v>456</v>
      </c>
      <c r="W315" s="399"/>
    </row>
    <row r="316" spans="1:23" s="68" customFormat="1" ht="14.25" customHeight="1">
      <c r="A316" s="400" t="s">
        <v>2648</v>
      </c>
      <c r="B316" s="484" t="s">
        <v>452</v>
      </c>
      <c r="C316" s="484" t="s">
        <v>487</v>
      </c>
      <c r="D316" s="431" t="s">
        <v>1656</v>
      </c>
      <c r="E316" s="482">
        <v>196337</v>
      </c>
      <c r="F316" s="396"/>
      <c r="J316" s="68" t="s">
        <v>794</v>
      </c>
      <c r="K316" s="68" t="s">
        <v>794</v>
      </c>
      <c r="L316" s="68" t="s">
        <v>794</v>
      </c>
      <c r="M316" s="68" t="s">
        <v>294</v>
      </c>
      <c r="N316" s="68">
        <v>20.509660719999999</v>
      </c>
      <c r="O316" s="68">
        <v>92.997230529999996</v>
      </c>
      <c r="P316" s="68" t="s">
        <v>795</v>
      </c>
      <c r="Q316" s="68" t="s">
        <v>776</v>
      </c>
      <c r="R316" s="486"/>
      <c r="S316" s="96"/>
      <c r="T316" s="101"/>
      <c r="U316" s="488"/>
      <c r="V316" s="68" t="s">
        <v>487</v>
      </c>
      <c r="W316" s="399"/>
    </row>
    <row r="317" spans="1:23" s="68" customFormat="1" ht="14.25" customHeight="1">
      <c r="A317" s="490" t="s">
        <v>2648</v>
      </c>
      <c r="B317" s="403" t="s">
        <v>452</v>
      </c>
      <c r="C317" s="404" t="s">
        <v>1735</v>
      </c>
      <c r="D317" s="485"/>
      <c r="E317" s="68">
        <v>196369</v>
      </c>
      <c r="J317" s="68" t="s">
        <v>2652</v>
      </c>
      <c r="K317" s="68" t="s">
        <v>2622</v>
      </c>
      <c r="L317" s="68" t="s">
        <v>2622</v>
      </c>
      <c r="N317" s="68">
        <v>20.337610244751001</v>
      </c>
      <c r="O317" s="68">
        <v>92.969711303710895</v>
      </c>
      <c r="P317" s="68" t="s">
        <v>1972</v>
      </c>
      <c r="R317" s="494"/>
      <c r="S317" s="96"/>
      <c r="T317" s="101">
        <v>43591</v>
      </c>
      <c r="U317" s="494"/>
      <c r="W317" s="399"/>
    </row>
    <row r="318" spans="1:23" s="68" customFormat="1" ht="14.25" customHeight="1">
      <c r="A318" s="490" t="s">
        <v>2648</v>
      </c>
      <c r="B318" s="490" t="s">
        <v>452</v>
      </c>
      <c r="C318" s="491" t="s">
        <v>2748</v>
      </c>
      <c r="D318" s="485"/>
      <c r="E318" s="68">
        <v>196369</v>
      </c>
      <c r="J318" s="68" t="s">
        <v>2652</v>
      </c>
      <c r="K318" s="68" t="s">
        <v>2622</v>
      </c>
      <c r="L318" s="68" t="s">
        <v>2622</v>
      </c>
      <c r="N318" s="68">
        <v>20.337610244751001</v>
      </c>
      <c r="O318" s="68">
        <v>92.969711303710895</v>
      </c>
      <c r="P318" s="482" t="s">
        <v>1972</v>
      </c>
      <c r="R318" s="494"/>
      <c r="S318" s="487"/>
      <c r="T318" s="101">
        <v>43591</v>
      </c>
      <c r="U318" s="494"/>
      <c r="W318" s="399"/>
    </row>
    <row r="319" spans="1:23" s="68" customFormat="1" ht="14.25" customHeight="1">
      <c r="A319" s="400" t="s">
        <v>2648</v>
      </c>
      <c r="B319" s="484" t="s">
        <v>452</v>
      </c>
      <c r="C319" s="484" t="s">
        <v>459</v>
      </c>
      <c r="D319" s="431" t="s">
        <v>1656</v>
      </c>
      <c r="E319" s="68">
        <v>196359</v>
      </c>
      <c r="F319" s="68" t="s">
        <v>459</v>
      </c>
      <c r="J319" s="68" t="s">
        <v>794</v>
      </c>
      <c r="K319" s="68" t="s">
        <v>794</v>
      </c>
      <c r="L319" s="68" t="s">
        <v>794</v>
      </c>
      <c r="M319" s="68" t="s">
        <v>294</v>
      </c>
      <c r="N319" s="68">
        <v>20.361530299999998</v>
      </c>
      <c r="O319" s="68">
        <v>92.992073059999996</v>
      </c>
      <c r="P319" s="482" t="s">
        <v>795</v>
      </c>
      <c r="Q319" s="68" t="s">
        <v>776</v>
      </c>
      <c r="R319" s="486"/>
      <c r="S319" s="400"/>
      <c r="T319" s="101"/>
      <c r="U319" s="97"/>
      <c r="V319" s="68" t="s">
        <v>459</v>
      </c>
      <c r="W319" s="399"/>
    </row>
    <row r="320" spans="1:23" s="68" customFormat="1" ht="14.25" customHeight="1">
      <c r="A320" s="400" t="s">
        <v>2648</v>
      </c>
      <c r="B320" s="484" t="s">
        <v>452</v>
      </c>
      <c r="C320" s="484" t="s">
        <v>486</v>
      </c>
      <c r="D320" s="431" t="s">
        <v>1656</v>
      </c>
      <c r="E320" s="396">
        <v>196351</v>
      </c>
      <c r="F320" s="482"/>
      <c r="G320" s="396"/>
      <c r="H320" s="396"/>
      <c r="I320" s="396"/>
      <c r="J320" s="68" t="s">
        <v>794</v>
      </c>
      <c r="K320" s="482" t="s">
        <v>794</v>
      </c>
      <c r="L320" s="482" t="s">
        <v>794</v>
      </c>
      <c r="M320" s="396" t="s">
        <v>294</v>
      </c>
      <c r="N320" s="396">
        <v>20.50658035</v>
      </c>
      <c r="O320" s="396">
        <v>93.0434494</v>
      </c>
      <c r="P320" s="482" t="s">
        <v>795</v>
      </c>
      <c r="Q320" s="396" t="s">
        <v>776</v>
      </c>
      <c r="R320" s="486"/>
      <c r="S320" s="487"/>
      <c r="T320" s="412"/>
      <c r="U320" s="401"/>
      <c r="V320" s="396" t="s">
        <v>486</v>
      </c>
      <c r="W320" s="399"/>
    </row>
    <row r="321" spans="1:23" s="68" customFormat="1" ht="14.25" customHeight="1">
      <c r="A321" s="400" t="s">
        <v>2648</v>
      </c>
      <c r="B321" s="484" t="s">
        <v>452</v>
      </c>
      <c r="C321" s="484" t="s">
        <v>500</v>
      </c>
      <c r="D321" s="431" t="s">
        <v>1656</v>
      </c>
      <c r="E321" s="396">
        <v>196331</v>
      </c>
      <c r="F321" s="482" t="s">
        <v>500</v>
      </c>
      <c r="I321" s="396"/>
      <c r="J321" s="68" t="s">
        <v>794</v>
      </c>
      <c r="K321" s="482" t="s">
        <v>794</v>
      </c>
      <c r="L321" s="482" t="s">
        <v>794</v>
      </c>
      <c r="M321" s="68" t="s">
        <v>294</v>
      </c>
      <c r="N321" s="68">
        <v>20.564739230000001</v>
      </c>
      <c r="O321" s="396">
        <v>93.064781190000005</v>
      </c>
      <c r="P321" s="68" t="s">
        <v>795</v>
      </c>
      <c r="Q321" s="68" t="s">
        <v>776</v>
      </c>
      <c r="R321" s="486"/>
      <c r="S321" s="487"/>
      <c r="T321" s="101"/>
      <c r="U321" s="97"/>
      <c r="V321" s="68" t="s">
        <v>500</v>
      </c>
      <c r="W321" s="399"/>
    </row>
    <row r="322" spans="1:23" s="68" customFormat="1" ht="14.25" customHeight="1">
      <c r="A322" s="400" t="s">
        <v>2648</v>
      </c>
      <c r="B322" s="484" t="s">
        <v>452</v>
      </c>
      <c r="C322" s="484" t="s">
        <v>468</v>
      </c>
      <c r="D322" s="431" t="s">
        <v>1656</v>
      </c>
      <c r="E322" s="68">
        <v>196356</v>
      </c>
      <c r="J322" s="68" t="s">
        <v>794</v>
      </c>
      <c r="K322" s="68" t="s">
        <v>794</v>
      </c>
      <c r="L322" s="68" t="s">
        <v>794</v>
      </c>
      <c r="M322" s="68" t="s">
        <v>294</v>
      </c>
      <c r="N322" s="68">
        <v>20.424389999999999</v>
      </c>
      <c r="O322" s="68">
        <v>93.012960000000007</v>
      </c>
      <c r="P322" s="482" t="s">
        <v>795</v>
      </c>
      <c r="Q322" s="68" t="s">
        <v>776</v>
      </c>
      <c r="R322" s="486"/>
      <c r="S322" s="487"/>
      <c r="T322" s="101"/>
      <c r="U322" s="97"/>
      <c r="V322" s="68" t="s">
        <v>468</v>
      </c>
      <c r="W322" s="399"/>
    </row>
    <row r="323" spans="1:23" s="68" customFormat="1" ht="14.25" customHeight="1">
      <c r="A323" s="400" t="s">
        <v>2648</v>
      </c>
      <c r="B323" s="403" t="s">
        <v>452</v>
      </c>
      <c r="C323" s="404" t="s">
        <v>2798</v>
      </c>
      <c r="D323" s="485"/>
      <c r="E323" s="68">
        <v>196302</v>
      </c>
      <c r="J323" s="68" t="s">
        <v>2652</v>
      </c>
      <c r="K323" s="68" t="s">
        <v>2622</v>
      </c>
      <c r="L323" s="68" t="s">
        <v>2622</v>
      </c>
      <c r="N323" s="396">
        <v>20.5702304840088</v>
      </c>
      <c r="O323" s="396">
        <v>92.977378845214801</v>
      </c>
      <c r="P323" s="482" t="s">
        <v>1972</v>
      </c>
      <c r="R323" s="494"/>
      <c r="S323" s="96"/>
      <c r="T323" s="101">
        <v>43591</v>
      </c>
      <c r="U323" s="494"/>
      <c r="V323" s="512" t="s">
        <v>2716</v>
      </c>
      <c r="W323" s="399"/>
    </row>
    <row r="324" spans="1:23" s="68" customFormat="1" ht="14.25" customHeight="1">
      <c r="A324" s="400" t="s">
        <v>2648</v>
      </c>
      <c r="B324" s="484" t="s">
        <v>354</v>
      </c>
      <c r="C324" s="484" t="s">
        <v>356</v>
      </c>
      <c r="D324" s="431" t="s">
        <v>1657</v>
      </c>
      <c r="E324" s="68" t="s">
        <v>1346</v>
      </c>
      <c r="F324" s="68" t="s">
        <v>1660</v>
      </c>
      <c r="G324" s="68" t="s">
        <v>1662</v>
      </c>
      <c r="H324" s="68" t="s">
        <v>40</v>
      </c>
      <c r="J324" s="68" t="s">
        <v>42</v>
      </c>
      <c r="K324" s="396" t="s">
        <v>42</v>
      </c>
      <c r="L324" s="68" t="s">
        <v>756</v>
      </c>
      <c r="M324" s="68" t="s">
        <v>294</v>
      </c>
      <c r="N324" s="68">
        <v>19.091054</v>
      </c>
      <c r="O324" s="396">
        <v>93.865170000000006</v>
      </c>
      <c r="P324" s="482" t="s">
        <v>757</v>
      </c>
      <c r="Q324" s="68" t="s">
        <v>776</v>
      </c>
      <c r="R324" s="486"/>
      <c r="S324" s="400"/>
      <c r="T324" s="101"/>
      <c r="U324" s="97"/>
      <c r="V324" s="68" t="s">
        <v>356</v>
      </c>
      <c r="W324" s="399"/>
    </row>
    <row r="325" spans="1:23" s="68" customFormat="1" ht="14.25" customHeight="1">
      <c r="A325" s="400" t="s">
        <v>2648</v>
      </c>
      <c r="B325" s="484" t="s">
        <v>354</v>
      </c>
      <c r="C325" s="484" t="s">
        <v>355</v>
      </c>
      <c r="D325" s="431" t="s">
        <v>1657</v>
      </c>
      <c r="E325" s="68" t="s">
        <v>1345</v>
      </c>
      <c r="F325" s="68" t="s">
        <v>1660</v>
      </c>
      <c r="G325" s="68" t="s">
        <v>1661</v>
      </c>
      <c r="H325" s="68" t="s">
        <v>40</v>
      </c>
      <c r="J325" s="68" t="s">
        <v>42</v>
      </c>
      <c r="K325" s="68" t="s">
        <v>42</v>
      </c>
      <c r="L325" s="68" t="s">
        <v>756</v>
      </c>
      <c r="M325" s="68" t="s">
        <v>791</v>
      </c>
      <c r="N325" s="68">
        <v>19.088283000000001</v>
      </c>
      <c r="O325" s="68">
        <v>93.857592999999994</v>
      </c>
      <c r="P325" s="68" t="s">
        <v>757</v>
      </c>
      <c r="Q325" s="68" t="s">
        <v>776</v>
      </c>
      <c r="R325" s="486"/>
      <c r="S325" s="96"/>
      <c r="T325" s="101"/>
      <c r="U325" s="97" t="s">
        <v>1657</v>
      </c>
      <c r="V325" s="68" t="s">
        <v>792</v>
      </c>
      <c r="W325" s="399"/>
    </row>
    <row r="326" spans="1:23" s="68" customFormat="1" ht="14.25" customHeight="1">
      <c r="A326" s="400" t="s">
        <v>2648</v>
      </c>
      <c r="B326" s="490" t="s">
        <v>295</v>
      </c>
      <c r="C326" s="491" t="s">
        <v>448</v>
      </c>
      <c r="D326" s="485" t="s">
        <v>1656</v>
      </c>
      <c r="E326" s="68">
        <v>196143</v>
      </c>
      <c r="F326" s="482" t="s">
        <v>1664</v>
      </c>
      <c r="J326" s="68" t="s">
        <v>794</v>
      </c>
      <c r="K326" s="482" t="s">
        <v>794</v>
      </c>
      <c r="L326" s="482" t="s">
        <v>794</v>
      </c>
      <c r="M326" s="68" t="s">
        <v>791</v>
      </c>
      <c r="N326" s="68">
        <v>20.235199999999999</v>
      </c>
      <c r="O326" s="68">
        <v>92.805000000000007</v>
      </c>
      <c r="P326" s="482" t="s">
        <v>795</v>
      </c>
      <c r="Q326" s="68" t="s">
        <v>776</v>
      </c>
      <c r="R326" s="494"/>
      <c r="S326" s="487"/>
      <c r="T326" s="101"/>
      <c r="U326" s="97"/>
      <c r="V326" s="68" t="s">
        <v>448</v>
      </c>
      <c r="W326" s="399"/>
    </row>
    <row r="327" spans="1:23" s="68" customFormat="1" ht="14.25" customHeight="1">
      <c r="A327" s="400" t="s">
        <v>2648</v>
      </c>
      <c r="B327" s="490" t="s">
        <v>295</v>
      </c>
      <c r="C327" s="491" t="s">
        <v>1742</v>
      </c>
      <c r="D327" s="485"/>
      <c r="E327" s="396" t="s">
        <v>2955</v>
      </c>
      <c r="F327" s="482"/>
      <c r="G327" s="396"/>
      <c r="H327" s="396"/>
      <c r="I327" s="396"/>
      <c r="J327" s="68" t="s">
        <v>794</v>
      </c>
      <c r="K327" s="482" t="s">
        <v>794</v>
      </c>
      <c r="L327" s="482" t="s">
        <v>794</v>
      </c>
      <c r="M327" s="396"/>
      <c r="N327" s="482"/>
      <c r="O327" s="482"/>
      <c r="P327" s="482" t="s">
        <v>795</v>
      </c>
      <c r="Q327" s="396" t="s">
        <v>2961</v>
      </c>
      <c r="R327" s="494"/>
      <c r="S327" s="487"/>
      <c r="T327" s="412">
        <v>43768</v>
      </c>
      <c r="U327" s="494"/>
      <c r="V327" s="396"/>
      <c r="W327" s="399"/>
    </row>
    <row r="328" spans="1:23" s="68" customFormat="1" ht="14.25" customHeight="1">
      <c r="A328" s="400" t="s">
        <v>2648</v>
      </c>
      <c r="B328" s="490" t="s">
        <v>295</v>
      </c>
      <c r="C328" s="491" t="s">
        <v>1664</v>
      </c>
      <c r="D328" s="485" t="s">
        <v>1876</v>
      </c>
      <c r="E328" s="396">
        <v>196138</v>
      </c>
      <c r="F328" s="482"/>
      <c r="J328" s="68" t="s">
        <v>794</v>
      </c>
      <c r="K328" s="482" t="s">
        <v>794</v>
      </c>
      <c r="L328" s="482" t="s">
        <v>794</v>
      </c>
      <c r="N328" s="68">
        <v>20.2351894378662</v>
      </c>
      <c r="O328" s="396">
        <v>92.790191650390597</v>
      </c>
      <c r="P328" s="482" t="s">
        <v>795</v>
      </c>
      <c r="Q328" s="396"/>
      <c r="R328" s="494"/>
      <c r="S328" s="400"/>
      <c r="T328" s="101"/>
      <c r="U328" s="97"/>
      <c r="V328" s="396"/>
      <c r="W328" s="399"/>
    </row>
    <row r="329" spans="1:23" s="68" customFormat="1" ht="14.25" customHeight="1">
      <c r="A329" s="400" t="s">
        <v>2648</v>
      </c>
      <c r="B329" s="403" t="s">
        <v>295</v>
      </c>
      <c r="C329" s="404" t="s">
        <v>449</v>
      </c>
      <c r="D329" s="485" t="s">
        <v>1656</v>
      </c>
      <c r="E329" s="68">
        <v>196152</v>
      </c>
      <c r="F329" s="482"/>
      <c r="J329" s="68" t="s">
        <v>794</v>
      </c>
      <c r="K329" s="396" t="s">
        <v>794</v>
      </c>
      <c r="L329" s="396" t="s">
        <v>794</v>
      </c>
      <c r="M329" s="68" t="s">
        <v>294</v>
      </c>
      <c r="N329" s="68">
        <v>20.235199999999999</v>
      </c>
      <c r="O329" s="68">
        <v>92.790199999999999</v>
      </c>
      <c r="P329" s="68" t="s">
        <v>795</v>
      </c>
      <c r="Q329" s="68" t="s">
        <v>776</v>
      </c>
      <c r="R329" s="494"/>
      <c r="S329" s="96"/>
      <c r="T329" s="101"/>
      <c r="U329" s="97"/>
      <c r="V329" s="68" t="s">
        <v>449</v>
      </c>
      <c r="W329" s="399"/>
    </row>
    <row r="330" spans="1:23" s="68" customFormat="1" ht="14.25" customHeight="1">
      <c r="A330" s="400" t="s">
        <v>2648</v>
      </c>
      <c r="B330" s="403" t="s">
        <v>295</v>
      </c>
      <c r="C330" s="404" t="s">
        <v>2956</v>
      </c>
      <c r="D330" s="485"/>
      <c r="E330" s="396" t="s">
        <v>2957</v>
      </c>
      <c r="F330" s="396"/>
      <c r="G330" s="396"/>
      <c r="H330" s="396"/>
      <c r="I330" s="396"/>
      <c r="J330" s="396" t="s">
        <v>794</v>
      </c>
      <c r="K330" s="396" t="s">
        <v>794</v>
      </c>
      <c r="L330" s="396" t="s">
        <v>794</v>
      </c>
      <c r="M330" s="396"/>
      <c r="N330" s="482"/>
      <c r="O330" s="482"/>
      <c r="P330" s="396" t="s">
        <v>795</v>
      </c>
      <c r="Q330" s="396" t="s">
        <v>2961</v>
      </c>
      <c r="R330" s="494"/>
      <c r="S330" s="400"/>
      <c r="T330" s="412">
        <v>43768</v>
      </c>
      <c r="U330" s="494"/>
      <c r="V330" s="396"/>
      <c r="W330" s="399"/>
    </row>
    <row r="331" spans="1:23" s="68" customFormat="1" ht="14.25" customHeight="1">
      <c r="A331" s="400" t="s">
        <v>2648</v>
      </c>
      <c r="B331" s="490" t="s">
        <v>295</v>
      </c>
      <c r="C331" s="491" t="s">
        <v>1881</v>
      </c>
      <c r="D331" s="485" t="s">
        <v>1876</v>
      </c>
      <c r="E331" s="482"/>
      <c r="F331" s="396"/>
      <c r="J331" s="68" t="s">
        <v>794</v>
      </c>
      <c r="K331" s="482" t="s">
        <v>794</v>
      </c>
      <c r="L331" s="482" t="s">
        <v>794</v>
      </c>
      <c r="O331" s="396"/>
      <c r="P331" s="482" t="s">
        <v>795</v>
      </c>
      <c r="R331" s="494"/>
      <c r="S331" s="487"/>
      <c r="T331" s="101"/>
      <c r="U331" s="97"/>
      <c r="W331" s="399"/>
    </row>
    <row r="332" spans="1:23" s="68" customFormat="1" ht="14.25" customHeight="1">
      <c r="A332" s="400" t="s">
        <v>2648</v>
      </c>
      <c r="B332" s="490" t="s">
        <v>295</v>
      </c>
      <c r="C332" s="491" t="s">
        <v>413</v>
      </c>
      <c r="D332" s="485" t="s">
        <v>1656</v>
      </c>
      <c r="E332" s="482"/>
      <c r="F332" s="396"/>
      <c r="G332" s="396"/>
      <c r="H332" s="396"/>
      <c r="I332" s="396"/>
      <c r="J332" s="396" t="s">
        <v>794</v>
      </c>
      <c r="K332" s="482" t="s">
        <v>794</v>
      </c>
      <c r="L332" s="482" t="s">
        <v>794</v>
      </c>
      <c r="M332" s="396" t="s">
        <v>791</v>
      </c>
      <c r="N332" s="396"/>
      <c r="O332" s="396"/>
      <c r="P332" s="396" t="s">
        <v>795</v>
      </c>
      <c r="Q332" s="396" t="s">
        <v>776</v>
      </c>
      <c r="R332" s="494"/>
      <c r="S332" s="487"/>
      <c r="T332" s="412"/>
      <c r="U332" s="401"/>
      <c r="V332" s="396" t="s">
        <v>413</v>
      </c>
      <c r="W332" s="399"/>
    </row>
    <row r="333" spans="1:23" s="68" customFormat="1" ht="14.25" customHeight="1">
      <c r="A333" s="400" t="s">
        <v>2648</v>
      </c>
      <c r="B333" s="490" t="s">
        <v>295</v>
      </c>
      <c r="C333" s="491" t="s">
        <v>414</v>
      </c>
      <c r="D333" s="431" t="s">
        <v>2712</v>
      </c>
      <c r="E333" s="482" t="s">
        <v>1356</v>
      </c>
      <c r="F333" s="482" t="s">
        <v>1741</v>
      </c>
      <c r="G333" s="68" t="s">
        <v>1742</v>
      </c>
      <c r="H333" s="68" t="s">
        <v>40</v>
      </c>
      <c r="J333" s="68" t="s">
        <v>42</v>
      </c>
      <c r="K333" s="482" t="s">
        <v>42</v>
      </c>
      <c r="L333" s="482" t="s">
        <v>790</v>
      </c>
      <c r="M333" s="68" t="s">
        <v>791</v>
      </c>
      <c r="N333" s="68">
        <v>20.128488999999998</v>
      </c>
      <c r="O333" s="68">
        <v>92.875814000000005</v>
      </c>
      <c r="P333" s="68" t="s">
        <v>757</v>
      </c>
      <c r="Q333" s="68" t="s">
        <v>776</v>
      </c>
      <c r="R333" s="486">
        <v>396</v>
      </c>
      <c r="S333" s="487">
        <v>2285</v>
      </c>
      <c r="T333" s="101"/>
      <c r="U333" s="97"/>
      <c r="V333" s="68" t="s">
        <v>836</v>
      </c>
      <c r="W333" s="399"/>
    </row>
    <row r="334" spans="1:23" s="68" customFormat="1" ht="14.25" customHeight="1">
      <c r="A334" s="400" t="s">
        <v>2648</v>
      </c>
      <c r="B334" s="403" t="s">
        <v>295</v>
      </c>
      <c r="C334" s="404" t="s">
        <v>861</v>
      </c>
      <c r="D334" s="398" t="s">
        <v>1657</v>
      </c>
      <c r="E334" s="482" t="s">
        <v>1370</v>
      </c>
      <c r="F334" s="396" t="s">
        <v>1663</v>
      </c>
      <c r="G334" s="68" t="s">
        <v>1689</v>
      </c>
      <c r="J334" s="68" t="s">
        <v>42</v>
      </c>
      <c r="K334" s="396" t="s">
        <v>42</v>
      </c>
      <c r="L334" s="396" t="s">
        <v>756</v>
      </c>
      <c r="M334" s="68" t="s">
        <v>791</v>
      </c>
      <c r="N334" s="68">
        <v>20.181238</v>
      </c>
      <c r="O334" s="68">
        <v>92.807418999999996</v>
      </c>
      <c r="P334" s="68" t="s">
        <v>757</v>
      </c>
      <c r="Q334" s="68" t="s">
        <v>776</v>
      </c>
      <c r="R334" s="405"/>
      <c r="S334" s="400"/>
      <c r="T334" s="101"/>
      <c r="U334" s="97"/>
      <c r="V334" s="68" t="s">
        <v>861</v>
      </c>
      <c r="W334" s="399"/>
    </row>
    <row r="335" spans="1:23" s="68" customFormat="1" ht="14.25" customHeight="1">
      <c r="A335" s="400" t="s">
        <v>2648</v>
      </c>
      <c r="B335" s="490" t="s">
        <v>295</v>
      </c>
      <c r="C335" s="491" t="s">
        <v>425</v>
      </c>
      <c r="D335" s="431" t="s">
        <v>2712</v>
      </c>
      <c r="E335" s="68" t="s">
        <v>1368</v>
      </c>
      <c r="F335" s="68" t="s">
        <v>1663</v>
      </c>
      <c r="G335" s="68" t="s">
        <v>1689</v>
      </c>
      <c r="H335" s="68" t="s">
        <v>40</v>
      </c>
      <c r="J335" s="68" t="s">
        <v>42</v>
      </c>
      <c r="K335" s="68" t="s">
        <v>42</v>
      </c>
      <c r="L335" s="68" t="s">
        <v>790</v>
      </c>
      <c r="M335" s="68" t="s">
        <v>791</v>
      </c>
      <c r="N335" s="68">
        <v>20.179417000000001</v>
      </c>
      <c r="O335" s="68">
        <v>92.813028000000003</v>
      </c>
      <c r="P335" s="68" t="s">
        <v>757</v>
      </c>
      <c r="R335" s="486">
        <v>1013</v>
      </c>
      <c r="S335" s="487">
        <v>4774</v>
      </c>
      <c r="T335" s="101"/>
      <c r="U335" s="97" t="s">
        <v>858</v>
      </c>
      <c r="W335" s="399"/>
    </row>
    <row r="336" spans="1:23" s="68" customFormat="1" ht="14.25" customHeight="1">
      <c r="A336" s="400" t="s">
        <v>2648</v>
      </c>
      <c r="B336" s="490" t="s">
        <v>295</v>
      </c>
      <c r="C336" s="491" t="s">
        <v>427</v>
      </c>
      <c r="D336" s="431" t="s">
        <v>2712</v>
      </c>
      <c r="E336" s="68" t="s">
        <v>1371</v>
      </c>
      <c r="F336" s="68" t="s">
        <v>1663</v>
      </c>
      <c r="G336" s="68" t="s">
        <v>1689</v>
      </c>
      <c r="H336" s="68" t="s">
        <v>40</v>
      </c>
      <c r="J336" s="68" t="s">
        <v>42</v>
      </c>
      <c r="K336" s="396" t="s">
        <v>42</v>
      </c>
      <c r="L336" s="396" t="s">
        <v>790</v>
      </c>
      <c r="M336" s="68" t="s">
        <v>791</v>
      </c>
      <c r="N336" s="68">
        <v>20.181405999999999</v>
      </c>
      <c r="O336" s="68">
        <v>92.807552000000001</v>
      </c>
      <c r="P336" s="68" t="s">
        <v>757</v>
      </c>
      <c r="R336" s="486">
        <v>1334</v>
      </c>
      <c r="S336" s="487">
        <v>6643</v>
      </c>
      <c r="T336" s="101"/>
      <c r="U336" s="97" t="s">
        <v>858</v>
      </c>
      <c r="W336" s="399"/>
    </row>
    <row r="337" spans="1:23" s="68" customFormat="1" ht="14.25" customHeight="1">
      <c r="A337" s="400" t="s">
        <v>2648</v>
      </c>
      <c r="B337" s="490" t="s">
        <v>295</v>
      </c>
      <c r="C337" s="491" t="s">
        <v>1089</v>
      </c>
      <c r="D337" s="485" t="s">
        <v>1656</v>
      </c>
      <c r="E337" s="482"/>
      <c r="J337" s="68" t="s">
        <v>794</v>
      </c>
      <c r="K337" s="482" t="s">
        <v>794</v>
      </c>
      <c r="L337" s="482" t="s">
        <v>794</v>
      </c>
      <c r="M337" s="68" t="s">
        <v>791</v>
      </c>
      <c r="P337" s="68" t="s">
        <v>795</v>
      </c>
      <c r="Q337" s="68" t="s">
        <v>758</v>
      </c>
      <c r="R337" s="494"/>
      <c r="S337" s="400"/>
      <c r="T337" s="101">
        <v>42804</v>
      </c>
      <c r="U337" s="97"/>
      <c r="V337" s="68" t="s">
        <v>1089</v>
      </c>
      <c r="W337" s="399"/>
    </row>
    <row r="338" spans="1:23" s="68" customFormat="1" ht="14.25" customHeight="1">
      <c r="A338" s="400" t="s">
        <v>2648</v>
      </c>
      <c r="B338" s="490" t="s">
        <v>295</v>
      </c>
      <c r="C338" s="491" t="s">
        <v>2644</v>
      </c>
      <c r="D338" s="431" t="s">
        <v>2712</v>
      </c>
      <c r="E338" s="68" t="s">
        <v>1374</v>
      </c>
      <c r="F338" s="68" t="s">
        <v>1663</v>
      </c>
      <c r="G338" s="68" t="s">
        <v>1689</v>
      </c>
      <c r="H338" s="68" t="s">
        <v>40</v>
      </c>
      <c r="J338" s="68" t="s">
        <v>42</v>
      </c>
      <c r="K338" s="482" t="s">
        <v>42</v>
      </c>
      <c r="L338" s="482" t="s">
        <v>768</v>
      </c>
      <c r="M338" s="68" t="s">
        <v>791</v>
      </c>
      <c r="N338" s="68">
        <v>20.182987000000001</v>
      </c>
      <c r="O338" s="68">
        <v>92.804803000000007</v>
      </c>
      <c r="P338" s="68" t="s">
        <v>769</v>
      </c>
      <c r="Q338" s="68" t="s">
        <v>776</v>
      </c>
      <c r="R338" s="486">
        <v>41</v>
      </c>
      <c r="S338" s="487">
        <v>226</v>
      </c>
      <c r="T338" s="101"/>
      <c r="U338" s="97"/>
      <c r="V338" s="68" t="s">
        <v>863</v>
      </c>
      <c r="W338" s="399"/>
    </row>
    <row r="339" spans="1:23" s="68" customFormat="1" ht="14.25" customHeight="1">
      <c r="A339" s="400" t="s">
        <v>2648</v>
      </c>
      <c r="B339" s="403" t="s">
        <v>295</v>
      </c>
      <c r="C339" s="404" t="s">
        <v>415</v>
      </c>
      <c r="D339" s="485" t="s">
        <v>1656</v>
      </c>
      <c r="E339" s="482">
        <v>196200</v>
      </c>
      <c r="J339" s="68" t="s">
        <v>800</v>
      </c>
      <c r="K339" s="68" t="s">
        <v>794</v>
      </c>
      <c r="L339" s="68" t="s">
        <v>800</v>
      </c>
      <c r="M339" s="68" t="s">
        <v>791</v>
      </c>
      <c r="N339" s="68">
        <v>20.143859859999999</v>
      </c>
      <c r="O339" s="68">
        <v>92.867576600000007</v>
      </c>
      <c r="P339" s="68" t="s">
        <v>919</v>
      </c>
      <c r="Q339" s="68" t="s">
        <v>758</v>
      </c>
      <c r="R339" s="494"/>
      <c r="S339" s="400"/>
      <c r="T339" s="101">
        <v>42811</v>
      </c>
      <c r="U339" s="97"/>
      <c r="W339" s="399"/>
    </row>
    <row r="340" spans="1:23" s="68" customFormat="1" ht="14.25" customHeight="1">
      <c r="A340" s="400" t="s">
        <v>2648</v>
      </c>
      <c r="B340" s="484" t="s">
        <v>295</v>
      </c>
      <c r="C340" s="484" t="s">
        <v>2590</v>
      </c>
      <c r="D340" s="431"/>
      <c r="E340" s="68">
        <v>196203</v>
      </c>
      <c r="F340" s="484"/>
      <c r="J340" s="68" t="s">
        <v>794</v>
      </c>
      <c r="K340" s="484" t="s">
        <v>794</v>
      </c>
      <c r="L340" s="484" t="s">
        <v>794</v>
      </c>
      <c r="N340" s="68">
        <v>20.142469406127901</v>
      </c>
      <c r="O340" s="68">
        <v>92.863967895507798</v>
      </c>
      <c r="P340" s="68" t="s">
        <v>795</v>
      </c>
      <c r="R340" s="490"/>
      <c r="S340" s="491"/>
      <c r="T340" s="101"/>
      <c r="U340" s="97"/>
      <c r="W340" s="399"/>
    </row>
    <row r="341" spans="1:23" s="68" customFormat="1" ht="14.25" customHeight="1">
      <c r="A341" s="400" t="s">
        <v>2648</v>
      </c>
      <c r="B341" s="484" t="s">
        <v>295</v>
      </c>
      <c r="C341" s="484" t="s">
        <v>2577</v>
      </c>
      <c r="D341" s="431"/>
      <c r="E341" s="68">
        <v>196132</v>
      </c>
      <c r="J341" s="68" t="s">
        <v>794</v>
      </c>
      <c r="K341" s="68" t="s">
        <v>794</v>
      </c>
      <c r="L341" s="68" t="s">
        <v>794</v>
      </c>
      <c r="N341" s="482">
        <v>20.2034397125244</v>
      </c>
      <c r="O341" s="482">
        <v>92.909606933593807</v>
      </c>
      <c r="P341" s="68" t="s">
        <v>795</v>
      </c>
      <c r="R341" s="486"/>
      <c r="S341" s="486"/>
      <c r="T341" s="101"/>
      <c r="U341" s="97"/>
      <c r="W341" s="399"/>
    </row>
    <row r="342" spans="1:23" s="68" customFormat="1" ht="14.25" customHeight="1">
      <c r="A342" s="400" t="s">
        <v>2648</v>
      </c>
      <c r="B342" s="490" t="s">
        <v>295</v>
      </c>
      <c r="C342" s="491" t="s">
        <v>455</v>
      </c>
      <c r="D342" s="485" t="s">
        <v>1656</v>
      </c>
      <c r="E342" s="68">
        <v>196172</v>
      </c>
      <c r="J342" s="68" t="s">
        <v>794</v>
      </c>
      <c r="K342" s="68" t="s">
        <v>794</v>
      </c>
      <c r="L342" s="68" t="s">
        <v>794</v>
      </c>
      <c r="M342" s="68" t="s">
        <v>294</v>
      </c>
      <c r="N342" s="68">
        <v>20.286720280000001</v>
      </c>
      <c r="O342" s="68">
        <v>92.882843019999996</v>
      </c>
      <c r="P342" s="634" t="s">
        <v>795</v>
      </c>
      <c r="Q342" s="68" t="s">
        <v>758</v>
      </c>
      <c r="R342" s="494"/>
      <c r="S342" s="400"/>
      <c r="T342" s="101">
        <v>42811</v>
      </c>
      <c r="U342" s="97"/>
      <c r="W342" s="399"/>
    </row>
    <row r="343" spans="1:23" s="68" customFormat="1" ht="14.25" customHeight="1">
      <c r="A343" s="400" t="s">
        <v>2648</v>
      </c>
      <c r="B343" s="490" t="s">
        <v>295</v>
      </c>
      <c r="C343" s="491" t="s">
        <v>424</v>
      </c>
      <c r="D343" s="431" t="s">
        <v>2712</v>
      </c>
      <c r="E343" s="68" t="s">
        <v>1366</v>
      </c>
      <c r="F343" s="396" t="s">
        <v>415</v>
      </c>
      <c r="G343" s="68" t="s">
        <v>1743</v>
      </c>
      <c r="H343" s="68" t="s">
        <v>40</v>
      </c>
      <c r="J343" s="68" t="s">
        <v>42</v>
      </c>
      <c r="K343" s="482" t="s">
        <v>42</v>
      </c>
      <c r="L343" s="482" t="s">
        <v>790</v>
      </c>
      <c r="M343" s="68" t="s">
        <v>791</v>
      </c>
      <c r="N343" s="68">
        <v>20.16846</v>
      </c>
      <c r="O343" s="68">
        <v>92.827427</v>
      </c>
      <c r="P343" s="68" t="s">
        <v>757</v>
      </c>
      <c r="Q343" s="68" t="s">
        <v>776</v>
      </c>
      <c r="R343" s="486">
        <v>1983</v>
      </c>
      <c r="S343" s="400">
        <v>11391</v>
      </c>
      <c r="T343" s="101"/>
      <c r="U343" s="97"/>
      <c r="V343" s="68" t="s">
        <v>424</v>
      </c>
      <c r="W343" s="399"/>
    </row>
    <row r="344" spans="1:23" s="68" customFormat="1" ht="14.25" customHeight="1">
      <c r="A344" s="400" t="s">
        <v>2648</v>
      </c>
      <c r="B344" s="490" t="s">
        <v>295</v>
      </c>
      <c r="C344" s="491" t="s">
        <v>423</v>
      </c>
      <c r="D344" s="431" t="s">
        <v>2712</v>
      </c>
      <c r="E344" s="396" t="s">
        <v>1365</v>
      </c>
      <c r="F344" s="396" t="s">
        <v>415</v>
      </c>
      <c r="G344" s="396" t="s">
        <v>1743</v>
      </c>
      <c r="H344" s="396" t="s">
        <v>40</v>
      </c>
      <c r="I344" s="396"/>
      <c r="J344" s="396" t="s">
        <v>42</v>
      </c>
      <c r="K344" s="68" t="s">
        <v>42</v>
      </c>
      <c r="L344" s="68" t="s">
        <v>768</v>
      </c>
      <c r="M344" s="68" t="s">
        <v>791</v>
      </c>
      <c r="N344" s="396">
        <v>20.167421999999998</v>
      </c>
      <c r="O344" s="396">
        <v>92.830074999999994</v>
      </c>
      <c r="P344" s="68" t="s">
        <v>769</v>
      </c>
      <c r="Q344" s="396"/>
      <c r="R344" s="486">
        <v>518</v>
      </c>
      <c r="S344" s="400">
        <v>2951</v>
      </c>
      <c r="T344" s="412"/>
      <c r="U344" s="401" t="s">
        <v>853</v>
      </c>
      <c r="V344" s="396" t="s">
        <v>854</v>
      </c>
      <c r="W344" s="399"/>
    </row>
    <row r="345" spans="1:23" s="68" customFormat="1" ht="14.25" customHeight="1">
      <c r="A345" s="400" t="s">
        <v>2648</v>
      </c>
      <c r="B345" s="490" t="s">
        <v>295</v>
      </c>
      <c r="C345" s="491" t="s">
        <v>298</v>
      </c>
      <c r="D345" s="485" t="s">
        <v>1656</v>
      </c>
      <c r="E345" s="396"/>
      <c r="F345" s="482"/>
      <c r="J345" s="68" t="s">
        <v>794</v>
      </c>
      <c r="K345" s="482" t="s">
        <v>794</v>
      </c>
      <c r="L345" s="482" t="s">
        <v>794</v>
      </c>
      <c r="M345" s="68" t="s">
        <v>791</v>
      </c>
      <c r="P345" s="482" t="s">
        <v>795</v>
      </c>
      <c r="Q345" s="68" t="s">
        <v>776</v>
      </c>
      <c r="R345" s="494"/>
      <c r="S345" s="487"/>
      <c r="T345" s="101"/>
      <c r="U345" s="97"/>
      <c r="V345" s="68" t="s">
        <v>298</v>
      </c>
      <c r="W345" s="399"/>
    </row>
    <row r="346" spans="1:23" s="68" customFormat="1" ht="14.25" customHeight="1">
      <c r="A346" s="400" t="s">
        <v>2648</v>
      </c>
      <c r="B346" s="484" t="s">
        <v>295</v>
      </c>
      <c r="C346" s="491" t="s">
        <v>2591</v>
      </c>
      <c r="D346" s="485"/>
      <c r="E346" s="396">
        <v>196202</v>
      </c>
      <c r="F346" s="482" t="s">
        <v>415</v>
      </c>
      <c r="J346" s="68" t="s">
        <v>794</v>
      </c>
      <c r="K346" s="396" t="s">
        <v>794</v>
      </c>
      <c r="L346" s="484" t="s">
        <v>794</v>
      </c>
      <c r="N346" s="68">
        <v>20.170469284057599</v>
      </c>
      <c r="O346" s="68">
        <v>92.8343505859375</v>
      </c>
      <c r="P346" s="68" t="s">
        <v>795</v>
      </c>
      <c r="R346" s="494"/>
      <c r="S346" s="400"/>
      <c r="T346" s="101"/>
      <c r="U346" s="97"/>
      <c r="W346" s="399"/>
    </row>
    <row r="347" spans="1:23" s="68" customFormat="1" ht="14.25" customHeight="1">
      <c r="A347" s="400" t="s">
        <v>2648</v>
      </c>
      <c r="B347" s="484" t="s">
        <v>295</v>
      </c>
      <c r="C347" s="484" t="s">
        <v>1743</v>
      </c>
      <c r="D347" s="431"/>
      <c r="E347" s="396">
        <v>196206</v>
      </c>
      <c r="F347" s="484" t="s">
        <v>415</v>
      </c>
      <c r="G347" s="396"/>
      <c r="H347" s="396"/>
      <c r="I347" s="396"/>
      <c r="J347" s="396" t="s">
        <v>794</v>
      </c>
      <c r="K347" s="484" t="s">
        <v>794</v>
      </c>
      <c r="L347" s="484" t="s">
        <v>794</v>
      </c>
      <c r="N347" s="396">
        <v>20.168970108032202</v>
      </c>
      <c r="O347" s="396">
        <v>92.826896667480497</v>
      </c>
      <c r="P347" s="68" t="s">
        <v>795</v>
      </c>
      <c r="Q347" s="396"/>
      <c r="R347" s="486"/>
      <c r="S347" s="400"/>
      <c r="T347" s="412"/>
      <c r="U347" s="401"/>
      <c r="V347" s="396"/>
      <c r="W347" s="399"/>
    </row>
    <row r="348" spans="1:23" s="68" customFormat="1" ht="14.25" customHeight="1">
      <c r="A348" s="400" t="s">
        <v>2648</v>
      </c>
      <c r="B348" s="490" t="s">
        <v>295</v>
      </c>
      <c r="C348" s="491" t="s">
        <v>1879</v>
      </c>
      <c r="D348" s="485" t="s">
        <v>1876</v>
      </c>
      <c r="E348" s="396"/>
      <c r="F348" s="396"/>
      <c r="G348" s="396"/>
      <c r="H348" s="396"/>
      <c r="I348" s="396"/>
      <c r="J348" s="396" t="s">
        <v>794</v>
      </c>
      <c r="K348" s="482" t="s">
        <v>794</v>
      </c>
      <c r="L348" s="68" t="s">
        <v>794</v>
      </c>
      <c r="N348" s="396"/>
      <c r="O348" s="396"/>
      <c r="P348" s="68" t="s">
        <v>795</v>
      </c>
      <c r="Q348" s="396"/>
      <c r="R348" s="494"/>
      <c r="S348" s="487"/>
      <c r="T348" s="412"/>
      <c r="U348" s="401"/>
      <c r="V348" s="396"/>
      <c r="W348" s="399"/>
    </row>
    <row r="349" spans="1:23" s="68" customFormat="1" ht="14.25" customHeight="1">
      <c r="A349" s="400" t="s">
        <v>2648</v>
      </c>
      <c r="B349" s="490" t="s">
        <v>295</v>
      </c>
      <c r="C349" s="491" t="s">
        <v>443</v>
      </c>
      <c r="D349" s="485" t="s">
        <v>1656</v>
      </c>
      <c r="E349" s="396">
        <v>196140</v>
      </c>
      <c r="J349" s="396" t="s">
        <v>794</v>
      </c>
      <c r="K349" s="482" t="s">
        <v>794</v>
      </c>
      <c r="L349" s="396" t="s">
        <v>794</v>
      </c>
      <c r="M349" s="68" t="s">
        <v>294</v>
      </c>
      <c r="N349" s="68">
        <v>20.218299999999999</v>
      </c>
      <c r="O349" s="68">
        <v>92.805999999999997</v>
      </c>
      <c r="P349" s="68" t="s">
        <v>795</v>
      </c>
      <c r="Q349" s="68" t="s">
        <v>776</v>
      </c>
      <c r="R349" s="494"/>
      <c r="S349" s="487"/>
      <c r="T349" s="101"/>
      <c r="U349" s="97"/>
      <c r="V349" s="68" t="s">
        <v>443</v>
      </c>
      <c r="W349" s="399"/>
    </row>
    <row r="350" spans="1:23" s="68" customFormat="1" ht="14.25" customHeight="1">
      <c r="A350" s="487" t="s">
        <v>2648</v>
      </c>
      <c r="B350" s="490" t="s">
        <v>295</v>
      </c>
      <c r="C350" s="491" t="s">
        <v>846</v>
      </c>
      <c r="D350" s="485" t="s">
        <v>1657</v>
      </c>
      <c r="E350" s="482" t="s">
        <v>1361</v>
      </c>
      <c r="F350" s="482" t="s">
        <v>1688</v>
      </c>
      <c r="G350" s="482">
        <v>0</v>
      </c>
      <c r="H350" s="482"/>
      <c r="I350" s="482"/>
      <c r="J350" s="482" t="s">
        <v>42</v>
      </c>
      <c r="K350" s="482" t="s">
        <v>42</v>
      </c>
      <c r="L350" s="482" t="s">
        <v>756</v>
      </c>
      <c r="M350" s="482"/>
      <c r="N350" s="482">
        <v>20.153129</v>
      </c>
      <c r="O350" s="482">
        <v>92.897177999999997</v>
      </c>
      <c r="P350" s="482" t="s">
        <v>757</v>
      </c>
      <c r="Q350" s="482"/>
      <c r="R350" s="494"/>
      <c r="S350" s="487"/>
      <c r="T350" s="506"/>
      <c r="U350" s="488"/>
      <c r="V350" s="482" t="s">
        <v>847</v>
      </c>
      <c r="W350" s="399"/>
    </row>
    <row r="351" spans="1:23" s="68" customFormat="1" ht="14.25" customHeight="1">
      <c r="A351" s="400" t="s">
        <v>2648</v>
      </c>
      <c r="B351" s="484" t="s">
        <v>295</v>
      </c>
      <c r="C351" s="484" t="s">
        <v>2584</v>
      </c>
      <c r="D351" s="431"/>
      <c r="E351" s="484">
        <v>196126</v>
      </c>
      <c r="F351" s="68" t="s">
        <v>2586</v>
      </c>
      <c r="J351" s="68" t="s">
        <v>794</v>
      </c>
      <c r="K351" s="484" t="s">
        <v>794</v>
      </c>
      <c r="L351" s="484" t="s">
        <v>794</v>
      </c>
      <c r="N351" s="68">
        <v>20.199499130248999</v>
      </c>
      <c r="O351" s="68">
        <v>92.834327697753906</v>
      </c>
      <c r="P351" s="68" t="s">
        <v>795</v>
      </c>
      <c r="R351" s="486"/>
      <c r="S351" s="400"/>
      <c r="T351" s="101"/>
      <c r="U351" s="97"/>
      <c r="W351" s="399"/>
    </row>
    <row r="352" spans="1:23" s="68" customFormat="1" ht="14.25" customHeight="1">
      <c r="A352" s="400" t="s">
        <v>2648</v>
      </c>
      <c r="B352" s="484" t="s">
        <v>295</v>
      </c>
      <c r="C352" s="484" t="s">
        <v>2585</v>
      </c>
      <c r="D352" s="431"/>
      <c r="E352" s="396">
        <v>196128</v>
      </c>
      <c r="F352" s="482" t="s">
        <v>2586</v>
      </c>
      <c r="J352" s="68" t="s">
        <v>794</v>
      </c>
      <c r="K352" s="484" t="s">
        <v>794</v>
      </c>
      <c r="L352" s="484" t="s">
        <v>794</v>
      </c>
      <c r="M352" s="396"/>
      <c r="N352" s="396">
        <v>20.194370269775401</v>
      </c>
      <c r="O352" s="396">
        <v>92.834007263183594</v>
      </c>
      <c r="P352" s="396" t="s">
        <v>795</v>
      </c>
      <c r="R352" s="486"/>
      <c r="S352" s="486"/>
      <c r="T352" s="101"/>
      <c r="U352" s="488"/>
      <c r="W352" s="399"/>
    </row>
    <row r="353" spans="1:23" s="68" customFormat="1" ht="14.25" customHeight="1">
      <c r="A353" s="400" t="s">
        <v>2648</v>
      </c>
      <c r="B353" s="490" t="s">
        <v>295</v>
      </c>
      <c r="C353" s="491" t="s">
        <v>435</v>
      </c>
      <c r="D353" s="398" t="s">
        <v>1656</v>
      </c>
      <c r="E353" s="484">
        <v>196128</v>
      </c>
      <c r="J353" s="68" t="s">
        <v>800</v>
      </c>
      <c r="K353" s="68" t="s">
        <v>794</v>
      </c>
      <c r="L353" s="68" t="s">
        <v>800</v>
      </c>
      <c r="M353" s="68" t="s">
        <v>791</v>
      </c>
      <c r="N353" s="68">
        <v>20.19437027</v>
      </c>
      <c r="O353" s="68">
        <v>92.834007260000007</v>
      </c>
      <c r="P353" s="68" t="s">
        <v>919</v>
      </c>
      <c r="Q353" s="68" t="s">
        <v>758</v>
      </c>
      <c r="R353" s="405"/>
      <c r="S353" s="400"/>
      <c r="T353" s="101">
        <v>42811</v>
      </c>
      <c r="U353" s="488"/>
      <c r="W353" s="399"/>
    </row>
    <row r="354" spans="1:23" s="68" customFormat="1" ht="14.25" customHeight="1">
      <c r="A354" s="400" t="s">
        <v>2648</v>
      </c>
      <c r="B354" s="490" t="s">
        <v>295</v>
      </c>
      <c r="C354" s="491" t="s">
        <v>429</v>
      </c>
      <c r="D354" s="485" t="s">
        <v>1876</v>
      </c>
      <c r="E354" s="482">
        <v>196197</v>
      </c>
      <c r="F354" s="482"/>
      <c r="J354" s="68" t="s">
        <v>794</v>
      </c>
      <c r="K354" s="482" t="s">
        <v>794</v>
      </c>
      <c r="L354" s="482" t="s">
        <v>794</v>
      </c>
      <c r="N354" s="68">
        <v>20.183790210000002</v>
      </c>
      <c r="O354" s="68">
        <v>92.864143369999994</v>
      </c>
      <c r="P354" s="482" t="s">
        <v>795</v>
      </c>
      <c r="R354" s="494"/>
      <c r="S354" s="487"/>
      <c r="T354" s="101"/>
      <c r="U354" s="488"/>
      <c r="W354" s="399"/>
    </row>
    <row r="355" spans="1:23" s="68" customFormat="1" ht="14.25" customHeight="1">
      <c r="A355" s="487" t="s">
        <v>2648</v>
      </c>
      <c r="B355" s="484" t="s">
        <v>295</v>
      </c>
      <c r="C355" s="484" t="s">
        <v>2578</v>
      </c>
      <c r="D355" s="431"/>
      <c r="E355" s="482">
        <v>196135</v>
      </c>
      <c r="F355" s="482"/>
      <c r="G355" s="482"/>
      <c r="H355" s="482"/>
      <c r="I355" s="482"/>
      <c r="J355" s="482" t="s">
        <v>794</v>
      </c>
      <c r="K355" s="482" t="s">
        <v>794</v>
      </c>
      <c r="L355" s="482" t="s">
        <v>794</v>
      </c>
      <c r="M355" s="482"/>
      <c r="N355" s="482">
        <v>20.191799163818398</v>
      </c>
      <c r="O355" s="482">
        <v>92.9066162109375</v>
      </c>
      <c r="P355" s="482" t="s">
        <v>795</v>
      </c>
      <c r="Q355" s="482"/>
      <c r="R355" s="486"/>
      <c r="S355" s="486"/>
      <c r="T355" s="506"/>
      <c r="U355" s="488"/>
      <c r="V355" s="482"/>
      <c r="W355" s="399"/>
    </row>
    <row r="356" spans="1:23" s="68" customFormat="1" ht="14.25" customHeight="1">
      <c r="A356" s="400" t="s">
        <v>2648</v>
      </c>
      <c r="B356" s="484" t="s">
        <v>295</v>
      </c>
      <c r="C356" s="484" t="s">
        <v>2579</v>
      </c>
      <c r="D356" s="431"/>
      <c r="E356" s="68">
        <v>196134</v>
      </c>
      <c r="F356" s="68" t="s">
        <v>2697</v>
      </c>
      <c r="J356" s="68" t="s">
        <v>794</v>
      </c>
      <c r="K356" s="396" t="s">
        <v>794</v>
      </c>
      <c r="L356" s="396" t="s">
        <v>794</v>
      </c>
      <c r="N356" s="68">
        <v>20.187860488891602</v>
      </c>
      <c r="O356" s="68">
        <v>92.903419494628906</v>
      </c>
      <c r="P356" s="68" t="s">
        <v>795</v>
      </c>
      <c r="R356" s="486"/>
      <c r="S356" s="400"/>
      <c r="T356" s="101"/>
      <c r="U356" s="97"/>
      <c r="W356" s="399"/>
    </row>
    <row r="357" spans="1:23" s="68" customFormat="1" ht="14.25" customHeight="1">
      <c r="A357" s="400" t="s">
        <v>2648</v>
      </c>
      <c r="B357" s="484" t="s">
        <v>295</v>
      </c>
      <c r="C357" s="484" t="s">
        <v>2006</v>
      </c>
      <c r="D357" s="431"/>
      <c r="E357" s="68">
        <v>196160</v>
      </c>
      <c r="F357" s="68" t="s">
        <v>2006</v>
      </c>
      <c r="J357" s="68" t="s">
        <v>794</v>
      </c>
      <c r="K357" s="484" t="s">
        <v>794</v>
      </c>
      <c r="L357" s="484" t="s">
        <v>794</v>
      </c>
      <c r="N357" s="68">
        <v>20.246250152587901</v>
      </c>
      <c r="O357" s="68">
        <v>92.822059631347699</v>
      </c>
      <c r="P357" s="396" t="s">
        <v>795</v>
      </c>
      <c r="R357" s="486"/>
      <c r="S357" s="400"/>
      <c r="T357" s="101"/>
      <c r="U357" s="97"/>
      <c r="V357" s="68" t="s">
        <v>2704</v>
      </c>
      <c r="W357" s="399"/>
    </row>
    <row r="358" spans="1:23" s="68" customFormat="1" ht="14.25" customHeight="1">
      <c r="A358" s="400" t="s">
        <v>2648</v>
      </c>
      <c r="B358" s="403" t="s">
        <v>295</v>
      </c>
      <c r="C358" s="404" t="s">
        <v>2285</v>
      </c>
      <c r="D358" s="431" t="s">
        <v>2712</v>
      </c>
      <c r="E358" s="68" t="s">
        <v>1373</v>
      </c>
      <c r="F358" s="68" t="s">
        <v>1663</v>
      </c>
      <c r="G358" s="68" t="s">
        <v>1663</v>
      </c>
      <c r="H358" s="68" t="s">
        <v>40</v>
      </c>
      <c r="J358" s="68" t="s">
        <v>42</v>
      </c>
      <c r="K358" s="68" t="s">
        <v>42</v>
      </c>
      <c r="L358" s="68" t="s">
        <v>790</v>
      </c>
      <c r="M358" s="68" t="s">
        <v>791</v>
      </c>
      <c r="N358" s="68">
        <v>20.181778000000001</v>
      </c>
      <c r="O358" s="68">
        <v>92.823166999999998</v>
      </c>
      <c r="P358" s="68" t="s">
        <v>757</v>
      </c>
      <c r="Q358" s="68" t="s">
        <v>776</v>
      </c>
      <c r="R358" s="486">
        <v>400</v>
      </c>
      <c r="S358" s="400">
        <v>2325</v>
      </c>
      <c r="T358" s="101"/>
      <c r="U358" s="97"/>
      <c r="V358" s="68" t="s">
        <v>862</v>
      </c>
      <c r="W358" s="399"/>
    </row>
    <row r="359" spans="1:23" s="68" customFormat="1" ht="14.25" customHeight="1">
      <c r="A359" s="400" t="s">
        <v>2648</v>
      </c>
      <c r="B359" s="490" t="s">
        <v>295</v>
      </c>
      <c r="C359" s="404" t="s">
        <v>2286</v>
      </c>
      <c r="D359" s="431" t="s">
        <v>2712</v>
      </c>
      <c r="E359" s="396" t="s">
        <v>1373</v>
      </c>
      <c r="F359" s="396" t="s">
        <v>1663</v>
      </c>
      <c r="G359" s="396">
        <v>0</v>
      </c>
      <c r="H359" s="396"/>
      <c r="I359" s="396"/>
      <c r="J359" s="396" t="s">
        <v>42</v>
      </c>
      <c r="K359" s="482" t="s">
        <v>42</v>
      </c>
      <c r="L359" s="482" t="s">
        <v>790</v>
      </c>
      <c r="M359" s="396" t="s">
        <v>791</v>
      </c>
      <c r="N359" s="396">
        <v>20.180194</v>
      </c>
      <c r="O359" s="396">
        <v>92.816638999999995</v>
      </c>
      <c r="P359" s="396" t="s">
        <v>757</v>
      </c>
      <c r="Q359" s="396" t="s">
        <v>776</v>
      </c>
      <c r="R359" s="486">
        <v>399</v>
      </c>
      <c r="S359" s="487">
        <v>2230</v>
      </c>
      <c r="T359" s="412">
        <v>43488</v>
      </c>
      <c r="U359" s="488"/>
      <c r="V359" s="396" t="s">
        <v>860</v>
      </c>
      <c r="W359" s="399"/>
    </row>
    <row r="360" spans="1:23" s="68" customFormat="1" ht="14.25" customHeight="1">
      <c r="A360" s="400" t="s">
        <v>2648</v>
      </c>
      <c r="B360" s="490" t="s">
        <v>295</v>
      </c>
      <c r="C360" s="404" t="s">
        <v>2593</v>
      </c>
      <c r="D360" s="485"/>
      <c r="E360" s="68">
        <v>196195</v>
      </c>
      <c r="J360" s="68" t="s">
        <v>794</v>
      </c>
      <c r="K360" s="482" t="s">
        <v>794</v>
      </c>
      <c r="L360" s="482" t="s">
        <v>794</v>
      </c>
      <c r="N360" s="68">
        <v>20.172649383544901</v>
      </c>
      <c r="O360" s="68">
        <v>92.874351501464801</v>
      </c>
      <c r="P360" s="482" t="s">
        <v>795</v>
      </c>
      <c r="R360" s="494"/>
      <c r="S360" s="487"/>
      <c r="T360" s="101"/>
      <c r="U360" s="488"/>
      <c r="W360" s="399"/>
    </row>
    <row r="361" spans="1:23" s="68" customFormat="1" ht="14.25" customHeight="1">
      <c r="A361" s="400" t="s">
        <v>2648</v>
      </c>
      <c r="B361" s="403" t="s">
        <v>295</v>
      </c>
      <c r="C361" s="404" t="s">
        <v>2594</v>
      </c>
      <c r="D361" s="485"/>
      <c r="J361" s="68" t="s">
        <v>794</v>
      </c>
      <c r="K361" s="68" t="s">
        <v>794</v>
      </c>
      <c r="L361" s="68" t="s">
        <v>794</v>
      </c>
      <c r="P361" s="68" t="s">
        <v>795</v>
      </c>
      <c r="R361" s="494"/>
      <c r="S361" s="400"/>
      <c r="T361" s="101"/>
      <c r="U361" s="97"/>
      <c r="W361" s="399"/>
    </row>
    <row r="362" spans="1:23" s="68" customFormat="1" ht="14.25" customHeight="1">
      <c r="A362" s="400" t="s">
        <v>2648</v>
      </c>
      <c r="B362" s="403" t="s">
        <v>295</v>
      </c>
      <c r="C362" s="404" t="s">
        <v>2002</v>
      </c>
      <c r="D362" s="485"/>
      <c r="E362" s="68">
        <v>196180</v>
      </c>
      <c r="F362" s="68" t="s">
        <v>2003</v>
      </c>
      <c r="J362" s="68" t="s">
        <v>794</v>
      </c>
      <c r="K362" s="68" t="s">
        <v>794</v>
      </c>
      <c r="L362" s="68" t="s">
        <v>794</v>
      </c>
      <c r="M362" s="68" t="s">
        <v>1906</v>
      </c>
      <c r="N362" s="68">
        <v>20.2315197</v>
      </c>
      <c r="O362" s="68">
        <v>92.876129149999997</v>
      </c>
      <c r="P362" s="68" t="s">
        <v>795</v>
      </c>
      <c r="R362" s="494"/>
      <c r="S362" s="400"/>
      <c r="T362" s="101">
        <v>43294</v>
      </c>
      <c r="U362" s="97"/>
      <c r="W362" s="399"/>
    </row>
    <row r="363" spans="1:23" s="68" customFormat="1" ht="14.25" customHeight="1">
      <c r="A363" s="400" t="s">
        <v>2648</v>
      </c>
      <c r="B363" s="484" t="s">
        <v>295</v>
      </c>
      <c r="C363" s="484" t="s">
        <v>2583</v>
      </c>
      <c r="D363" s="431"/>
      <c r="E363" s="396">
        <v>196169</v>
      </c>
      <c r="F363" s="396" t="s">
        <v>2583</v>
      </c>
      <c r="G363" s="396"/>
      <c r="H363" s="396"/>
      <c r="I363" s="396"/>
      <c r="J363" s="396" t="s">
        <v>794</v>
      </c>
      <c r="K363" s="396" t="s">
        <v>794</v>
      </c>
      <c r="L363" s="396" t="s">
        <v>794</v>
      </c>
      <c r="M363" s="396"/>
      <c r="N363" s="396">
        <v>20.2375602722168</v>
      </c>
      <c r="O363" s="396">
        <v>92.861152648925795</v>
      </c>
      <c r="P363" s="396" t="s">
        <v>795</v>
      </c>
      <c r="Q363" s="396"/>
      <c r="R363" s="486"/>
      <c r="S363" s="400"/>
      <c r="T363" s="412"/>
      <c r="U363" s="401"/>
      <c r="V363" s="396"/>
      <c r="W363" s="399"/>
    </row>
    <row r="364" spans="1:23" s="68" customFormat="1" ht="14.25" customHeight="1">
      <c r="A364" s="400" t="s">
        <v>2648</v>
      </c>
      <c r="B364" s="484" t="s">
        <v>295</v>
      </c>
      <c r="C364" s="484" t="s">
        <v>2582</v>
      </c>
      <c r="D364" s="431"/>
      <c r="E364" s="68">
        <v>196170</v>
      </c>
      <c r="F364" s="482" t="s">
        <v>2583</v>
      </c>
      <c r="J364" s="68" t="s">
        <v>794</v>
      </c>
      <c r="K364" s="482" t="s">
        <v>794</v>
      </c>
      <c r="L364" s="482" t="s">
        <v>794</v>
      </c>
      <c r="N364" s="68">
        <v>20.248519897460898</v>
      </c>
      <c r="O364" s="68">
        <v>92.8621826171875</v>
      </c>
      <c r="P364" s="68" t="s">
        <v>795</v>
      </c>
      <c r="R364" s="486"/>
      <c r="S364" s="487"/>
      <c r="T364" s="101"/>
      <c r="U364" s="97"/>
      <c r="W364" s="399"/>
    </row>
    <row r="365" spans="1:23" s="68" customFormat="1" ht="14.25" customHeight="1">
      <c r="A365" s="400" t="s">
        <v>2648</v>
      </c>
      <c r="B365" s="484" t="s">
        <v>295</v>
      </c>
      <c r="C365" s="484" t="s">
        <v>2581</v>
      </c>
      <c r="D365" s="431"/>
      <c r="E365" s="68">
        <v>196166</v>
      </c>
      <c r="F365" s="482" t="s">
        <v>454</v>
      </c>
      <c r="J365" s="68" t="s">
        <v>794</v>
      </c>
      <c r="K365" s="482" t="s">
        <v>794</v>
      </c>
      <c r="L365" s="482" t="s">
        <v>794</v>
      </c>
      <c r="N365" s="68">
        <v>20.2630290985107</v>
      </c>
      <c r="O365" s="68">
        <v>92.858856201171903</v>
      </c>
      <c r="P365" s="68" t="s">
        <v>795</v>
      </c>
      <c r="R365" s="486"/>
      <c r="S365" s="487"/>
      <c r="T365" s="101"/>
      <c r="U365" s="97"/>
      <c r="W365" s="399"/>
    </row>
    <row r="366" spans="1:23" s="68" customFormat="1" ht="14.25" customHeight="1">
      <c r="A366" s="400" t="s">
        <v>2648</v>
      </c>
      <c r="B366" s="490" t="s">
        <v>295</v>
      </c>
      <c r="C366" s="491" t="s">
        <v>450</v>
      </c>
      <c r="D366" s="485" t="s">
        <v>1656</v>
      </c>
      <c r="E366" s="68">
        <v>196137</v>
      </c>
      <c r="F366" s="484" t="s">
        <v>450</v>
      </c>
      <c r="J366" s="68" t="s">
        <v>794</v>
      </c>
      <c r="K366" s="482" t="s">
        <v>794</v>
      </c>
      <c r="L366" s="482" t="s">
        <v>794</v>
      </c>
      <c r="M366" s="68" t="s">
        <v>294</v>
      </c>
      <c r="N366" s="68">
        <v>20.245159149999999</v>
      </c>
      <c r="O366" s="68">
        <v>92.807418819999995</v>
      </c>
      <c r="P366" s="68" t="s">
        <v>795</v>
      </c>
      <c r="Q366" s="68" t="s">
        <v>776</v>
      </c>
      <c r="R366" s="494"/>
      <c r="S366" s="487"/>
      <c r="T366" s="101"/>
      <c r="U366" s="97"/>
      <c r="V366" s="68" t="s">
        <v>450</v>
      </c>
      <c r="W366" s="399"/>
    </row>
    <row r="367" spans="1:23" s="68" customFormat="1" ht="14.25" customHeight="1">
      <c r="A367" s="400" t="s">
        <v>2648</v>
      </c>
      <c r="B367" s="403" t="s">
        <v>295</v>
      </c>
      <c r="C367" s="404" t="s">
        <v>454</v>
      </c>
      <c r="D367" s="398" t="s">
        <v>1656</v>
      </c>
      <c r="E367" s="396">
        <v>196163</v>
      </c>
      <c r="F367" s="396"/>
      <c r="G367" s="396"/>
      <c r="H367" s="396"/>
      <c r="J367" s="68" t="s">
        <v>800</v>
      </c>
      <c r="K367" s="68" t="s">
        <v>794</v>
      </c>
      <c r="L367" s="396" t="s">
        <v>800</v>
      </c>
      <c r="M367" s="68" t="s">
        <v>294</v>
      </c>
      <c r="N367" s="396">
        <v>20.27263069</v>
      </c>
      <c r="O367" s="396">
        <v>92.843261720000001</v>
      </c>
      <c r="P367" s="396" t="s">
        <v>919</v>
      </c>
      <c r="Q367" s="68" t="s">
        <v>758</v>
      </c>
      <c r="R367" s="405"/>
      <c r="S367" s="400"/>
      <c r="T367" s="101">
        <v>42811</v>
      </c>
      <c r="U367" s="401"/>
      <c r="V367" s="396"/>
      <c r="W367" s="399"/>
    </row>
    <row r="368" spans="1:23" s="68" customFormat="1" ht="14.25" customHeight="1">
      <c r="A368" s="400" t="s">
        <v>2648</v>
      </c>
      <c r="B368" s="484" t="s">
        <v>295</v>
      </c>
      <c r="C368" s="484" t="s">
        <v>2586</v>
      </c>
      <c r="D368" s="431"/>
      <c r="E368" s="68">
        <v>196125</v>
      </c>
      <c r="F368" s="68" t="s">
        <v>2586</v>
      </c>
      <c r="J368" s="68" t="s">
        <v>794</v>
      </c>
      <c r="K368" s="484" t="s">
        <v>794</v>
      </c>
      <c r="L368" s="68" t="s">
        <v>794</v>
      </c>
      <c r="N368" s="68">
        <v>20.2105598449707</v>
      </c>
      <c r="O368" s="68">
        <v>92.836456298828097</v>
      </c>
      <c r="P368" s="68" t="s">
        <v>795</v>
      </c>
      <c r="R368" s="486"/>
      <c r="S368" s="486"/>
      <c r="T368" s="101"/>
      <c r="U368" s="97"/>
      <c r="W368" s="399"/>
    </row>
    <row r="369" spans="1:23" s="68" customFormat="1" ht="14.25" customHeight="1">
      <c r="A369" s="656" t="s">
        <v>2648</v>
      </c>
      <c r="B369" s="669" t="s">
        <v>295</v>
      </c>
      <c r="C369" s="668" t="s">
        <v>3108</v>
      </c>
      <c r="D369" s="485"/>
      <c r="E369" s="659"/>
      <c r="F369" s="659"/>
      <c r="G369" s="659"/>
      <c r="H369" s="659"/>
      <c r="I369" s="659"/>
      <c r="J369" s="659" t="s">
        <v>794</v>
      </c>
      <c r="K369" s="659" t="s">
        <v>794</v>
      </c>
      <c r="L369" s="659" t="s">
        <v>794</v>
      </c>
      <c r="M369" s="659"/>
      <c r="N369" s="659"/>
      <c r="O369" s="659"/>
      <c r="P369" s="659"/>
      <c r="Q369" s="659" t="s">
        <v>3102</v>
      </c>
      <c r="R369" s="660"/>
      <c r="S369" s="656"/>
      <c r="T369" s="661">
        <v>43843</v>
      </c>
      <c r="U369" s="660"/>
      <c r="V369" s="659"/>
      <c r="W369" s="399"/>
    </row>
    <row r="370" spans="1:23" s="68" customFormat="1" ht="14.25" customHeight="1">
      <c r="A370" s="400" t="s">
        <v>2648</v>
      </c>
      <c r="B370" s="403" t="s">
        <v>295</v>
      </c>
      <c r="C370" s="404" t="s">
        <v>431</v>
      </c>
      <c r="D370" s="431" t="s">
        <v>2712</v>
      </c>
      <c r="E370" s="68" t="s">
        <v>1376</v>
      </c>
      <c r="F370" s="68" t="s">
        <v>415</v>
      </c>
      <c r="G370" s="68" t="s">
        <v>415</v>
      </c>
      <c r="H370" s="68" t="s">
        <v>40</v>
      </c>
      <c r="J370" s="396" t="s">
        <v>42</v>
      </c>
      <c r="K370" s="396" t="s">
        <v>42</v>
      </c>
      <c r="L370" s="68" t="s">
        <v>790</v>
      </c>
      <c r="M370" s="68" t="s">
        <v>791</v>
      </c>
      <c r="N370" s="68">
        <v>20.185917</v>
      </c>
      <c r="O370" s="68">
        <v>92.831000000000003</v>
      </c>
      <c r="P370" s="68" t="s">
        <v>757</v>
      </c>
      <c r="Q370" s="68" t="s">
        <v>776</v>
      </c>
      <c r="R370" s="486">
        <v>621</v>
      </c>
      <c r="S370" s="400">
        <v>3379</v>
      </c>
      <c r="T370" s="101"/>
      <c r="U370" s="97"/>
      <c r="V370" s="68" t="s">
        <v>865</v>
      </c>
      <c r="W370" s="399"/>
    </row>
    <row r="371" spans="1:23" s="68" customFormat="1" ht="14.25" customHeight="1">
      <c r="A371" s="400" t="s">
        <v>2648</v>
      </c>
      <c r="B371" s="490" t="s">
        <v>295</v>
      </c>
      <c r="C371" s="491" t="s">
        <v>447</v>
      </c>
      <c r="D371" s="485" t="s">
        <v>1656</v>
      </c>
      <c r="E371" s="396">
        <v>196139</v>
      </c>
      <c r="F371" s="482"/>
      <c r="G371" s="396"/>
      <c r="H371" s="396"/>
      <c r="J371" s="68" t="s">
        <v>794</v>
      </c>
      <c r="K371" s="482" t="s">
        <v>794</v>
      </c>
      <c r="L371" s="482" t="s">
        <v>794</v>
      </c>
      <c r="M371" s="68" t="s">
        <v>791</v>
      </c>
      <c r="N371" s="396">
        <v>20.2302</v>
      </c>
      <c r="O371" s="396">
        <v>92.817999999999998</v>
      </c>
      <c r="P371" s="396" t="s">
        <v>795</v>
      </c>
      <c r="Q371" s="68" t="s">
        <v>776</v>
      </c>
      <c r="R371" s="494"/>
      <c r="S371" s="487"/>
      <c r="T371" s="101"/>
      <c r="U371" s="401"/>
      <c r="V371" s="396" t="s">
        <v>447</v>
      </c>
      <c r="W371" s="399"/>
    </row>
    <row r="372" spans="1:23" s="68" customFormat="1" ht="14.25" customHeight="1">
      <c r="A372" s="400" t="s">
        <v>2648</v>
      </c>
      <c r="B372" s="490" t="s">
        <v>295</v>
      </c>
      <c r="C372" s="491" t="s">
        <v>1882</v>
      </c>
      <c r="D372" s="485" t="s">
        <v>1876</v>
      </c>
      <c r="E372" s="396"/>
      <c r="F372" s="396"/>
      <c r="G372" s="396"/>
      <c r="H372" s="396"/>
      <c r="I372" s="396"/>
      <c r="J372" s="396" t="s">
        <v>794</v>
      </c>
      <c r="K372" s="482" t="s">
        <v>794</v>
      </c>
      <c r="L372" s="482" t="s">
        <v>794</v>
      </c>
      <c r="M372" s="396"/>
      <c r="N372" s="396"/>
      <c r="O372" s="396"/>
      <c r="P372" s="396" t="s">
        <v>795</v>
      </c>
      <c r="Q372" s="396"/>
      <c r="R372" s="494"/>
      <c r="S372" s="487"/>
      <c r="T372" s="412"/>
      <c r="U372" s="401"/>
      <c r="V372" s="396"/>
      <c r="W372" s="399"/>
    </row>
    <row r="373" spans="1:23" s="68" customFormat="1" ht="14.25" customHeight="1">
      <c r="A373" s="400" t="s">
        <v>2648</v>
      </c>
      <c r="B373" s="490" t="s">
        <v>295</v>
      </c>
      <c r="C373" s="491" t="s">
        <v>2951</v>
      </c>
      <c r="D373" s="485"/>
      <c r="E373" s="482" t="s">
        <v>2958</v>
      </c>
      <c r="F373" s="482"/>
      <c r="G373" s="396"/>
      <c r="H373" s="396"/>
      <c r="I373" s="396"/>
      <c r="J373" s="396" t="s">
        <v>794</v>
      </c>
      <c r="K373" s="482" t="s">
        <v>794</v>
      </c>
      <c r="L373" s="482" t="s">
        <v>794</v>
      </c>
      <c r="M373" s="396"/>
      <c r="N373" s="482"/>
      <c r="O373" s="482"/>
      <c r="P373" s="396" t="s">
        <v>795</v>
      </c>
      <c r="Q373" s="396" t="s">
        <v>2961</v>
      </c>
      <c r="R373" s="494"/>
      <c r="S373" s="487"/>
      <c r="T373" s="412">
        <v>43768</v>
      </c>
      <c r="U373" s="494"/>
      <c r="V373" s="396"/>
      <c r="W373" s="399"/>
    </row>
    <row r="374" spans="1:23" s="68" customFormat="1" ht="14.25" customHeight="1">
      <c r="A374" s="400" t="s">
        <v>2648</v>
      </c>
      <c r="B374" s="490" t="s">
        <v>295</v>
      </c>
      <c r="C374" s="491" t="s">
        <v>2949</v>
      </c>
      <c r="D374" s="485"/>
      <c r="E374" s="482">
        <v>196153</v>
      </c>
      <c r="F374" s="482" t="s">
        <v>2949</v>
      </c>
      <c r="G374" s="396"/>
      <c r="H374" s="396"/>
      <c r="J374" s="68" t="s">
        <v>794</v>
      </c>
      <c r="K374" s="482" t="s">
        <v>794</v>
      </c>
      <c r="L374" s="482" t="s">
        <v>794</v>
      </c>
      <c r="N374" s="396">
        <v>20.219699859619102</v>
      </c>
      <c r="O374" s="396">
        <v>92.851379394531307</v>
      </c>
      <c r="P374" s="396" t="s">
        <v>795</v>
      </c>
      <c r="Q374" s="68" t="s">
        <v>2961</v>
      </c>
      <c r="R374" s="494"/>
      <c r="S374" s="487"/>
      <c r="T374" s="101">
        <v>43768</v>
      </c>
      <c r="U374" s="494"/>
      <c r="V374" s="396"/>
      <c r="W374" s="399"/>
    </row>
    <row r="375" spans="1:23" s="68" customFormat="1" ht="14.25" customHeight="1">
      <c r="A375" s="400" t="s">
        <v>2648</v>
      </c>
      <c r="B375" s="490" t="s">
        <v>295</v>
      </c>
      <c r="C375" s="491" t="s">
        <v>1880</v>
      </c>
      <c r="D375" s="485" t="s">
        <v>1876</v>
      </c>
      <c r="E375" s="482"/>
      <c r="F375" s="482"/>
      <c r="G375" s="396"/>
      <c r="H375" s="396"/>
      <c r="J375" s="68" t="s">
        <v>794</v>
      </c>
      <c r="K375" s="482" t="s">
        <v>794</v>
      </c>
      <c r="L375" s="482" t="s">
        <v>794</v>
      </c>
      <c r="N375" s="396"/>
      <c r="O375" s="396"/>
      <c r="P375" s="396" t="s">
        <v>795</v>
      </c>
      <c r="R375" s="494"/>
      <c r="S375" s="487"/>
      <c r="T375" s="101"/>
      <c r="U375" s="401"/>
      <c r="V375" s="396"/>
      <c r="W375" s="399"/>
    </row>
    <row r="376" spans="1:23" s="68" customFormat="1" ht="14.25" customHeight="1">
      <c r="A376" s="400" t="s">
        <v>2648</v>
      </c>
      <c r="B376" s="490" t="s">
        <v>295</v>
      </c>
      <c r="C376" s="491" t="s">
        <v>2009</v>
      </c>
      <c r="D376" s="485"/>
      <c r="J376" s="482" t="s">
        <v>794</v>
      </c>
      <c r="K376" s="482" t="s">
        <v>794</v>
      </c>
      <c r="L376" s="482" t="s">
        <v>794</v>
      </c>
      <c r="N376" s="396"/>
      <c r="O376" s="396"/>
      <c r="P376" s="482" t="s">
        <v>795</v>
      </c>
      <c r="R376" s="494"/>
      <c r="S376" s="487"/>
      <c r="T376" s="101">
        <v>43297</v>
      </c>
      <c r="U376" s="97"/>
      <c r="W376" s="399"/>
    </row>
    <row r="377" spans="1:23" s="68" customFormat="1" ht="14.25" customHeight="1">
      <c r="A377" s="400" t="s">
        <v>2648</v>
      </c>
      <c r="B377" s="403" t="s">
        <v>295</v>
      </c>
      <c r="C377" s="404" t="s">
        <v>442</v>
      </c>
      <c r="D377" s="485" t="s">
        <v>1656</v>
      </c>
      <c r="E377" s="68">
        <v>196144</v>
      </c>
      <c r="J377" s="68" t="s">
        <v>794</v>
      </c>
      <c r="K377" s="68" t="s">
        <v>794</v>
      </c>
      <c r="L377" s="68" t="s">
        <v>794</v>
      </c>
      <c r="M377" s="68" t="s">
        <v>791</v>
      </c>
      <c r="N377" s="68">
        <v>20.212700000000002</v>
      </c>
      <c r="O377" s="68">
        <v>92.820800000000006</v>
      </c>
      <c r="P377" s="396" t="s">
        <v>795</v>
      </c>
      <c r="Q377" s="68" t="s">
        <v>776</v>
      </c>
      <c r="R377" s="494"/>
      <c r="S377" s="400"/>
      <c r="T377" s="101"/>
      <c r="U377" s="97"/>
      <c r="V377" s="68" t="s">
        <v>442</v>
      </c>
      <c r="W377" s="399"/>
    </row>
    <row r="378" spans="1:23" s="68" customFormat="1" ht="14.25" customHeight="1">
      <c r="A378" s="400" t="s">
        <v>2648</v>
      </c>
      <c r="B378" s="490" t="s">
        <v>295</v>
      </c>
      <c r="C378" s="491" t="s">
        <v>871</v>
      </c>
      <c r="D378" s="485" t="s">
        <v>1656</v>
      </c>
      <c r="E378" s="396">
        <v>196145</v>
      </c>
      <c r="F378" s="396"/>
      <c r="G378" s="396"/>
      <c r="H378" s="396"/>
      <c r="I378" s="396"/>
      <c r="J378" s="396" t="s">
        <v>794</v>
      </c>
      <c r="K378" s="482" t="s">
        <v>794</v>
      </c>
      <c r="L378" s="482" t="s">
        <v>794</v>
      </c>
      <c r="M378" s="396" t="s">
        <v>791</v>
      </c>
      <c r="N378" s="396">
        <v>20.219509120000001</v>
      </c>
      <c r="O378" s="396">
        <v>92.811332699999994</v>
      </c>
      <c r="P378" s="396" t="s">
        <v>795</v>
      </c>
      <c r="Q378" s="396" t="s">
        <v>758</v>
      </c>
      <c r="R378" s="494"/>
      <c r="S378" s="487"/>
      <c r="T378" s="412">
        <v>42811</v>
      </c>
      <c r="U378" s="401"/>
      <c r="V378" s="396"/>
      <c r="W378" s="399"/>
    </row>
    <row r="379" spans="1:23" s="68" customFormat="1" ht="14.25" customHeight="1">
      <c r="A379" s="400" t="s">
        <v>2648</v>
      </c>
      <c r="B379" s="490" t="s">
        <v>295</v>
      </c>
      <c r="C379" s="404" t="s">
        <v>451</v>
      </c>
      <c r="D379" s="485" t="s">
        <v>1656</v>
      </c>
      <c r="E379" s="396">
        <v>196178</v>
      </c>
      <c r="F379" s="396"/>
      <c r="G379" s="396"/>
      <c r="H379" s="396"/>
      <c r="I379" s="396"/>
      <c r="J379" s="396" t="s">
        <v>800</v>
      </c>
      <c r="K379" s="482" t="s">
        <v>794</v>
      </c>
      <c r="L379" s="482" t="s">
        <v>800</v>
      </c>
      <c r="M379" s="396" t="s">
        <v>294</v>
      </c>
      <c r="N379" s="396">
        <v>20.26078987</v>
      </c>
      <c r="O379" s="396">
        <v>92.878593440000003</v>
      </c>
      <c r="P379" s="482" t="s">
        <v>919</v>
      </c>
      <c r="Q379" s="396" t="s">
        <v>758</v>
      </c>
      <c r="R379" s="494"/>
      <c r="S379" s="487"/>
      <c r="T379" s="412">
        <v>42811</v>
      </c>
      <c r="U379" s="401"/>
      <c r="V379" s="396"/>
      <c r="W379" s="399"/>
    </row>
    <row r="380" spans="1:23" s="68" customFormat="1" ht="14.25" customHeight="1">
      <c r="A380" s="400" t="s">
        <v>2648</v>
      </c>
      <c r="B380" s="490" t="s">
        <v>295</v>
      </c>
      <c r="C380" s="491" t="s">
        <v>441</v>
      </c>
      <c r="D380" s="431" t="s">
        <v>2712</v>
      </c>
      <c r="E380" s="482" t="s">
        <v>1379</v>
      </c>
      <c r="F380" s="482" t="s">
        <v>1745</v>
      </c>
      <c r="G380" s="396" t="s">
        <v>440</v>
      </c>
      <c r="H380" s="396" t="s">
        <v>40</v>
      </c>
      <c r="I380" s="396"/>
      <c r="J380" s="396" t="s">
        <v>42</v>
      </c>
      <c r="K380" s="482" t="s">
        <v>42</v>
      </c>
      <c r="L380" s="482" t="s">
        <v>790</v>
      </c>
      <c r="M380" s="396" t="s">
        <v>791</v>
      </c>
      <c r="N380" s="396">
        <v>20.206778</v>
      </c>
      <c r="O380" s="396">
        <v>92.774193999999994</v>
      </c>
      <c r="P380" s="482" t="s">
        <v>757</v>
      </c>
      <c r="Q380" s="396" t="s">
        <v>776</v>
      </c>
      <c r="R380" s="486">
        <v>729</v>
      </c>
      <c r="S380" s="400">
        <v>4175</v>
      </c>
      <c r="T380" s="412"/>
      <c r="U380" s="401"/>
      <c r="V380" s="396" t="s">
        <v>441</v>
      </c>
      <c r="W380" s="399"/>
    </row>
    <row r="381" spans="1:23" s="68" customFormat="1" ht="14.25" customHeight="1">
      <c r="A381" s="400" t="s">
        <v>2648</v>
      </c>
      <c r="B381" s="490" t="s">
        <v>295</v>
      </c>
      <c r="C381" s="491" t="s">
        <v>436</v>
      </c>
      <c r="D381" s="485" t="s">
        <v>1656</v>
      </c>
      <c r="E381" s="396">
        <v>196156</v>
      </c>
      <c r="F381" s="396" t="s">
        <v>1745</v>
      </c>
      <c r="G381" s="396"/>
      <c r="H381" s="396"/>
      <c r="I381" s="396"/>
      <c r="J381" s="396" t="s">
        <v>794</v>
      </c>
      <c r="K381" s="482" t="s">
        <v>794</v>
      </c>
      <c r="L381" s="482" t="s">
        <v>794</v>
      </c>
      <c r="M381" s="396" t="s">
        <v>791</v>
      </c>
      <c r="N381" s="396">
        <v>20.197549819999999</v>
      </c>
      <c r="O381" s="396">
        <v>92.785682679999994</v>
      </c>
      <c r="P381" s="396" t="s">
        <v>795</v>
      </c>
      <c r="Q381" s="396" t="s">
        <v>776</v>
      </c>
      <c r="R381" s="494"/>
      <c r="S381" s="487"/>
      <c r="T381" s="412"/>
      <c r="U381" s="401"/>
      <c r="V381" s="396" t="s">
        <v>436</v>
      </c>
      <c r="W381" s="399"/>
    </row>
    <row r="382" spans="1:23" s="68" customFormat="1" ht="14.25" customHeight="1">
      <c r="A382" s="400" t="s">
        <v>2648</v>
      </c>
      <c r="B382" s="403" t="s">
        <v>295</v>
      </c>
      <c r="C382" s="404" t="s">
        <v>432</v>
      </c>
      <c r="D382" s="431" t="s">
        <v>2712</v>
      </c>
      <c r="E382" s="396" t="s">
        <v>1377</v>
      </c>
      <c r="F382" s="396" t="s">
        <v>1663</v>
      </c>
      <c r="G382" s="396" t="s">
        <v>1689</v>
      </c>
      <c r="H382" s="396" t="s">
        <v>40</v>
      </c>
      <c r="I382" s="396"/>
      <c r="J382" s="396" t="s">
        <v>42</v>
      </c>
      <c r="K382" s="396" t="s">
        <v>42</v>
      </c>
      <c r="L382" s="396" t="s">
        <v>790</v>
      </c>
      <c r="M382" s="396" t="s">
        <v>791</v>
      </c>
      <c r="N382" s="396">
        <v>20.18994</v>
      </c>
      <c r="O382" s="396">
        <v>92.798880999999994</v>
      </c>
      <c r="P382" s="396" t="s">
        <v>757</v>
      </c>
      <c r="Q382" s="396" t="s">
        <v>776</v>
      </c>
      <c r="R382" s="486">
        <v>2728</v>
      </c>
      <c r="S382" s="400">
        <v>13812</v>
      </c>
      <c r="T382" s="412"/>
      <c r="U382" s="401"/>
      <c r="V382" s="396" t="s">
        <v>866</v>
      </c>
      <c r="W382" s="399"/>
    </row>
    <row r="383" spans="1:23" s="68" customFormat="1" ht="14.25" customHeight="1">
      <c r="A383" s="487" t="s">
        <v>2648</v>
      </c>
      <c r="B383" s="490" t="s">
        <v>295</v>
      </c>
      <c r="C383" s="491" t="s">
        <v>430</v>
      </c>
      <c r="D383" s="431" t="s">
        <v>2712</v>
      </c>
      <c r="E383" s="482" t="s">
        <v>1375</v>
      </c>
      <c r="F383" s="482" t="s">
        <v>1663</v>
      </c>
      <c r="G383" s="482" t="s">
        <v>1689</v>
      </c>
      <c r="H383" s="482" t="s">
        <v>40</v>
      </c>
      <c r="I383" s="482"/>
      <c r="J383" s="482" t="s">
        <v>42</v>
      </c>
      <c r="K383" s="482" t="s">
        <v>42</v>
      </c>
      <c r="L383" s="482" t="s">
        <v>790</v>
      </c>
      <c r="M383" s="482" t="s">
        <v>791</v>
      </c>
      <c r="N383" s="482">
        <v>20.185092000000001</v>
      </c>
      <c r="O383" s="482">
        <v>92.802295999999998</v>
      </c>
      <c r="P383" s="482" t="s">
        <v>757</v>
      </c>
      <c r="Q383" s="482" t="s">
        <v>776</v>
      </c>
      <c r="R383" s="486">
        <v>2259</v>
      </c>
      <c r="S383" s="487">
        <v>11375</v>
      </c>
      <c r="T383" s="506"/>
      <c r="U383" s="488"/>
      <c r="V383" s="482" t="s">
        <v>864</v>
      </c>
      <c r="W383" s="399"/>
    </row>
    <row r="384" spans="1:23" s="68" customFormat="1" ht="14.25" customHeight="1">
      <c r="A384" s="400" t="s">
        <v>2648</v>
      </c>
      <c r="B384" s="490" t="s">
        <v>295</v>
      </c>
      <c r="C384" s="491" t="s">
        <v>440</v>
      </c>
      <c r="D384" s="485" t="s">
        <v>1656</v>
      </c>
      <c r="E384" s="482">
        <v>196158</v>
      </c>
      <c r="F384" s="482"/>
      <c r="J384" s="68" t="s">
        <v>800</v>
      </c>
      <c r="K384" s="482" t="s">
        <v>794</v>
      </c>
      <c r="L384" s="482" t="s">
        <v>800</v>
      </c>
      <c r="M384" s="68" t="s">
        <v>791</v>
      </c>
      <c r="N384" s="68">
        <v>20.2043705</v>
      </c>
      <c r="O384" s="482">
        <v>92.780357359999996</v>
      </c>
      <c r="P384" s="482" t="s">
        <v>919</v>
      </c>
      <c r="Q384" s="68" t="s">
        <v>758</v>
      </c>
      <c r="R384" s="494"/>
      <c r="S384" s="487"/>
      <c r="T384" s="101">
        <v>42811</v>
      </c>
      <c r="U384" s="488"/>
      <c r="W384" s="399"/>
    </row>
    <row r="385" spans="1:23" s="68" customFormat="1" ht="14.25" customHeight="1">
      <c r="A385" s="400" t="s">
        <v>2648</v>
      </c>
      <c r="B385" s="484" t="s">
        <v>295</v>
      </c>
      <c r="C385" s="484" t="s">
        <v>2588</v>
      </c>
      <c r="D385" s="431"/>
      <c r="E385" s="68">
        <v>220593</v>
      </c>
      <c r="F385" s="484" t="s">
        <v>450</v>
      </c>
      <c r="J385" s="68" t="s">
        <v>794</v>
      </c>
      <c r="K385" s="484" t="s">
        <v>794</v>
      </c>
      <c r="L385" s="484" t="s">
        <v>794</v>
      </c>
      <c r="N385" s="68">
        <v>20.261358000000001</v>
      </c>
      <c r="O385" s="68">
        <v>92.805672999999999</v>
      </c>
      <c r="P385" s="68" t="s">
        <v>795</v>
      </c>
      <c r="R385" s="486"/>
      <c r="S385" s="486"/>
      <c r="T385" s="101"/>
      <c r="U385" s="488"/>
      <c r="W385" s="399"/>
    </row>
    <row r="386" spans="1:23" s="68" customFormat="1" ht="14.25" customHeight="1">
      <c r="A386" s="400" t="s">
        <v>2648</v>
      </c>
      <c r="B386" s="403" t="s">
        <v>295</v>
      </c>
      <c r="C386" s="404" t="s">
        <v>835</v>
      </c>
      <c r="D386" s="485" t="s">
        <v>1656</v>
      </c>
      <c r="E386" s="68">
        <v>196142</v>
      </c>
      <c r="J386" s="68" t="s">
        <v>794</v>
      </c>
      <c r="K386" s="396" t="s">
        <v>794</v>
      </c>
      <c r="L386" s="396" t="s">
        <v>794</v>
      </c>
      <c r="M386" s="68" t="s">
        <v>791</v>
      </c>
      <c r="N386" s="68">
        <v>20.208799362182599</v>
      </c>
      <c r="O386" s="68">
        <v>92.794113159179702</v>
      </c>
      <c r="P386" s="68" t="s">
        <v>795</v>
      </c>
      <c r="R386" s="494"/>
      <c r="S386" s="400"/>
      <c r="T386" s="101"/>
      <c r="U386" s="488"/>
      <c r="V386" s="68" t="s">
        <v>835</v>
      </c>
      <c r="W386" s="399"/>
    </row>
    <row r="387" spans="1:23" s="68" customFormat="1" ht="14.25" customHeight="1">
      <c r="A387" s="487" t="s">
        <v>2648</v>
      </c>
      <c r="B387" s="490" t="s">
        <v>295</v>
      </c>
      <c r="C387" s="491" t="s">
        <v>837</v>
      </c>
      <c r="D387" s="485" t="s">
        <v>1656</v>
      </c>
      <c r="E387" s="396">
        <v>196141</v>
      </c>
      <c r="J387" s="68" t="s">
        <v>794</v>
      </c>
      <c r="K387" s="396" t="s">
        <v>794</v>
      </c>
      <c r="L387" s="396" t="s">
        <v>794</v>
      </c>
      <c r="M387" s="68" t="s">
        <v>294</v>
      </c>
      <c r="N387" s="68">
        <v>20.2199096679688</v>
      </c>
      <c r="O387" s="68">
        <v>92.7716064453125</v>
      </c>
      <c r="P387" s="68" t="s">
        <v>795</v>
      </c>
      <c r="R387" s="494"/>
      <c r="S387" s="400"/>
      <c r="T387" s="101"/>
      <c r="U387" s="488"/>
      <c r="V387" s="68" t="s">
        <v>837</v>
      </c>
      <c r="W387" s="486"/>
    </row>
    <row r="388" spans="1:23" s="68" customFormat="1" ht="14.25" customHeight="1">
      <c r="A388" s="487" t="s">
        <v>2648</v>
      </c>
      <c r="B388" s="490" t="s">
        <v>295</v>
      </c>
      <c r="C388" s="491" t="s">
        <v>838</v>
      </c>
      <c r="D388" s="485" t="s">
        <v>1656</v>
      </c>
      <c r="E388" s="482">
        <v>196141</v>
      </c>
      <c r="F388" s="482"/>
      <c r="G388" s="482"/>
      <c r="H388" s="482"/>
      <c r="I388" s="482"/>
      <c r="J388" s="482" t="s">
        <v>794</v>
      </c>
      <c r="K388" s="482" t="s">
        <v>794</v>
      </c>
      <c r="L388" s="482" t="s">
        <v>794</v>
      </c>
      <c r="M388" s="482" t="s">
        <v>294</v>
      </c>
      <c r="N388" s="482">
        <v>20.2199096679688</v>
      </c>
      <c r="O388" s="482">
        <v>92.7716064453125</v>
      </c>
      <c r="P388" s="482" t="s">
        <v>795</v>
      </c>
      <c r="Q388" s="482"/>
      <c r="R388" s="494"/>
      <c r="S388" s="487"/>
      <c r="T388" s="506"/>
      <c r="U388" s="488"/>
      <c r="V388" s="482" t="s">
        <v>838</v>
      </c>
      <c r="W388" s="486"/>
    </row>
    <row r="389" spans="1:23" s="68" customFormat="1" ht="14.25" customHeight="1">
      <c r="A389" s="487" t="s">
        <v>2648</v>
      </c>
      <c r="B389" s="490" t="s">
        <v>295</v>
      </c>
      <c r="C389" s="491" t="s">
        <v>300</v>
      </c>
      <c r="D389" s="485" t="s">
        <v>1656</v>
      </c>
      <c r="J389" s="68" t="s">
        <v>794</v>
      </c>
      <c r="K389" s="396" t="s">
        <v>794</v>
      </c>
      <c r="L389" s="396" t="s">
        <v>794</v>
      </c>
      <c r="M389" s="68" t="s">
        <v>791</v>
      </c>
      <c r="P389" s="68" t="s">
        <v>795</v>
      </c>
      <c r="Q389" s="68" t="s">
        <v>776</v>
      </c>
      <c r="R389" s="494"/>
      <c r="S389" s="487"/>
      <c r="T389" s="101"/>
      <c r="U389" s="97"/>
      <c r="V389" s="68" t="s">
        <v>869</v>
      </c>
      <c r="W389" s="486"/>
    </row>
    <row r="390" spans="1:23" s="68" customFormat="1" ht="14.25" customHeight="1">
      <c r="A390" s="487" t="s">
        <v>2648</v>
      </c>
      <c r="B390" s="490" t="s">
        <v>295</v>
      </c>
      <c r="C390" s="491" t="s">
        <v>2287</v>
      </c>
      <c r="D390" s="485"/>
      <c r="E390" s="396" t="s">
        <v>1378</v>
      </c>
      <c r="F390" s="68" t="s">
        <v>1664</v>
      </c>
      <c r="G390" s="68" t="s">
        <v>1665</v>
      </c>
      <c r="J390" s="68" t="s">
        <v>42</v>
      </c>
      <c r="K390" s="68" t="s">
        <v>42</v>
      </c>
      <c r="L390" s="68" t="s">
        <v>790</v>
      </c>
      <c r="M390" s="68" t="s">
        <v>791</v>
      </c>
      <c r="N390" s="68">
        <v>20.207284999999999</v>
      </c>
      <c r="O390" s="68">
        <v>92.788177000000005</v>
      </c>
      <c r="P390" s="68" t="s">
        <v>757</v>
      </c>
      <c r="Q390" s="68" t="s">
        <v>776</v>
      </c>
      <c r="R390" s="494"/>
      <c r="S390" s="400"/>
      <c r="T390" s="101">
        <v>43488</v>
      </c>
      <c r="U390" s="97"/>
      <c r="V390" s="68" t="s">
        <v>869</v>
      </c>
      <c r="W390" s="486"/>
    </row>
    <row r="391" spans="1:23" s="68" customFormat="1" ht="14.25" customHeight="1">
      <c r="A391" s="487" t="s">
        <v>2648</v>
      </c>
      <c r="B391" s="490" t="s">
        <v>295</v>
      </c>
      <c r="C391" s="491" t="s">
        <v>839</v>
      </c>
      <c r="D391" s="485" t="s">
        <v>1656</v>
      </c>
      <c r="E391" s="396">
        <v>196130</v>
      </c>
      <c r="F391" s="482"/>
      <c r="J391" s="68" t="s">
        <v>794</v>
      </c>
      <c r="K391" s="68" t="s">
        <v>794</v>
      </c>
      <c r="L391" s="68" t="s">
        <v>794</v>
      </c>
      <c r="M391" s="68" t="s">
        <v>294</v>
      </c>
      <c r="N391" s="482">
        <v>20.236940383911101</v>
      </c>
      <c r="O391" s="482">
        <v>92.833259582519503</v>
      </c>
      <c r="P391" s="68" t="s">
        <v>795</v>
      </c>
      <c r="R391" s="494"/>
      <c r="S391" s="487"/>
      <c r="T391" s="101"/>
      <c r="U391" s="488"/>
      <c r="V391" s="68" t="s">
        <v>839</v>
      </c>
      <c r="W391" s="486"/>
    </row>
    <row r="392" spans="1:23" s="68" customFormat="1" ht="14.25" customHeight="1">
      <c r="A392" s="487" t="s">
        <v>2648</v>
      </c>
      <c r="B392" s="484" t="s">
        <v>295</v>
      </c>
      <c r="C392" s="484" t="s">
        <v>2587</v>
      </c>
      <c r="D392" s="431"/>
      <c r="E392" s="396">
        <v>196130</v>
      </c>
      <c r="F392" s="482"/>
      <c r="J392" s="68" t="s">
        <v>794</v>
      </c>
      <c r="K392" s="484" t="s">
        <v>794</v>
      </c>
      <c r="L392" s="484" t="s">
        <v>794</v>
      </c>
      <c r="M392" s="68" t="s">
        <v>294</v>
      </c>
      <c r="N392" s="396">
        <v>20.236940383911101</v>
      </c>
      <c r="O392" s="396">
        <v>92.833259582519503</v>
      </c>
      <c r="P392" s="68" t="s">
        <v>795</v>
      </c>
      <c r="R392" s="490"/>
      <c r="S392" s="491"/>
      <c r="T392" s="101"/>
      <c r="U392" s="488"/>
      <c r="W392" s="486"/>
    </row>
    <row r="393" spans="1:23" s="68" customFormat="1" ht="14.25" customHeight="1">
      <c r="A393" s="487" t="s">
        <v>2648</v>
      </c>
      <c r="B393" s="490" t="s">
        <v>295</v>
      </c>
      <c r="C393" s="491" t="s">
        <v>2007</v>
      </c>
      <c r="D393" s="485"/>
      <c r="E393" s="396">
        <v>196162</v>
      </c>
      <c r="F393" s="396" t="s">
        <v>2006</v>
      </c>
      <c r="G393" s="396"/>
      <c r="H393" s="396"/>
      <c r="I393" s="396"/>
      <c r="J393" s="396" t="s">
        <v>794</v>
      </c>
      <c r="K393" s="396" t="s">
        <v>794</v>
      </c>
      <c r="L393" s="396" t="s">
        <v>794</v>
      </c>
      <c r="M393" s="396" t="s">
        <v>791</v>
      </c>
      <c r="N393" s="396">
        <v>20.239929199999999</v>
      </c>
      <c r="O393" s="396">
        <v>92.827529909999996</v>
      </c>
      <c r="P393" s="396" t="s">
        <v>795</v>
      </c>
      <c r="Q393" s="396"/>
      <c r="R393" s="494"/>
      <c r="S393" s="487"/>
      <c r="T393" s="412">
        <v>43294</v>
      </c>
      <c r="U393" s="401"/>
      <c r="V393" s="396"/>
      <c r="W393" s="486"/>
    </row>
    <row r="394" spans="1:23" s="68" customFormat="1" ht="14.25" customHeight="1">
      <c r="A394" s="487" t="s">
        <v>2648</v>
      </c>
      <c r="B394" s="484" t="s">
        <v>295</v>
      </c>
      <c r="C394" s="484" t="s">
        <v>2589</v>
      </c>
      <c r="D394" s="431"/>
      <c r="E394" s="484">
        <v>196131</v>
      </c>
      <c r="F394" s="484" t="s">
        <v>874</v>
      </c>
      <c r="G394" s="396"/>
      <c r="H394" s="396"/>
      <c r="I394" s="396"/>
      <c r="J394" s="68" t="s">
        <v>794</v>
      </c>
      <c r="K394" s="484" t="s">
        <v>794</v>
      </c>
      <c r="L394" s="484" t="s">
        <v>794</v>
      </c>
      <c r="N394" s="68">
        <v>20.239799499511701</v>
      </c>
      <c r="O394" s="68">
        <v>92.825088500976605</v>
      </c>
      <c r="P394" s="68" t="s">
        <v>795</v>
      </c>
      <c r="R394" s="486"/>
      <c r="S394" s="400"/>
      <c r="T394" s="101"/>
      <c r="U394" s="97"/>
      <c r="W394" s="486"/>
    </row>
    <row r="395" spans="1:23" s="68" customFormat="1" ht="14.25" customHeight="1">
      <c r="A395" s="487" t="s">
        <v>2648</v>
      </c>
      <c r="B395" s="484" t="s">
        <v>295</v>
      </c>
      <c r="C395" s="484" t="s">
        <v>2592</v>
      </c>
      <c r="D395" s="485"/>
      <c r="E395" s="396"/>
      <c r="F395" s="396"/>
      <c r="G395" s="396"/>
      <c r="H395" s="396"/>
      <c r="I395" s="396"/>
      <c r="J395" s="68" t="s">
        <v>794</v>
      </c>
      <c r="K395" s="484" t="s">
        <v>794</v>
      </c>
      <c r="L395" s="484" t="s">
        <v>794</v>
      </c>
      <c r="M395" s="396"/>
      <c r="N395" s="396"/>
      <c r="O395" s="396"/>
      <c r="P395" s="68" t="s">
        <v>795</v>
      </c>
      <c r="Q395" s="396"/>
      <c r="R395" s="484"/>
      <c r="S395" s="484"/>
      <c r="T395" s="412"/>
      <c r="U395" s="401"/>
      <c r="V395" s="396"/>
      <c r="W395" s="486"/>
    </row>
    <row r="396" spans="1:23" s="68" customFormat="1" ht="14.25" customHeight="1">
      <c r="A396" s="400" t="s">
        <v>2648</v>
      </c>
      <c r="B396" s="490" t="s">
        <v>295</v>
      </c>
      <c r="C396" s="491" t="s">
        <v>845</v>
      </c>
      <c r="D396" s="485" t="s">
        <v>1657</v>
      </c>
      <c r="E396" s="396" t="s">
        <v>1358</v>
      </c>
      <c r="F396" s="68" t="s">
        <v>1686</v>
      </c>
      <c r="G396" s="68" t="s">
        <v>1687</v>
      </c>
      <c r="J396" s="68" t="s">
        <v>42</v>
      </c>
      <c r="K396" s="68" t="s">
        <v>42</v>
      </c>
      <c r="L396" s="68" t="s">
        <v>756</v>
      </c>
      <c r="M396" s="68" t="s">
        <v>294</v>
      </c>
      <c r="N396" s="396">
        <v>20.151471999999998</v>
      </c>
      <c r="O396" s="396">
        <v>92.887277999999995</v>
      </c>
      <c r="P396" s="482" t="s">
        <v>757</v>
      </c>
      <c r="R396" s="494"/>
      <c r="S396" s="400"/>
      <c r="T396" s="101"/>
      <c r="U396" s="97"/>
      <c r="V396" s="68" t="s">
        <v>845</v>
      </c>
      <c r="W396" s="486"/>
    </row>
    <row r="397" spans="1:23" s="68" customFormat="1" ht="14.25" customHeight="1">
      <c r="A397" s="487" t="s">
        <v>2648</v>
      </c>
      <c r="B397" s="490" t="s">
        <v>295</v>
      </c>
      <c r="C397" s="491" t="s">
        <v>418</v>
      </c>
      <c r="D397" s="431" t="s">
        <v>2712</v>
      </c>
      <c r="E397" s="396" t="s">
        <v>1359</v>
      </c>
      <c r="F397" s="396" t="s">
        <v>1686</v>
      </c>
      <c r="G397" s="396" t="s">
        <v>1687</v>
      </c>
      <c r="H397" s="396"/>
      <c r="I397" s="396"/>
      <c r="J397" s="396" t="s">
        <v>794</v>
      </c>
      <c r="K397" s="396" t="s">
        <v>794</v>
      </c>
      <c r="L397" s="396" t="s">
        <v>817</v>
      </c>
      <c r="M397" s="396" t="s">
        <v>294</v>
      </c>
      <c r="N397" s="396">
        <v>20.151471999999998</v>
      </c>
      <c r="O397" s="396">
        <v>92.887277999999995</v>
      </c>
      <c r="P397" s="482" t="s">
        <v>795</v>
      </c>
      <c r="Q397" s="396" t="s">
        <v>776</v>
      </c>
      <c r="R397" s="486">
        <v>249</v>
      </c>
      <c r="S397" s="487">
        <v>1282</v>
      </c>
      <c r="T397" s="412"/>
      <c r="U397" s="401"/>
      <c r="V397" s="396" t="s">
        <v>418</v>
      </c>
      <c r="W397" s="486"/>
    </row>
    <row r="398" spans="1:23" s="68" customFormat="1" ht="14.25" customHeight="1">
      <c r="A398" s="487" t="s">
        <v>2648</v>
      </c>
      <c r="B398" s="490" t="s">
        <v>295</v>
      </c>
      <c r="C398" s="491" t="s">
        <v>419</v>
      </c>
      <c r="D398" s="431" t="s">
        <v>2712</v>
      </c>
      <c r="E398" s="396" t="s">
        <v>1360</v>
      </c>
      <c r="F398" s="396" t="s">
        <v>1686</v>
      </c>
      <c r="G398" s="396" t="s">
        <v>1687</v>
      </c>
      <c r="H398" s="396"/>
      <c r="I398" s="396"/>
      <c r="J398" s="396" t="s">
        <v>794</v>
      </c>
      <c r="K398" s="396" t="s">
        <v>794</v>
      </c>
      <c r="L398" s="396" t="s">
        <v>817</v>
      </c>
      <c r="M398" s="396" t="s">
        <v>294</v>
      </c>
      <c r="N398" s="396">
        <v>20.151471999999998</v>
      </c>
      <c r="O398" s="396">
        <v>92.887277999999995</v>
      </c>
      <c r="P398" s="396" t="s">
        <v>795</v>
      </c>
      <c r="Q398" s="396" t="s">
        <v>776</v>
      </c>
      <c r="R398" s="486">
        <v>420</v>
      </c>
      <c r="S398" s="487">
        <v>2200</v>
      </c>
      <c r="T398" s="412"/>
      <c r="U398" s="401"/>
      <c r="V398" s="396" t="s">
        <v>419</v>
      </c>
      <c r="W398" s="486"/>
    </row>
    <row r="399" spans="1:23" s="68" customFormat="1" ht="14.25" customHeight="1">
      <c r="A399" s="487" t="s">
        <v>2648</v>
      </c>
      <c r="B399" s="490" t="s">
        <v>295</v>
      </c>
      <c r="C399" s="491" t="s">
        <v>439</v>
      </c>
      <c r="D399" s="431" t="s">
        <v>2712</v>
      </c>
      <c r="E399" s="396" t="s">
        <v>1378</v>
      </c>
      <c r="F399" s="482" t="s">
        <v>1745</v>
      </c>
      <c r="G399" s="396" t="s">
        <v>439</v>
      </c>
      <c r="H399" s="396" t="s">
        <v>40</v>
      </c>
      <c r="I399" s="396"/>
      <c r="J399" s="68" t="s">
        <v>42</v>
      </c>
      <c r="K399" s="396" t="s">
        <v>42</v>
      </c>
      <c r="L399" s="396" t="s">
        <v>790</v>
      </c>
      <c r="M399" s="396" t="s">
        <v>791</v>
      </c>
      <c r="N399" s="396">
        <v>20.202525000000001</v>
      </c>
      <c r="O399" s="396">
        <v>92.792479999999998</v>
      </c>
      <c r="P399" s="482" t="s">
        <v>757</v>
      </c>
      <c r="Q399" s="396" t="s">
        <v>776</v>
      </c>
      <c r="R399" s="486">
        <v>2682</v>
      </c>
      <c r="S399" s="487">
        <v>13653</v>
      </c>
      <c r="T399" s="412"/>
      <c r="U399" s="401"/>
      <c r="V399" s="396" t="s">
        <v>439</v>
      </c>
      <c r="W399" s="486"/>
    </row>
    <row r="400" spans="1:23" s="68" customFormat="1" ht="14.25" customHeight="1">
      <c r="A400" s="487" t="s">
        <v>2648</v>
      </c>
      <c r="B400" s="490" t="s">
        <v>295</v>
      </c>
      <c r="C400" s="491" t="s">
        <v>437</v>
      </c>
      <c r="D400" s="485"/>
      <c r="E400" s="396">
        <v>196154</v>
      </c>
      <c r="F400" s="482"/>
      <c r="G400" s="396"/>
      <c r="H400" s="396"/>
      <c r="I400" s="396"/>
      <c r="J400" s="396" t="s">
        <v>794</v>
      </c>
      <c r="K400" s="396" t="s">
        <v>794</v>
      </c>
      <c r="L400" s="396" t="s">
        <v>794</v>
      </c>
      <c r="M400" s="396" t="s">
        <v>791</v>
      </c>
      <c r="N400" s="396">
        <v>20.201499999999999</v>
      </c>
      <c r="O400" s="396">
        <v>92.796599999999998</v>
      </c>
      <c r="P400" s="396" t="s">
        <v>795</v>
      </c>
      <c r="Q400" s="396" t="s">
        <v>776</v>
      </c>
      <c r="R400" s="494"/>
      <c r="S400" s="487"/>
      <c r="T400" s="412">
        <v>42745</v>
      </c>
      <c r="U400" s="401"/>
      <c r="V400" s="396"/>
      <c r="W400" s="486"/>
    </row>
    <row r="401" spans="1:23" s="68" customFormat="1" ht="14.25" customHeight="1">
      <c r="A401" s="487" t="s">
        <v>2648</v>
      </c>
      <c r="B401" s="490" t="s">
        <v>295</v>
      </c>
      <c r="C401" s="491" t="s">
        <v>433</v>
      </c>
      <c r="D401" s="485" t="s">
        <v>1656</v>
      </c>
      <c r="E401" s="482">
        <v>196155</v>
      </c>
      <c r="F401" s="482"/>
      <c r="G401" s="482"/>
      <c r="H401" s="482"/>
      <c r="I401" s="482"/>
      <c r="J401" s="482" t="s">
        <v>794</v>
      </c>
      <c r="K401" s="68" t="s">
        <v>794</v>
      </c>
      <c r="L401" s="68" t="s">
        <v>794</v>
      </c>
      <c r="M401" s="68" t="s">
        <v>791</v>
      </c>
      <c r="N401" s="482">
        <v>20.19171906</v>
      </c>
      <c r="O401" s="482">
        <v>92.808166499999999</v>
      </c>
      <c r="P401" s="68" t="s">
        <v>795</v>
      </c>
      <c r="Q401" s="482" t="s">
        <v>776</v>
      </c>
      <c r="R401" s="494"/>
      <c r="S401" s="487"/>
      <c r="T401" s="506"/>
      <c r="U401" s="488"/>
      <c r="V401" s="482" t="s">
        <v>433</v>
      </c>
      <c r="W401" s="486"/>
    </row>
    <row r="402" spans="1:23" s="68" customFormat="1" ht="14.25" customHeight="1">
      <c r="A402" s="656" t="s">
        <v>2648</v>
      </c>
      <c r="B402" s="669" t="s">
        <v>295</v>
      </c>
      <c r="C402" s="668" t="s">
        <v>3107</v>
      </c>
      <c r="D402" s="485"/>
      <c r="E402" s="659"/>
      <c r="F402" s="659"/>
      <c r="G402" s="659"/>
      <c r="H402" s="659"/>
      <c r="I402" s="659"/>
      <c r="J402" s="659" t="s">
        <v>794</v>
      </c>
      <c r="K402" s="659" t="s">
        <v>794</v>
      </c>
      <c r="L402" s="659" t="s">
        <v>794</v>
      </c>
      <c r="M402" s="659"/>
      <c r="N402" s="659"/>
      <c r="O402" s="659"/>
      <c r="P402" s="659"/>
      <c r="Q402" s="659" t="s">
        <v>3102</v>
      </c>
      <c r="R402" s="660"/>
      <c r="S402" s="656"/>
      <c r="T402" s="661">
        <v>43843</v>
      </c>
      <c r="U402" s="660"/>
      <c r="V402" s="659"/>
      <c r="W402" s="486"/>
    </row>
    <row r="403" spans="1:23" s="68" customFormat="1" ht="14.25" customHeight="1">
      <c r="A403" s="487" t="s">
        <v>2648</v>
      </c>
      <c r="B403" s="490" t="s">
        <v>295</v>
      </c>
      <c r="C403" s="491" t="s">
        <v>416</v>
      </c>
      <c r="D403" s="431" t="s">
        <v>2712</v>
      </c>
      <c r="E403" s="482" t="s">
        <v>1357</v>
      </c>
      <c r="F403" s="396" t="s">
        <v>1874</v>
      </c>
      <c r="G403" s="396" t="s">
        <v>1874</v>
      </c>
      <c r="H403" s="396"/>
      <c r="I403" s="396"/>
      <c r="J403" s="396" t="s">
        <v>794</v>
      </c>
      <c r="K403" s="396" t="s">
        <v>794</v>
      </c>
      <c r="L403" s="396" t="s">
        <v>817</v>
      </c>
      <c r="M403" s="396" t="s">
        <v>842</v>
      </c>
      <c r="N403" s="396">
        <v>20.148584</v>
      </c>
      <c r="O403" s="396">
        <v>92.880319999999998</v>
      </c>
      <c r="P403" s="396" t="s">
        <v>795</v>
      </c>
      <c r="Q403" s="396" t="s">
        <v>776</v>
      </c>
      <c r="R403" s="486">
        <v>72</v>
      </c>
      <c r="S403" s="400">
        <v>462</v>
      </c>
      <c r="T403" s="412"/>
      <c r="U403" s="401"/>
      <c r="V403" s="396" t="s">
        <v>416</v>
      </c>
      <c r="W403" s="486"/>
    </row>
    <row r="404" spans="1:23" s="68" customFormat="1" ht="14.25" customHeight="1">
      <c r="A404" s="487" t="s">
        <v>2648</v>
      </c>
      <c r="B404" s="490" t="s">
        <v>295</v>
      </c>
      <c r="C404" s="491" t="s">
        <v>1898</v>
      </c>
      <c r="D404" s="431" t="s">
        <v>2712</v>
      </c>
      <c r="E404" s="482" t="s">
        <v>1362</v>
      </c>
      <c r="F404" s="396" t="s">
        <v>1874</v>
      </c>
      <c r="G404" s="396" t="s">
        <v>1874</v>
      </c>
      <c r="H404" s="396"/>
      <c r="I404" s="396"/>
      <c r="J404" s="396" t="s">
        <v>794</v>
      </c>
      <c r="K404" s="396" t="s">
        <v>794</v>
      </c>
      <c r="L404" s="396" t="s">
        <v>817</v>
      </c>
      <c r="M404" s="396" t="s">
        <v>294</v>
      </c>
      <c r="N404" s="396">
        <v>20.155805999999998</v>
      </c>
      <c r="O404" s="396">
        <v>92.879138999999995</v>
      </c>
      <c r="P404" s="482" t="s">
        <v>795</v>
      </c>
      <c r="Q404" s="396" t="s">
        <v>776</v>
      </c>
      <c r="R404" s="486">
        <v>151</v>
      </c>
      <c r="S404" s="487">
        <v>654</v>
      </c>
      <c r="T404" s="412"/>
      <c r="U404" s="401"/>
      <c r="V404" s="396" t="s">
        <v>420</v>
      </c>
      <c r="W404" s="486"/>
    </row>
    <row r="405" spans="1:23" s="68" customFormat="1" ht="14.25" customHeight="1">
      <c r="A405" s="487" t="s">
        <v>2648</v>
      </c>
      <c r="B405" s="490" t="s">
        <v>295</v>
      </c>
      <c r="C405" s="491" t="s">
        <v>2950</v>
      </c>
      <c r="D405" s="485"/>
      <c r="E405" s="482"/>
      <c r="F405" s="482"/>
      <c r="G405" s="482"/>
      <c r="H405" s="482"/>
      <c r="I405" s="482"/>
      <c r="J405" s="482" t="s">
        <v>794</v>
      </c>
      <c r="K405" s="482" t="s">
        <v>794</v>
      </c>
      <c r="L405" s="482" t="s">
        <v>794</v>
      </c>
      <c r="M405" s="482"/>
      <c r="N405" s="482"/>
      <c r="O405" s="482"/>
      <c r="P405" s="482" t="s">
        <v>795</v>
      </c>
      <c r="Q405" s="482" t="s">
        <v>2961</v>
      </c>
      <c r="R405" s="494"/>
      <c r="S405" s="487"/>
      <c r="T405" s="506">
        <v>43768</v>
      </c>
      <c r="U405" s="494"/>
      <c r="V405" s="482"/>
      <c r="W405" s="486"/>
    </row>
    <row r="406" spans="1:23" s="68" customFormat="1" ht="14.25" customHeight="1">
      <c r="A406" s="487" t="s">
        <v>2648</v>
      </c>
      <c r="B406" s="490" t="s">
        <v>295</v>
      </c>
      <c r="C406" s="491" t="s">
        <v>2953</v>
      </c>
      <c r="D406" s="485"/>
      <c r="E406" s="482" t="s">
        <v>2954</v>
      </c>
      <c r="F406" s="482"/>
      <c r="J406" s="68" t="s">
        <v>794</v>
      </c>
      <c r="K406" s="482" t="s">
        <v>794</v>
      </c>
      <c r="L406" s="482" t="s">
        <v>794</v>
      </c>
      <c r="N406" s="482"/>
      <c r="O406" s="482"/>
      <c r="P406" s="68" t="s">
        <v>795</v>
      </c>
      <c r="Q406" s="68" t="s">
        <v>2961</v>
      </c>
      <c r="R406" s="494"/>
      <c r="S406" s="487"/>
      <c r="T406" s="101">
        <v>43768</v>
      </c>
      <c r="U406" s="494"/>
      <c r="W406" s="486"/>
    </row>
    <row r="407" spans="1:23" s="68" customFormat="1" ht="14.25" customHeight="1">
      <c r="A407" s="487" t="s">
        <v>2648</v>
      </c>
      <c r="B407" s="490" t="s">
        <v>295</v>
      </c>
      <c r="C407" s="491" t="s">
        <v>2003</v>
      </c>
      <c r="D407" s="485"/>
      <c r="E407" s="68">
        <v>196179</v>
      </c>
      <c r="F407" s="68" t="s">
        <v>2003</v>
      </c>
      <c r="J407" s="68" t="s">
        <v>794</v>
      </c>
      <c r="K407" s="68" t="s">
        <v>794</v>
      </c>
      <c r="L407" s="68" t="s">
        <v>794</v>
      </c>
      <c r="M407" s="68" t="s">
        <v>1906</v>
      </c>
      <c r="N407" s="68">
        <v>20.236970899999999</v>
      </c>
      <c r="O407" s="68">
        <v>92.877876279999995</v>
      </c>
      <c r="P407" s="68" t="s">
        <v>795</v>
      </c>
      <c r="R407" s="494"/>
      <c r="S407" s="400"/>
      <c r="T407" s="101">
        <v>43294</v>
      </c>
      <c r="U407" s="97"/>
      <c r="W407" s="486"/>
    </row>
    <row r="408" spans="1:23" s="68" customFormat="1" ht="14.25" customHeight="1">
      <c r="A408" s="487" t="s">
        <v>2648</v>
      </c>
      <c r="B408" s="490" t="s">
        <v>295</v>
      </c>
      <c r="C408" s="491" t="s">
        <v>422</v>
      </c>
      <c r="D408" s="431" t="s">
        <v>2712</v>
      </c>
      <c r="E408" s="396" t="s">
        <v>1364</v>
      </c>
      <c r="F408" s="396" t="s">
        <v>415</v>
      </c>
      <c r="G408" s="396" t="s">
        <v>421</v>
      </c>
      <c r="H408" s="396" t="s">
        <v>40</v>
      </c>
      <c r="I408" s="396"/>
      <c r="J408" s="396" t="s">
        <v>42</v>
      </c>
      <c r="K408" s="396" t="s">
        <v>42</v>
      </c>
      <c r="L408" s="396" t="s">
        <v>793</v>
      </c>
      <c r="M408" s="396" t="s">
        <v>791</v>
      </c>
      <c r="N408" s="396">
        <v>20.1585</v>
      </c>
      <c r="O408" s="396">
        <v>92.839416999999997</v>
      </c>
      <c r="P408" s="396" t="s">
        <v>757</v>
      </c>
      <c r="Q408" s="396" t="s">
        <v>776</v>
      </c>
      <c r="R408" s="486">
        <v>2270</v>
      </c>
      <c r="S408" s="487">
        <v>13069</v>
      </c>
      <c r="T408" s="412"/>
      <c r="U408" s="401"/>
      <c r="V408" s="396" t="s">
        <v>852</v>
      </c>
      <c r="W408" s="486"/>
    </row>
    <row r="409" spans="1:23" s="68" customFormat="1" ht="14.25" customHeight="1">
      <c r="A409" s="487" t="s">
        <v>2648</v>
      </c>
      <c r="B409" s="490" t="s">
        <v>295</v>
      </c>
      <c r="C409" s="491" t="s">
        <v>848</v>
      </c>
      <c r="D409" s="485" t="s">
        <v>1657</v>
      </c>
      <c r="E409" s="482" t="s">
        <v>1363</v>
      </c>
      <c r="F409" s="482" t="s">
        <v>415</v>
      </c>
      <c r="G409" s="396" t="s">
        <v>421</v>
      </c>
      <c r="H409" s="396"/>
      <c r="I409" s="396"/>
      <c r="J409" s="396" t="s">
        <v>42</v>
      </c>
      <c r="K409" s="482" t="s">
        <v>42</v>
      </c>
      <c r="L409" s="482" t="s">
        <v>756</v>
      </c>
      <c r="M409" s="396"/>
      <c r="N409" s="396">
        <v>20.156842000000001</v>
      </c>
      <c r="O409" s="482">
        <v>92.837576999999996</v>
      </c>
      <c r="P409" s="396" t="s">
        <v>757</v>
      </c>
      <c r="Q409" s="396"/>
      <c r="R409" s="494"/>
      <c r="S409" s="487"/>
      <c r="T409" s="412"/>
      <c r="U409" s="401"/>
      <c r="V409" s="396" t="s">
        <v>849</v>
      </c>
      <c r="W409" s="486"/>
    </row>
    <row r="410" spans="1:23" s="68" customFormat="1" ht="14.25" customHeight="1">
      <c r="A410" s="487" t="s">
        <v>2648</v>
      </c>
      <c r="B410" s="490" t="s">
        <v>295</v>
      </c>
      <c r="C410" s="491" t="s">
        <v>689</v>
      </c>
      <c r="D410" s="485" t="s">
        <v>1656</v>
      </c>
      <c r="E410" s="482">
        <v>196210</v>
      </c>
      <c r="F410" s="482"/>
      <c r="G410" s="482"/>
      <c r="H410" s="482"/>
      <c r="I410" s="482"/>
      <c r="J410" s="482" t="s">
        <v>794</v>
      </c>
      <c r="K410" s="482" t="s">
        <v>794</v>
      </c>
      <c r="L410" s="482" t="s">
        <v>794</v>
      </c>
      <c r="M410" s="482" t="s">
        <v>294</v>
      </c>
      <c r="N410" s="482">
        <v>20.16259956</v>
      </c>
      <c r="O410" s="482">
        <v>92.834457400000005</v>
      </c>
      <c r="P410" s="482" t="s">
        <v>795</v>
      </c>
      <c r="Q410" s="482" t="s">
        <v>776</v>
      </c>
      <c r="R410" s="494"/>
      <c r="S410" s="487"/>
      <c r="T410" s="506"/>
      <c r="U410" s="488"/>
      <c r="V410" s="482"/>
      <c r="W410" s="486"/>
    </row>
    <row r="411" spans="1:23" s="68" customFormat="1" ht="14.25" customHeight="1">
      <c r="A411" s="487" t="s">
        <v>2648</v>
      </c>
      <c r="B411" s="490" t="s">
        <v>295</v>
      </c>
      <c r="C411" s="491" t="s">
        <v>301</v>
      </c>
      <c r="D411" s="485" t="s">
        <v>1656</v>
      </c>
      <c r="J411" s="68" t="s">
        <v>794</v>
      </c>
      <c r="K411" s="68" t="s">
        <v>794</v>
      </c>
      <c r="L411" s="68" t="s">
        <v>794</v>
      </c>
      <c r="M411" s="68" t="s">
        <v>791</v>
      </c>
      <c r="P411" s="68" t="s">
        <v>795</v>
      </c>
      <c r="Q411" s="68" t="s">
        <v>758</v>
      </c>
      <c r="R411" s="494"/>
      <c r="S411" s="487"/>
      <c r="T411" s="101">
        <v>42811</v>
      </c>
      <c r="U411" s="97"/>
      <c r="W411" s="486"/>
    </row>
    <row r="412" spans="1:23" s="68" customFormat="1" ht="14.25" customHeight="1">
      <c r="A412" s="487" t="s">
        <v>2648</v>
      </c>
      <c r="B412" s="490" t="s">
        <v>295</v>
      </c>
      <c r="C412" s="491" t="s">
        <v>421</v>
      </c>
      <c r="D412" s="485" t="s">
        <v>1656</v>
      </c>
      <c r="E412" s="68">
        <v>196211</v>
      </c>
      <c r="J412" s="68" t="s">
        <v>794</v>
      </c>
      <c r="K412" s="68" t="s">
        <v>794</v>
      </c>
      <c r="L412" s="68" t="s">
        <v>794</v>
      </c>
      <c r="M412" s="68" t="s">
        <v>791</v>
      </c>
      <c r="N412" s="68">
        <v>20.15736008</v>
      </c>
      <c r="O412" s="68">
        <v>92.838653559999997</v>
      </c>
      <c r="P412" s="396" t="s">
        <v>795</v>
      </c>
      <c r="Q412" s="68" t="s">
        <v>776</v>
      </c>
      <c r="R412" s="494"/>
      <c r="S412" s="487"/>
      <c r="T412" s="101"/>
      <c r="U412" s="97"/>
      <c r="V412" s="68" t="s">
        <v>850</v>
      </c>
      <c r="W412" s="486"/>
    </row>
    <row r="413" spans="1:23" s="68" customFormat="1" ht="14.25" customHeight="1">
      <c r="A413" s="487" t="s">
        <v>2648</v>
      </c>
      <c r="B413" s="490" t="s">
        <v>295</v>
      </c>
      <c r="C413" s="491" t="s">
        <v>417</v>
      </c>
      <c r="D413" s="485" t="s">
        <v>1656</v>
      </c>
      <c r="E413" s="68">
        <v>196209</v>
      </c>
      <c r="F413" s="484" t="s">
        <v>415</v>
      </c>
      <c r="J413" s="68" t="s">
        <v>794</v>
      </c>
      <c r="K413" s="68" t="s">
        <v>794</v>
      </c>
      <c r="L413" s="68" t="s">
        <v>794</v>
      </c>
      <c r="M413" s="68" t="s">
        <v>791</v>
      </c>
      <c r="N413" s="68">
        <v>20.147863431600001</v>
      </c>
      <c r="O413" s="68">
        <v>92.846768572000002</v>
      </c>
      <c r="P413" s="68" t="s">
        <v>795</v>
      </c>
      <c r="Q413" s="68" t="s">
        <v>758</v>
      </c>
      <c r="R413" s="494"/>
      <c r="S413" s="487"/>
      <c r="T413" s="101"/>
      <c r="U413" s="97"/>
      <c r="V413" s="68" t="s">
        <v>843</v>
      </c>
      <c r="W413" s="486"/>
    </row>
    <row r="414" spans="1:23" s="68" customFormat="1" ht="14.25" customHeight="1">
      <c r="A414" s="487" t="s">
        <v>2648</v>
      </c>
      <c r="B414" s="490" t="s">
        <v>295</v>
      </c>
      <c r="C414" s="491" t="s">
        <v>851</v>
      </c>
      <c r="D414" s="485" t="s">
        <v>1656</v>
      </c>
      <c r="E414" s="482">
        <v>196211</v>
      </c>
      <c r="F414" s="482"/>
      <c r="J414" s="68" t="s">
        <v>794</v>
      </c>
      <c r="K414" s="482" t="s">
        <v>794</v>
      </c>
      <c r="L414" s="482" t="s">
        <v>794</v>
      </c>
      <c r="M414" s="68" t="s">
        <v>791</v>
      </c>
      <c r="N414" s="68">
        <v>20.15736008</v>
      </c>
      <c r="O414" s="482">
        <v>92.838653559999997</v>
      </c>
      <c r="P414" s="68" t="s">
        <v>795</v>
      </c>
      <c r="R414" s="494"/>
      <c r="S414" s="487"/>
      <c r="T414" s="101"/>
      <c r="U414" s="97"/>
      <c r="V414" s="68" t="s">
        <v>851</v>
      </c>
      <c r="W414" s="486"/>
    </row>
    <row r="415" spans="1:23" s="68" customFormat="1" ht="14.25" customHeight="1">
      <c r="A415" s="487" t="s">
        <v>2648</v>
      </c>
      <c r="B415" s="490" t="s">
        <v>295</v>
      </c>
      <c r="C415" s="491" t="s">
        <v>446</v>
      </c>
      <c r="D415" s="485" t="s">
        <v>1656</v>
      </c>
      <c r="E415" s="68">
        <v>196167</v>
      </c>
      <c r="F415" s="68" t="s">
        <v>446</v>
      </c>
      <c r="J415" s="68" t="s">
        <v>794</v>
      </c>
      <c r="K415" s="68" t="s">
        <v>794</v>
      </c>
      <c r="L415" s="68" t="s">
        <v>794</v>
      </c>
      <c r="M415" s="68" t="s">
        <v>294</v>
      </c>
      <c r="N415" s="68">
        <v>20.22929001</v>
      </c>
      <c r="O415" s="68">
        <v>92.864669800000001</v>
      </c>
      <c r="P415" s="68" t="s">
        <v>795</v>
      </c>
      <c r="Q415" s="68" t="s">
        <v>758</v>
      </c>
      <c r="R415" s="494"/>
      <c r="S415" s="487"/>
      <c r="T415" s="101">
        <v>42811</v>
      </c>
      <c r="U415" s="97"/>
      <c r="W415" s="486"/>
    </row>
    <row r="416" spans="1:23" s="68" customFormat="1" ht="14.25" customHeight="1">
      <c r="A416" s="487" t="s">
        <v>2648</v>
      </c>
      <c r="B416" s="490" t="s">
        <v>295</v>
      </c>
      <c r="C416" s="491" t="s">
        <v>426</v>
      </c>
      <c r="D416" s="431" t="s">
        <v>2712</v>
      </c>
      <c r="E416" s="68" t="s">
        <v>1369</v>
      </c>
      <c r="F416" s="68" t="s">
        <v>415</v>
      </c>
      <c r="G416" s="68" t="s">
        <v>1744</v>
      </c>
      <c r="H416" s="68" t="s">
        <v>40</v>
      </c>
      <c r="J416" s="68" t="s">
        <v>42</v>
      </c>
      <c r="K416" s="68" t="s">
        <v>42</v>
      </c>
      <c r="L416" s="68" t="s">
        <v>790</v>
      </c>
      <c r="M416" s="68" t="s">
        <v>791</v>
      </c>
      <c r="N416" s="68">
        <v>20.179939999999998</v>
      </c>
      <c r="O416" s="68">
        <v>92.831879000000001</v>
      </c>
      <c r="P416" s="68" t="s">
        <v>757</v>
      </c>
      <c r="Q416" s="68" t="s">
        <v>776</v>
      </c>
      <c r="R416" s="486">
        <v>981</v>
      </c>
      <c r="S416" s="487">
        <v>5936</v>
      </c>
      <c r="T416" s="101"/>
      <c r="U416" s="97"/>
      <c r="V416" s="68" t="s">
        <v>859</v>
      </c>
      <c r="W416" s="486"/>
    </row>
    <row r="417" spans="1:23" s="68" customFormat="1" ht="14.25" customHeight="1">
      <c r="A417" s="487" t="s">
        <v>2648</v>
      </c>
      <c r="B417" s="490" t="s">
        <v>295</v>
      </c>
      <c r="C417" s="491" t="s">
        <v>428</v>
      </c>
      <c r="D417" s="431" t="s">
        <v>2712</v>
      </c>
      <c r="E417" s="68" t="s">
        <v>1372</v>
      </c>
      <c r="H417" s="68" t="s">
        <v>40</v>
      </c>
      <c r="J417" s="68" t="s">
        <v>42</v>
      </c>
      <c r="K417" s="68" t="s">
        <v>42</v>
      </c>
      <c r="L417" s="68" t="s">
        <v>768</v>
      </c>
      <c r="M417" s="68" t="s">
        <v>791</v>
      </c>
      <c r="N417" s="68">
        <v>20.181742</v>
      </c>
      <c r="O417" s="68">
        <v>92.842230000000001</v>
      </c>
      <c r="P417" s="68" t="s">
        <v>769</v>
      </c>
      <c r="R417" s="486">
        <v>496</v>
      </c>
      <c r="S417" s="487">
        <v>2942</v>
      </c>
      <c r="T417" s="101">
        <v>42745</v>
      </c>
      <c r="U417" s="97" t="s">
        <v>853</v>
      </c>
      <c r="W417" s="486"/>
    </row>
    <row r="418" spans="1:23" s="68" customFormat="1" ht="14.25" customHeight="1">
      <c r="A418" s="487" t="s">
        <v>2648</v>
      </c>
      <c r="B418" s="490" t="s">
        <v>295</v>
      </c>
      <c r="C418" s="491" t="s">
        <v>2595</v>
      </c>
      <c r="D418" s="485" t="s">
        <v>1656</v>
      </c>
      <c r="E418" s="396"/>
      <c r="F418" s="396"/>
      <c r="G418" s="396"/>
      <c r="H418" s="396"/>
      <c r="I418" s="396"/>
      <c r="J418" s="396" t="s">
        <v>794</v>
      </c>
      <c r="K418" s="396" t="s">
        <v>794</v>
      </c>
      <c r="L418" s="396" t="s">
        <v>794</v>
      </c>
      <c r="M418" s="396" t="s">
        <v>791</v>
      </c>
      <c r="N418" s="396"/>
      <c r="O418" s="396"/>
      <c r="P418" s="634" t="s">
        <v>795</v>
      </c>
      <c r="Q418" s="396" t="s">
        <v>758</v>
      </c>
      <c r="R418" s="494"/>
      <c r="S418" s="487"/>
      <c r="T418" s="412">
        <v>42811</v>
      </c>
      <c r="U418" s="401"/>
      <c r="V418" s="396"/>
      <c r="W418" s="486"/>
    </row>
    <row r="419" spans="1:23" s="68" customFormat="1" ht="14.25" customHeight="1">
      <c r="A419" s="487" t="s">
        <v>2648</v>
      </c>
      <c r="B419" s="490" t="s">
        <v>295</v>
      </c>
      <c r="C419" s="491" t="s">
        <v>434</v>
      </c>
      <c r="D419" s="485" t="s">
        <v>1656</v>
      </c>
      <c r="E419" s="396">
        <v>196147</v>
      </c>
      <c r="F419" s="396"/>
      <c r="G419" s="396"/>
      <c r="H419" s="396"/>
      <c r="I419" s="396"/>
      <c r="J419" s="396" t="s">
        <v>794</v>
      </c>
      <c r="K419" s="396" t="s">
        <v>794</v>
      </c>
      <c r="L419" s="396" t="s">
        <v>794</v>
      </c>
      <c r="M419" s="396" t="s">
        <v>791</v>
      </c>
      <c r="N419" s="396">
        <v>20.193460460000001</v>
      </c>
      <c r="O419" s="396">
        <v>92.867782590000004</v>
      </c>
      <c r="P419" s="396" t="s">
        <v>795</v>
      </c>
      <c r="Q419" s="396" t="s">
        <v>758</v>
      </c>
      <c r="R419" s="494"/>
      <c r="S419" s="487"/>
      <c r="T419" s="412">
        <v>42811</v>
      </c>
      <c r="U419" s="401"/>
      <c r="V419" s="396"/>
      <c r="W419" s="486"/>
    </row>
    <row r="420" spans="1:23" s="68" customFormat="1" ht="14.25" customHeight="1">
      <c r="A420" s="487" t="s">
        <v>2648</v>
      </c>
      <c r="B420" s="490" t="s">
        <v>295</v>
      </c>
      <c r="C420" s="491" t="s">
        <v>1142</v>
      </c>
      <c r="D420" s="485" t="s">
        <v>1656</v>
      </c>
      <c r="J420" s="68" t="s">
        <v>794</v>
      </c>
      <c r="K420" s="68" t="s">
        <v>794</v>
      </c>
      <c r="L420" s="68" t="s">
        <v>794</v>
      </c>
      <c r="M420" s="68" t="s">
        <v>791</v>
      </c>
      <c r="P420" s="68" t="s">
        <v>795</v>
      </c>
      <c r="Q420" s="68" t="s">
        <v>776</v>
      </c>
      <c r="R420" s="494"/>
      <c r="S420" s="487"/>
      <c r="T420" s="101"/>
      <c r="U420" s="97"/>
      <c r="V420" s="68" t="s">
        <v>1142</v>
      </c>
      <c r="W420" s="486"/>
    </row>
    <row r="421" spans="1:23" s="68" customFormat="1" ht="14.25" customHeight="1">
      <c r="A421" s="487" t="s">
        <v>2648</v>
      </c>
      <c r="B421" s="490" t="s">
        <v>295</v>
      </c>
      <c r="C421" s="491" t="s">
        <v>2226</v>
      </c>
      <c r="D421" s="485"/>
      <c r="E421" s="68">
        <v>196193</v>
      </c>
      <c r="F421" s="482" t="s">
        <v>2226</v>
      </c>
      <c r="J421" s="68" t="s">
        <v>794</v>
      </c>
      <c r="K421" s="68" t="s">
        <v>794</v>
      </c>
      <c r="L421" s="68" t="s">
        <v>794</v>
      </c>
      <c r="N421" s="68">
        <v>20.1663494110107</v>
      </c>
      <c r="O421" s="68">
        <v>92.871902465820298</v>
      </c>
      <c r="P421" s="68" t="s">
        <v>795</v>
      </c>
      <c r="R421" s="494"/>
      <c r="S421" s="487"/>
      <c r="T421" s="101"/>
      <c r="U421" s="97"/>
      <c r="W421" s="486"/>
    </row>
    <row r="422" spans="1:23" s="68" customFormat="1" ht="14.25" customHeight="1">
      <c r="A422" s="487" t="s">
        <v>2648</v>
      </c>
      <c r="B422" s="490" t="s">
        <v>295</v>
      </c>
      <c r="C422" s="491" t="s">
        <v>874</v>
      </c>
      <c r="D422" s="485" t="s">
        <v>1656</v>
      </c>
      <c r="E422" s="482">
        <v>196129</v>
      </c>
      <c r="F422" s="482" t="s">
        <v>874</v>
      </c>
      <c r="G422" s="482"/>
      <c r="H422" s="482"/>
      <c r="I422" s="482"/>
      <c r="J422" s="482" t="s">
        <v>875</v>
      </c>
      <c r="K422" s="68" t="s">
        <v>794</v>
      </c>
      <c r="L422" s="68" t="s">
        <v>875</v>
      </c>
      <c r="M422" s="396" t="s">
        <v>294</v>
      </c>
      <c r="N422" s="482">
        <v>20.226730346679702</v>
      </c>
      <c r="O422" s="482">
        <v>92.836929321289105</v>
      </c>
      <c r="P422" s="68" t="s">
        <v>795</v>
      </c>
      <c r="Q422" s="482" t="s">
        <v>798</v>
      </c>
      <c r="R422" s="494"/>
      <c r="S422" s="487"/>
      <c r="T422" s="506">
        <v>42926</v>
      </c>
      <c r="U422" s="488"/>
      <c r="V422" s="482" t="s">
        <v>874</v>
      </c>
      <c r="W422" s="486"/>
    </row>
    <row r="423" spans="1:23" s="68" customFormat="1" ht="14.25" customHeight="1">
      <c r="A423" s="487" t="s">
        <v>2648</v>
      </c>
      <c r="B423" s="484" t="s">
        <v>295</v>
      </c>
      <c r="C423" s="484" t="s">
        <v>2580</v>
      </c>
      <c r="D423" s="431"/>
      <c r="E423" s="482">
        <v>196136</v>
      </c>
      <c r="F423" s="482" t="s">
        <v>2697</v>
      </c>
      <c r="G423" s="482"/>
      <c r="H423" s="482"/>
      <c r="I423" s="482"/>
      <c r="J423" s="482" t="s">
        <v>794</v>
      </c>
      <c r="K423" s="396" t="s">
        <v>794</v>
      </c>
      <c r="L423" s="396" t="s">
        <v>794</v>
      </c>
      <c r="M423" s="396"/>
      <c r="N423" s="482">
        <v>20.1899604797363</v>
      </c>
      <c r="O423" s="482">
        <v>92.895767211914105</v>
      </c>
      <c r="P423" s="396" t="s">
        <v>795</v>
      </c>
      <c r="Q423" s="482"/>
      <c r="R423" s="486"/>
      <c r="S423" s="487"/>
      <c r="T423" s="506"/>
      <c r="U423" s="488"/>
      <c r="V423" s="482"/>
      <c r="W423" s="486"/>
    </row>
    <row r="424" spans="1:23" s="68" customFormat="1" ht="14.25" customHeight="1">
      <c r="A424" s="656" t="s">
        <v>2648</v>
      </c>
      <c r="B424" s="669" t="s">
        <v>295</v>
      </c>
      <c r="C424" s="668" t="s">
        <v>3109</v>
      </c>
      <c r="D424" s="485"/>
      <c r="E424" s="659"/>
      <c r="F424" s="659"/>
      <c r="G424" s="659"/>
      <c r="H424" s="659"/>
      <c r="I424" s="659"/>
      <c r="J424" s="659" t="s">
        <v>794</v>
      </c>
      <c r="K424" s="659" t="s">
        <v>794</v>
      </c>
      <c r="L424" s="659" t="s">
        <v>794</v>
      </c>
      <c r="M424" s="659"/>
      <c r="N424" s="659"/>
      <c r="O424" s="659"/>
      <c r="P424" s="659"/>
      <c r="Q424" s="659" t="s">
        <v>3102</v>
      </c>
      <c r="R424" s="660"/>
      <c r="S424" s="656"/>
      <c r="T424" s="661">
        <v>43843</v>
      </c>
      <c r="U424" s="660"/>
      <c r="V424" s="659"/>
      <c r="W424" s="486"/>
    </row>
    <row r="425" spans="1:23" s="68" customFormat="1" ht="14.25" customHeight="1">
      <c r="A425" s="487" t="s">
        <v>2648</v>
      </c>
      <c r="B425" s="490" t="s">
        <v>295</v>
      </c>
      <c r="C425" s="491" t="s">
        <v>2010</v>
      </c>
      <c r="D425" s="485"/>
      <c r="E425" s="482">
        <v>196181</v>
      </c>
      <c r="F425" s="482" t="s">
        <v>2010</v>
      </c>
      <c r="J425" s="68" t="s">
        <v>794</v>
      </c>
      <c r="K425" s="68" t="s">
        <v>794</v>
      </c>
      <c r="L425" s="68" t="s">
        <v>794</v>
      </c>
      <c r="N425" s="68">
        <v>20.227340699999999</v>
      </c>
      <c r="O425" s="68">
        <v>92.893341059999997</v>
      </c>
      <c r="P425" s="68" t="s">
        <v>795</v>
      </c>
      <c r="R425" s="494"/>
      <c r="S425" s="487"/>
      <c r="T425" s="101">
        <v>43297</v>
      </c>
      <c r="U425" s="97"/>
      <c r="W425" s="486"/>
    </row>
    <row r="426" spans="1:23" s="68" customFormat="1" ht="14.25" customHeight="1">
      <c r="A426" s="487" t="s">
        <v>2648</v>
      </c>
      <c r="B426" s="490" t="s">
        <v>295</v>
      </c>
      <c r="C426" s="491" t="s">
        <v>2005</v>
      </c>
      <c r="D426" s="485"/>
      <c r="E426" s="482">
        <v>196161</v>
      </c>
      <c r="F426" s="482" t="s">
        <v>2006</v>
      </c>
      <c r="G426" s="482"/>
      <c r="H426" s="482"/>
      <c r="I426" s="482"/>
      <c r="J426" s="482" t="s">
        <v>794</v>
      </c>
      <c r="K426" s="68" t="s">
        <v>794</v>
      </c>
      <c r="L426" s="68" t="s">
        <v>794</v>
      </c>
      <c r="M426" s="68" t="s">
        <v>294</v>
      </c>
      <c r="N426" s="482">
        <v>20.257850650000002</v>
      </c>
      <c r="O426" s="482">
        <v>92.811126709999996</v>
      </c>
      <c r="P426" s="396" t="s">
        <v>795</v>
      </c>
      <c r="Q426" s="482"/>
      <c r="R426" s="494"/>
      <c r="S426" s="487"/>
      <c r="T426" s="506">
        <v>43294</v>
      </c>
      <c r="U426" s="488"/>
      <c r="V426" s="482"/>
      <c r="W426" s="486"/>
    </row>
    <row r="427" spans="1:23" s="68" customFormat="1" ht="14.25" customHeight="1">
      <c r="A427" s="487" t="s">
        <v>2648</v>
      </c>
      <c r="B427" s="490" t="s">
        <v>295</v>
      </c>
      <c r="C427" s="491" t="s">
        <v>2004</v>
      </c>
      <c r="D427" s="485"/>
      <c r="E427" s="482">
        <v>196168</v>
      </c>
      <c r="F427" s="482" t="s">
        <v>446</v>
      </c>
      <c r="G427" s="482"/>
      <c r="H427" s="482"/>
      <c r="I427" s="396"/>
      <c r="J427" s="68" t="s">
        <v>794</v>
      </c>
      <c r="K427" s="68" t="s">
        <v>794</v>
      </c>
      <c r="L427" s="482" t="s">
        <v>794</v>
      </c>
      <c r="M427" s="396" t="s">
        <v>1906</v>
      </c>
      <c r="N427" s="482">
        <v>20.223510739999998</v>
      </c>
      <c r="O427" s="482">
        <v>92.86984253</v>
      </c>
      <c r="P427" s="482" t="s">
        <v>795</v>
      </c>
      <c r="Q427" s="396"/>
      <c r="R427" s="494"/>
      <c r="S427" s="487"/>
      <c r="T427" s="412">
        <v>43294</v>
      </c>
      <c r="U427" s="488"/>
      <c r="V427" s="482"/>
      <c r="W427" s="486"/>
    </row>
    <row r="428" spans="1:23" s="68" customFormat="1" ht="14.25" customHeight="1">
      <c r="A428" s="487" t="s">
        <v>2648</v>
      </c>
      <c r="B428" s="484" t="s">
        <v>295</v>
      </c>
      <c r="C428" s="484" t="s">
        <v>669</v>
      </c>
      <c r="D428" s="431"/>
      <c r="E428" s="484">
        <v>196208</v>
      </c>
      <c r="F428" s="484" t="s">
        <v>669</v>
      </c>
      <c r="J428" s="68" t="s">
        <v>794</v>
      </c>
      <c r="K428" s="484" t="s">
        <v>794</v>
      </c>
      <c r="L428" s="484" t="s">
        <v>794</v>
      </c>
      <c r="N428" s="68">
        <v>20.128850936889599</v>
      </c>
      <c r="O428" s="484">
        <v>92.872497558593807</v>
      </c>
      <c r="P428" s="68" t="s">
        <v>795</v>
      </c>
      <c r="R428" s="399"/>
      <c r="S428" s="486"/>
      <c r="T428" s="101"/>
      <c r="U428" s="97"/>
      <c r="W428" s="486"/>
    </row>
    <row r="429" spans="1:23" s="68" customFormat="1" ht="14.25" customHeight="1">
      <c r="A429" s="487" t="s">
        <v>2648</v>
      </c>
      <c r="B429" s="490" t="s">
        <v>295</v>
      </c>
      <c r="C429" s="491" t="s">
        <v>1878</v>
      </c>
      <c r="D429" s="485" t="s">
        <v>1876</v>
      </c>
      <c r="E429" s="482"/>
      <c r="F429" s="482"/>
      <c r="G429" s="482"/>
      <c r="H429" s="482"/>
      <c r="I429" s="396"/>
      <c r="J429" s="396" t="s">
        <v>794</v>
      </c>
      <c r="K429" s="396" t="s">
        <v>794</v>
      </c>
      <c r="L429" s="482" t="s">
        <v>794</v>
      </c>
      <c r="M429" s="396"/>
      <c r="N429" s="482"/>
      <c r="O429" s="482"/>
      <c r="P429" s="482" t="s">
        <v>795</v>
      </c>
      <c r="Q429" s="396"/>
      <c r="R429" s="494"/>
      <c r="S429" s="487"/>
      <c r="T429" s="412"/>
      <c r="U429" s="488"/>
      <c r="V429" s="482"/>
      <c r="W429" s="486"/>
    </row>
    <row r="430" spans="1:23" s="68" customFormat="1" ht="14.25" customHeight="1">
      <c r="A430" s="487" t="s">
        <v>2648</v>
      </c>
      <c r="B430" s="490" t="s">
        <v>295</v>
      </c>
      <c r="C430" s="491" t="s">
        <v>438</v>
      </c>
      <c r="D430" s="485" t="s">
        <v>1656</v>
      </c>
      <c r="E430" s="68">
        <v>196159</v>
      </c>
      <c r="F430" s="482"/>
      <c r="J430" s="68" t="s">
        <v>794</v>
      </c>
      <c r="K430" s="68" t="s">
        <v>794</v>
      </c>
      <c r="L430" s="68" t="s">
        <v>794</v>
      </c>
      <c r="M430" s="68" t="s">
        <v>294</v>
      </c>
      <c r="N430" s="68">
        <v>20.2023601531982</v>
      </c>
      <c r="O430" s="68">
        <v>92.812782287597699</v>
      </c>
      <c r="P430" s="396" t="s">
        <v>795</v>
      </c>
      <c r="Q430" s="68" t="s">
        <v>776</v>
      </c>
      <c r="R430" s="494"/>
      <c r="S430" s="487"/>
      <c r="T430" s="101"/>
      <c r="U430" s="97"/>
      <c r="V430" s="68" t="s">
        <v>438</v>
      </c>
      <c r="W430" s="486"/>
    </row>
    <row r="431" spans="1:23" s="68" customFormat="1" ht="14.25" customHeight="1">
      <c r="A431" s="482" t="s">
        <v>36</v>
      </c>
      <c r="B431" s="482" t="s">
        <v>185</v>
      </c>
      <c r="C431" s="482" t="s">
        <v>1082</v>
      </c>
      <c r="D431" s="431" t="s">
        <v>1656</v>
      </c>
      <c r="E431" s="482"/>
      <c r="F431" s="482"/>
      <c r="G431" s="482"/>
      <c r="H431" s="482"/>
      <c r="I431" s="482"/>
      <c r="J431" s="482" t="s">
        <v>1460</v>
      </c>
      <c r="K431" s="396" t="s">
        <v>42</v>
      </c>
      <c r="L431" s="396" t="s">
        <v>1083</v>
      </c>
      <c r="M431" s="68" t="s">
        <v>43</v>
      </c>
      <c r="N431" s="482"/>
      <c r="O431" s="482"/>
      <c r="P431" s="482" t="s">
        <v>757</v>
      </c>
      <c r="Q431" s="482"/>
      <c r="R431" s="486"/>
      <c r="S431" s="487"/>
      <c r="T431" s="506"/>
      <c r="U431" s="488"/>
      <c r="V431" s="482" t="s">
        <v>1082</v>
      </c>
      <c r="W431" s="482"/>
    </row>
    <row r="432" spans="1:23" s="68" customFormat="1" ht="14.25" customHeight="1">
      <c r="A432" s="396" t="s">
        <v>36</v>
      </c>
      <c r="B432" s="482" t="s">
        <v>185</v>
      </c>
      <c r="C432" s="482" t="s">
        <v>267</v>
      </c>
      <c r="D432" s="431" t="s">
        <v>2817</v>
      </c>
      <c r="E432" s="482" t="s">
        <v>1493</v>
      </c>
      <c r="F432" s="68" t="s">
        <v>1786</v>
      </c>
      <c r="G432" s="68" t="s">
        <v>1786</v>
      </c>
      <c r="H432" s="68" t="s">
        <v>40</v>
      </c>
      <c r="I432" s="68" t="s">
        <v>41</v>
      </c>
      <c r="J432" s="68" t="s">
        <v>42</v>
      </c>
      <c r="K432" s="396" t="s">
        <v>42</v>
      </c>
      <c r="L432" s="396" t="s">
        <v>42</v>
      </c>
      <c r="M432" s="68" t="s">
        <v>43</v>
      </c>
      <c r="N432" s="396">
        <v>24.260719999999999</v>
      </c>
      <c r="O432" s="396">
        <v>97.238829999999993</v>
      </c>
      <c r="P432" s="396" t="s">
        <v>757</v>
      </c>
      <c r="Q432" s="68" t="s">
        <v>776</v>
      </c>
      <c r="R432" s="399">
        <v>218</v>
      </c>
      <c r="S432" s="486">
        <v>1067</v>
      </c>
      <c r="T432" s="101"/>
      <c r="U432" s="97"/>
      <c r="V432" s="68" t="s">
        <v>267</v>
      </c>
      <c r="W432" s="482"/>
    </row>
    <row r="433" spans="1:23" s="68" customFormat="1" ht="14.25" customHeight="1">
      <c r="A433" s="396" t="s">
        <v>36</v>
      </c>
      <c r="B433" s="482" t="s">
        <v>185</v>
      </c>
      <c r="C433" s="482" t="s">
        <v>186</v>
      </c>
      <c r="D433" s="431" t="s">
        <v>2817</v>
      </c>
      <c r="E433" s="482" t="s">
        <v>1492</v>
      </c>
      <c r="F433" s="68" t="s">
        <v>1785</v>
      </c>
      <c r="G433" s="68" t="s">
        <v>1785</v>
      </c>
      <c r="H433" s="68" t="s">
        <v>40</v>
      </c>
      <c r="I433" s="68" t="s">
        <v>131</v>
      </c>
      <c r="J433" s="68" t="s">
        <v>42</v>
      </c>
      <c r="K433" s="68" t="s">
        <v>42</v>
      </c>
      <c r="L433" s="396" t="s">
        <v>42</v>
      </c>
      <c r="M433" s="68" t="s">
        <v>43</v>
      </c>
      <c r="N433" s="68">
        <v>24.260466999999998</v>
      </c>
      <c r="O433" s="68">
        <v>97.252650000000003</v>
      </c>
      <c r="P433" s="396" t="s">
        <v>757</v>
      </c>
      <c r="Q433" s="68" t="s">
        <v>776</v>
      </c>
      <c r="R433" s="399">
        <v>12</v>
      </c>
      <c r="S433" s="486">
        <v>52</v>
      </c>
      <c r="T433" s="101"/>
      <c r="U433" s="97"/>
      <c r="V433" s="68" t="s">
        <v>186</v>
      </c>
      <c r="W433" s="482"/>
    </row>
    <row r="434" spans="1:23" s="68" customFormat="1" ht="14.25" customHeight="1">
      <c r="A434" s="482" t="s">
        <v>36</v>
      </c>
      <c r="B434" s="482" t="s">
        <v>185</v>
      </c>
      <c r="C434" s="482" t="s">
        <v>1090</v>
      </c>
      <c r="D434" s="431" t="s">
        <v>1656</v>
      </c>
      <c r="E434" s="482"/>
      <c r="J434" s="68" t="s">
        <v>794</v>
      </c>
      <c r="K434" s="482" t="s">
        <v>794</v>
      </c>
      <c r="L434" s="482" t="s">
        <v>794</v>
      </c>
      <c r="M434" s="68" t="s">
        <v>43</v>
      </c>
      <c r="P434" s="396" t="s">
        <v>795</v>
      </c>
      <c r="R434" s="486"/>
      <c r="S434" s="487"/>
      <c r="T434" s="101"/>
      <c r="U434" s="401"/>
      <c r="W434" s="482"/>
    </row>
    <row r="435" spans="1:23" s="68" customFormat="1" ht="14.25" customHeight="1">
      <c r="A435" s="396" t="s">
        <v>36</v>
      </c>
      <c r="B435" s="396" t="s">
        <v>185</v>
      </c>
      <c r="C435" s="396" t="s">
        <v>1005</v>
      </c>
      <c r="D435" s="431" t="s">
        <v>2817</v>
      </c>
      <c r="E435" s="68" t="s">
        <v>1496</v>
      </c>
      <c r="I435" s="68" t="s">
        <v>2116</v>
      </c>
      <c r="J435" s="68" t="s">
        <v>42</v>
      </c>
      <c r="K435" s="68" t="s">
        <v>42</v>
      </c>
      <c r="L435" s="68" t="s">
        <v>768</v>
      </c>
      <c r="M435" s="68" t="s">
        <v>43</v>
      </c>
      <c r="N435" s="68">
        <v>24.263786</v>
      </c>
      <c r="O435" s="68">
        <v>97.228835000000004</v>
      </c>
      <c r="P435" s="396" t="s">
        <v>769</v>
      </c>
      <c r="Q435" s="68" t="s">
        <v>758</v>
      </c>
      <c r="R435" s="399">
        <v>181</v>
      </c>
      <c r="S435" s="486">
        <v>906</v>
      </c>
      <c r="T435" s="101"/>
      <c r="U435" s="97" t="s">
        <v>1006</v>
      </c>
      <c r="V435" s="68" t="s">
        <v>768</v>
      </c>
      <c r="W435" s="482"/>
    </row>
    <row r="436" spans="1:23" s="68" customFormat="1" ht="14.25" customHeight="1">
      <c r="A436" s="396" t="s">
        <v>36</v>
      </c>
      <c r="B436" s="396" t="s">
        <v>185</v>
      </c>
      <c r="C436" s="68" t="s">
        <v>764</v>
      </c>
      <c r="D436" s="431" t="s">
        <v>1657</v>
      </c>
      <c r="E436" s="68" t="s">
        <v>1323</v>
      </c>
      <c r="F436" s="68">
        <v>0</v>
      </c>
      <c r="G436" s="68">
        <v>0</v>
      </c>
      <c r="I436" s="68">
        <v>0</v>
      </c>
      <c r="J436" s="68" t="s">
        <v>42</v>
      </c>
      <c r="K436" s="68" t="s">
        <v>42</v>
      </c>
      <c r="L436" s="68" t="s">
        <v>756</v>
      </c>
      <c r="M436" s="68" t="s">
        <v>43</v>
      </c>
      <c r="P436" s="68" t="s">
        <v>757</v>
      </c>
      <c r="R436" s="95"/>
      <c r="S436" s="487"/>
      <c r="T436" s="101"/>
      <c r="U436" s="97"/>
      <c r="V436" s="68" t="s">
        <v>764</v>
      </c>
      <c r="W436" s="482" t="s">
        <v>2117</v>
      </c>
    </row>
    <row r="437" spans="1:23" s="68" customFormat="1" ht="14.25" customHeight="1">
      <c r="A437" s="396" t="s">
        <v>36</v>
      </c>
      <c r="B437" s="482" t="s">
        <v>185</v>
      </c>
      <c r="C437" s="482" t="s">
        <v>188</v>
      </c>
      <c r="D437" s="431" t="s">
        <v>2817</v>
      </c>
      <c r="E437" s="68" t="s">
        <v>1484</v>
      </c>
      <c r="F437" s="68" t="s">
        <v>1783</v>
      </c>
      <c r="G437" s="68" t="s">
        <v>1784</v>
      </c>
      <c r="H437" s="68" t="s">
        <v>40</v>
      </c>
      <c r="I437" s="68" t="s">
        <v>131</v>
      </c>
      <c r="J437" s="68" t="s">
        <v>42</v>
      </c>
      <c r="K437" s="68" t="s">
        <v>42</v>
      </c>
      <c r="L437" s="396" t="s">
        <v>42</v>
      </c>
      <c r="M437" s="68" t="s">
        <v>43</v>
      </c>
      <c r="N437" s="396">
        <v>24.24766</v>
      </c>
      <c r="O437" s="396">
        <v>97.236919999999998</v>
      </c>
      <c r="P437" s="396" t="s">
        <v>757</v>
      </c>
      <c r="Q437" s="68" t="s">
        <v>776</v>
      </c>
      <c r="R437" s="399">
        <v>40</v>
      </c>
      <c r="S437" s="486">
        <v>232</v>
      </c>
      <c r="T437" s="101"/>
      <c r="U437" s="401"/>
      <c r="V437" s="68" t="s">
        <v>188</v>
      </c>
      <c r="W437" s="482"/>
    </row>
    <row r="438" spans="1:23" s="68" customFormat="1" ht="14.25" customHeight="1">
      <c r="A438" s="396" t="s">
        <v>36</v>
      </c>
      <c r="B438" s="396" t="s">
        <v>185</v>
      </c>
      <c r="C438" s="396" t="s">
        <v>1004</v>
      </c>
      <c r="D438" s="431" t="s">
        <v>1657</v>
      </c>
      <c r="E438" s="68" t="s">
        <v>1494</v>
      </c>
      <c r="F438" s="68">
        <v>0</v>
      </c>
      <c r="G438" s="68">
        <v>0</v>
      </c>
      <c r="I438" s="68">
        <v>0</v>
      </c>
      <c r="J438" s="68" t="s">
        <v>42</v>
      </c>
      <c r="K438" s="68" t="s">
        <v>42</v>
      </c>
      <c r="L438" s="396" t="s">
        <v>756</v>
      </c>
      <c r="M438" s="68" t="s">
        <v>43</v>
      </c>
      <c r="N438" s="68">
        <v>24.262418019999998</v>
      </c>
      <c r="O438" s="68">
        <v>97.221556500000005</v>
      </c>
      <c r="P438" s="396" t="s">
        <v>757</v>
      </c>
      <c r="R438" s="399"/>
      <c r="S438" s="487"/>
      <c r="T438" s="101"/>
      <c r="U438" s="401"/>
      <c r="V438" s="68" t="s">
        <v>1004</v>
      </c>
      <c r="W438" s="482" t="s">
        <v>2118</v>
      </c>
    </row>
    <row r="439" spans="1:23" s="68" customFormat="1" ht="14.25" customHeight="1">
      <c r="A439" s="396" t="s">
        <v>36</v>
      </c>
      <c r="B439" s="396" t="s">
        <v>185</v>
      </c>
      <c r="C439" s="396" t="s">
        <v>190</v>
      </c>
      <c r="D439" s="431" t="s">
        <v>2817</v>
      </c>
      <c r="E439" s="68" t="s">
        <v>1495</v>
      </c>
      <c r="F439" s="68" t="s">
        <v>1786</v>
      </c>
      <c r="G439" s="68" t="s">
        <v>1786</v>
      </c>
      <c r="H439" s="68" t="s">
        <v>40</v>
      </c>
      <c r="I439" s="68" t="s">
        <v>232</v>
      </c>
      <c r="J439" s="68" t="s">
        <v>42</v>
      </c>
      <c r="K439" s="68" t="s">
        <v>42</v>
      </c>
      <c r="L439" s="68" t="s">
        <v>42</v>
      </c>
      <c r="M439" s="68" t="s">
        <v>43</v>
      </c>
      <c r="N439" s="68">
        <v>24.263174360000001</v>
      </c>
      <c r="O439" s="68">
        <v>97.240183459999997</v>
      </c>
      <c r="P439" s="396" t="s">
        <v>757</v>
      </c>
      <c r="Q439" s="68" t="s">
        <v>776</v>
      </c>
      <c r="R439" s="399">
        <v>139</v>
      </c>
      <c r="S439" s="486">
        <v>777</v>
      </c>
      <c r="T439" s="101"/>
      <c r="U439" s="97"/>
      <c r="V439" s="68" t="s">
        <v>190</v>
      </c>
      <c r="W439" s="396"/>
    </row>
    <row r="440" spans="1:23" s="68" customFormat="1" ht="14.25" customHeight="1">
      <c r="A440" s="487" t="s">
        <v>36</v>
      </c>
      <c r="B440" s="396" t="s">
        <v>185</v>
      </c>
      <c r="C440" s="390" t="s">
        <v>2013</v>
      </c>
      <c r="D440" s="485"/>
      <c r="J440" s="68" t="s">
        <v>1460</v>
      </c>
      <c r="K440" s="68" t="s">
        <v>42</v>
      </c>
      <c r="L440" s="68" t="s">
        <v>1083</v>
      </c>
      <c r="M440" s="68" t="s">
        <v>43</v>
      </c>
      <c r="N440" s="396"/>
      <c r="O440" s="396"/>
      <c r="P440" s="396" t="s">
        <v>1972</v>
      </c>
      <c r="R440" s="494"/>
      <c r="S440" s="487"/>
      <c r="T440" s="101">
        <v>43298</v>
      </c>
      <c r="U440" s="401"/>
      <c r="W440" s="482"/>
    </row>
    <row r="441" spans="1:23" s="68" customFormat="1" ht="14.25" customHeight="1">
      <c r="A441" s="396" t="s">
        <v>36</v>
      </c>
      <c r="B441" s="482" t="s">
        <v>185</v>
      </c>
      <c r="C441" s="482" t="s">
        <v>191</v>
      </c>
      <c r="D441" s="431" t="s">
        <v>2817</v>
      </c>
      <c r="E441" s="68" t="s">
        <v>1490</v>
      </c>
      <c r="F441" s="68" t="s">
        <v>1783</v>
      </c>
      <c r="G441" s="68" t="s">
        <v>1784</v>
      </c>
      <c r="H441" s="68" t="s">
        <v>40</v>
      </c>
      <c r="I441" s="68" t="s">
        <v>232</v>
      </c>
      <c r="J441" s="68" t="s">
        <v>42</v>
      </c>
      <c r="K441" s="68" t="s">
        <v>42</v>
      </c>
      <c r="L441" s="68" t="s">
        <v>42</v>
      </c>
      <c r="M441" s="68" t="s">
        <v>43</v>
      </c>
      <c r="N441" s="68">
        <v>24.253067000000001</v>
      </c>
      <c r="O441" s="68">
        <v>97.234200000000001</v>
      </c>
      <c r="P441" s="396" t="s">
        <v>757</v>
      </c>
      <c r="Q441" s="68" t="s">
        <v>776</v>
      </c>
      <c r="R441" s="399">
        <v>14</v>
      </c>
      <c r="S441" s="486">
        <v>55</v>
      </c>
      <c r="T441" s="101"/>
      <c r="U441" s="401"/>
      <c r="V441" s="68" t="s">
        <v>191</v>
      </c>
      <c r="W441" s="482"/>
    </row>
    <row r="442" spans="1:23" s="68" customFormat="1" ht="14.25" customHeight="1">
      <c r="A442" s="396" t="s">
        <v>36</v>
      </c>
      <c r="B442" s="482" t="s">
        <v>185</v>
      </c>
      <c r="C442" s="482" t="s">
        <v>193</v>
      </c>
      <c r="D442" s="431" t="s">
        <v>2817</v>
      </c>
      <c r="E442" s="68" t="s">
        <v>1500</v>
      </c>
      <c r="F442" s="68" t="s">
        <v>1790</v>
      </c>
      <c r="G442" s="68" t="s">
        <v>1790</v>
      </c>
      <c r="H442" s="68" t="s">
        <v>40</v>
      </c>
      <c r="I442" s="68" t="s">
        <v>41</v>
      </c>
      <c r="J442" s="68" t="s">
        <v>42</v>
      </c>
      <c r="K442" s="482" t="s">
        <v>42</v>
      </c>
      <c r="L442" s="482" t="s">
        <v>756</v>
      </c>
      <c r="M442" s="68" t="s">
        <v>43</v>
      </c>
      <c r="N442" s="68">
        <v>24.32638</v>
      </c>
      <c r="O442" s="68">
        <v>97.315860000000001</v>
      </c>
      <c r="P442" s="68" t="s">
        <v>757</v>
      </c>
      <c r="Q442" s="68" t="s">
        <v>776</v>
      </c>
      <c r="R442" s="399"/>
      <c r="S442" s="486"/>
      <c r="T442" s="101"/>
      <c r="U442" s="97"/>
      <c r="V442" s="68" t="s">
        <v>193</v>
      </c>
      <c r="W442" s="396"/>
    </row>
    <row r="443" spans="1:23" s="68" customFormat="1" ht="14.25" customHeight="1">
      <c r="A443" s="396" t="s">
        <v>36</v>
      </c>
      <c r="B443" s="396" t="s">
        <v>185</v>
      </c>
      <c r="C443" s="482" t="s">
        <v>269</v>
      </c>
      <c r="D443" s="431" t="s">
        <v>2817</v>
      </c>
      <c r="E443" s="68" t="s">
        <v>1481</v>
      </c>
      <c r="F443" s="68" t="s">
        <v>1780</v>
      </c>
      <c r="G443" s="68" t="s">
        <v>1781</v>
      </c>
      <c r="H443" s="68" t="s">
        <v>40</v>
      </c>
      <c r="I443" s="68" t="s">
        <v>131</v>
      </c>
      <c r="J443" s="68" t="s">
        <v>42</v>
      </c>
      <c r="K443" s="482" t="s">
        <v>42</v>
      </c>
      <c r="L443" s="482" t="s">
        <v>42</v>
      </c>
      <c r="M443" s="68" t="s">
        <v>43</v>
      </c>
      <c r="N443" s="68">
        <v>24.222349999999999</v>
      </c>
      <c r="O443" s="68">
        <v>97.252650000000003</v>
      </c>
      <c r="P443" s="68" t="s">
        <v>757</v>
      </c>
      <c r="Q443" s="68" t="s">
        <v>776</v>
      </c>
      <c r="R443" s="399">
        <v>147</v>
      </c>
      <c r="S443" s="486">
        <v>783</v>
      </c>
      <c r="T443" s="101"/>
      <c r="U443" s="97"/>
      <c r="V443" s="68" t="s">
        <v>269</v>
      </c>
      <c r="W443" s="482"/>
    </row>
    <row r="444" spans="1:23" s="68" customFormat="1" ht="14.25" customHeight="1">
      <c r="A444" s="396" t="s">
        <v>36</v>
      </c>
      <c r="B444" s="484" t="s">
        <v>185</v>
      </c>
      <c r="C444" s="484" t="s">
        <v>270</v>
      </c>
      <c r="D444" s="431" t="s">
        <v>2817</v>
      </c>
      <c r="E444" s="68" t="s">
        <v>1497</v>
      </c>
      <c r="F444" s="484" t="s">
        <v>1783</v>
      </c>
      <c r="G444" s="68" t="s">
        <v>1787</v>
      </c>
      <c r="H444" s="68" t="s">
        <v>40</v>
      </c>
      <c r="I444" s="68" t="s">
        <v>131</v>
      </c>
      <c r="J444" s="68" t="s">
        <v>42</v>
      </c>
      <c r="K444" s="482" t="s">
        <v>42</v>
      </c>
      <c r="L444" s="482" t="s">
        <v>42</v>
      </c>
      <c r="M444" s="68" t="s">
        <v>43</v>
      </c>
      <c r="N444" s="68">
        <v>24.26829283</v>
      </c>
      <c r="O444" s="68">
        <v>97.229116809999994</v>
      </c>
      <c r="P444" s="68" t="s">
        <v>757</v>
      </c>
      <c r="Q444" s="68" t="s">
        <v>776</v>
      </c>
      <c r="R444" s="490">
        <v>641</v>
      </c>
      <c r="S444" s="490">
        <v>4027</v>
      </c>
      <c r="T444" s="101"/>
      <c r="U444" s="97"/>
      <c r="V444" s="68" t="s">
        <v>270</v>
      </c>
      <c r="W444" s="391" t="s">
        <v>2246</v>
      </c>
    </row>
    <row r="445" spans="1:23" s="68" customFormat="1" ht="14.25" customHeight="1">
      <c r="A445" s="491" t="s">
        <v>36</v>
      </c>
      <c r="B445" s="490" t="s">
        <v>185</v>
      </c>
      <c r="C445" s="496" t="s">
        <v>1650</v>
      </c>
      <c r="D445" s="431" t="s">
        <v>1656</v>
      </c>
      <c r="E445" s="484"/>
      <c r="F445" s="484"/>
      <c r="G445" s="484"/>
      <c r="H445" s="484" t="s">
        <v>126</v>
      </c>
      <c r="I445" s="484"/>
      <c r="J445" s="484" t="s">
        <v>1460</v>
      </c>
      <c r="K445" s="68" t="s">
        <v>42</v>
      </c>
      <c r="L445" s="68" t="s">
        <v>42</v>
      </c>
      <c r="M445" s="68" t="s">
        <v>43</v>
      </c>
      <c r="N445" s="484"/>
      <c r="O445" s="484"/>
      <c r="P445" s="68" t="s">
        <v>757</v>
      </c>
      <c r="Q445" s="484"/>
      <c r="R445" s="495"/>
      <c r="S445" s="491"/>
      <c r="T445" s="507">
        <v>43245</v>
      </c>
      <c r="U445" s="492"/>
      <c r="V445" s="484"/>
      <c r="W445" s="482"/>
    </row>
    <row r="446" spans="1:23" s="68" customFormat="1" ht="14.25" customHeight="1">
      <c r="A446" s="396" t="s">
        <v>36</v>
      </c>
      <c r="B446" s="484" t="s">
        <v>185</v>
      </c>
      <c r="C446" s="484" t="s">
        <v>1007</v>
      </c>
      <c r="D446" s="431" t="s">
        <v>1941</v>
      </c>
      <c r="E446" s="484" t="s">
        <v>1499</v>
      </c>
      <c r="F446" s="396" t="s">
        <v>1783</v>
      </c>
      <c r="G446" s="396" t="s">
        <v>1863</v>
      </c>
      <c r="H446" s="396" t="s">
        <v>40</v>
      </c>
      <c r="I446" s="396" t="s">
        <v>232</v>
      </c>
      <c r="J446" s="396" t="s">
        <v>42</v>
      </c>
      <c r="K446" s="396" t="s">
        <v>42</v>
      </c>
      <c r="L446" s="396" t="s">
        <v>756</v>
      </c>
      <c r="M446" s="396" t="s">
        <v>43</v>
      </c>
      <c r="N446" s="396">
        <v>24.29138</v>
      </c>
      <c r="O446" s="396">
        <v>97.227789999999999</v>
      </c>
      <c r="P446" s="396" t="s">
        <v>757</v>
      </c>
      <c r="Q446" s="396" t="s">
        <v>758</v>
      </c>
      <c r="R446" s="399"/>
      <c r="S446" s="487"/>
      <c r="T446" s="412">
        <v>43276</v>
      </c>
      <c r="U446" s="401" t="s">
        <v>1942</v>
      </c>
      <c r="V446" s="396" t="s">
        <v>1007</v>
      </c>
      <c r="W446" s="391" t="s">
        <v>2119</v>
      </c>
    </row>
    <row r="447" spans="1:23" s="68" customFormat="1" ht="14.25" customHeight="1">
      <c r="A447" s="482" t="s">
        <v>36</v>
      </c>
      <c r="B447" s="484" t="s">
        <v>185</v>
      </c>
      <c r="C447" s="484" t="s">
        <v>787</v>
      </c>
      <c r="D447" s="431" t="s">
        <v>1657</v>
      </c>
      <c r="E447" s="484" t="s">
        <v>1343</v>
      </c>
      <c r="F447" s="68">
        <v>0</v>
      </c>
      <c r="G447" s="68">
        <v>0</v>
      </c>
      <c r="I447" s="68">
        <v>0</v>
      </c>
      <c r="J447" s="68" t="s">
        <v>42</v>
      </c>
      <c r="K447" s="396" t="s">
        <v>42</v>
      </c>
      <c r="L447" s="396" t="s">
        <v>756</v>
      </c>
      <c r="M447" s="68" t="s">
        <v>43</v>
      </c>
      <c r="P447" s="68" t="s">
        <v>757</v>
      </c>
      <c r="R447" s="486"/>
      <c r="S447" s="487"/>
      <c r="T447" s="101"/>
      <c r="U447" s="97"/>
      <c r="V447" s="68" t="s">
        <v>787</v>
      </c>
      <c r="W447" s="68" t="s">
        <v>2120</v>
      </c>
    </row>
    <row r="448" spans="1:23" s="68" customFormat="1" ht="14.25" customHeight="1">
      <c r="A448" s="482" t="s">
        <v>36</v>
      </c>
      <c r="B448" s="484" t="s">
        <v>185</v>
      </c>
      <c r="C448" s="484" t="s">
        <v>194</v>
      </c>
      <c r="D448" s="431" t="s">
        <v>2657</v>
      </c>
      <c r="E448" s="484" t="s">
        <v>1485</v>
      </c>
      <c r="F448" s="482" t="s">
        <v>1780</v>
      </c>
      <c r="G448" s="482" t="s">
        <v>1780</v>
      </c>
      <c r="H448" s="482" t="s">
        <v>40</v>
      </c>
      <c r="I448" s="68" t="s">
        <v>232</v>
      </c>
      <c r="J448" s="68" t="s">
        <v>42</v>
      </c>
      <c r="K448" s="68" t="s">
        <v>42</v>
      </c>
      <c r="L448" s="482" t="s">
        <v>756</v>
      </c>
      <c r="M448" s="68" t="s">
        <v>43</v>
      </c>
      <c r="N448" s="482">
        <v>24.24953</v>
      </c>
      <c r="O448" s="482">
        <v>97.240639999999999</v>
      </c>
      <c r="P448" s="482" t="s">
        <v>757</v>
      </c>
      <c r="Q448" s="68" t="s">
        <v>776</v>
      </c>
      <c r="R448" s="486"/>
      <c r="S448" s="486"/>
      <c r="T448" s="101"/>
      <c r="U448" s="488"/>
      <c r="V448" s="482" t="s">
        <v>194</v>
      </c>
      <c r="W448" s="482"/>
    </row>
    <row r="449" spans="1:23" s="68" customFormat="1" ht="14.25" customHeight="1">
      <c r="A449" s="482" t="s">
        <v>36</v>
      </c>
      <c r="B449" s="482" t="s">
        <v>136</v>
      </c>
      <c r="C449" s="482" t="s">
        <v>1094</v>
      </c>
      <c r="D449" s="431" t="s">
        <v>1656</v>
      </c>
      <c r="E449" s="482"/>
      <c r="F449" s="482"/>
      <c r="G449" s="482"/>
      <c r="H449" s="482"/>
      <c r="J449" s="68" t="s">
        <v>42</v>
      </c>
      <c r="K449" s="68" t="s">
        <v>42</v>
      </c>
      <c r="L449" s="482" t="s">
        <v>1095</v>
      </c>
      <c r="M449" s="68" t="s">
        <v>43</v>
      </c>
      <c r="N449" s="482"/>
      <c r="O449" s="482"/>
      <c r="P449" s="482" t="s">
        <v>757</v>
      </c>
      <c r="R449" s="399"/>
      <c r="S449" s="487"/>
      <c r="T449" s="101"/>
      <c r="U449" s="488"/>
      <c r="V449" s="482" t="s">
        <v>1094</v>
      </c>
      <c r="W449" s="482"/>
    </row>
    <row r="450" spans="1:23" s="68" customFormat="1" ht="14.25" customHeight="1">
      <c r="A450" s="482" t="s">
        <v>36</v>
      </c>
      <c r="B450" s="482" t="s">
        <v>136</v>
      </c>
      <c r="C450" s="482" t="s">
        <v>235</v>
      </c>
      <c r="D450" s="431" t="s">
        <v>2817</v>
      </c>
      <c r="E450" s="482" t="s">
        <v>1605</v>
      </c>
      <c r="F450" s="482" t="s">
        <v>1844</v>
      </c>
      <c r="G450" s="482" t="s">
        <v>1845</v>
      </c>
      <c r="H450" s="482" t="s">
        <v>40</v>
      </c>
      <c r="I450" s="68" t="s">
        <v>232</v>
      </c>
      <c r="J450" s="68" t="s">
        <v>42</v>
      </c>
      <c r="K450" s="396" t="s">
        <v>42</v>
      </c>
      <c r="L450" s="482" t="s">
        <v>42</v>
      </c>
      <c r="M450" s="68" t="s">
        <v>43</v>
      </c>
      <c r="N450" s="482">
        <v>25.889410000000002</v>
      </c>
      <c r="O450" s="482">
        <v>98.131550000000004</v>
      </c>
      <c r="P450" s="482" t="s">
        <v>757</v>
      </c>
      <c r="Q450" s="68" t="s">
        <v>776</v>
      </c>
      <c r="R450" s="399">
        <v>163</v>
      </c>
      <c r="S450" s="486">
        <v>830</v>
      </c>
      <c r="T450" s="101"/>
      <c r="U450" s="488"/>
      <c r="V450" s="482" t="s">
        <v>235</v>
      </c>
      <c r="W450" s="482"/>
    </row>
    <row r="451" spans="1:23" s="68" customFormat="1" ht="14.25" customHeight="1">
      <c r="A451" s="482" t="s">
        <v>36</v>
      </c>
      <c r="B451" s="482" t="s">
        <v>136</v>
      </c>
      <c r="C451" s="482" t="s">
        <v>765</v>
      </c>
      <c r="D451" s="431" t="s">
        <v>1657</v>
      </c>
      <c r="E451" s="482" t="s">
        <v>1324</v>
      </c>
      <c r="F451" s="482">
        <v>0</v>
      </c>
      <c r="G451" s="482">
        <v>0</v>
      </c>
      <c r="H451" s="482" t="s">
        <v>40</v>
      </c>
      <c r="I451" s="68" t="s">
        <v>1325</v>
      </c>
      <c r="J451" s="68" t="s">
        <v>42</v>
      </c>
      <c r="K451" s="396" t="s">
        <v>42</v>
      </c>
      <c r="L451" s="482" t="s">
        <v>756</v>
      </c>
      <c r="M451" s="68" t="s">
        <v>43</v>
      </c>
      <c r="N451" s="482"/>
      <c r="O451" s="482"/>
      <c r="P451" s="482" t="s">
        <v>757</v>
      </c>
      <c r="R451" s="486"/>
      <c r="S451" s="487"/>
      <c r="T451" s="101"/>
      <c r="U451" s="488"/>
      <c r="V451" s="482" t="s">
        <v>765</v>
      </c>
      <c r="W451" s="391" t="s">
        <v>2121</v>
      </c>
    </row>
    <row r="452" spans="1:23" s="68" customFormat="1" ht="14.25" customHeight="1">
      <c r="A452" s="482" t="s">
        <v>36</v>
      </c>
      <c r="B452" s="482" t="s">
        <v>136</v>
      </c>
      <c r="C452" s="482" t="s">
        <v>137</v>
      </c>
      <c r="D452" s="431" t="s">
        <v>2817</v>
      </c>
      <c r="E452" s="482" t="s">
        <v>1601</v>
      </c>
      <c r="F452" s="482" t="s">
        <v>1841</v>
      </c>
      <c r="G452" s="482" t="s">
        <v>1842</v>
      </c>
      <c r="H452" s="482" t="s">
        <v>40</v>
      </c>
      <c r="I452" s="68" t="s">
        <v>131</v>
      </c>
      <c r="J452" s="68" t="s">
        <v>42</v>
      </c>
      <c r="K452" s="68" t="s">
        <v>42</v>
      </c>
      <c r="L452" s="482" t="s">
        <v>42</v>
      </c>
      <c r="M452" s="68" t="s">
        <v>774</v>
      </c>
      <c r="N452" s="482">
        <v>25.754110000000001</v>
      </c>
      <c r="O452" s="482">
        <v>98.475719999999995</v>
      </c>
      <c r="P452" s="482" t="s">
        <v>757</v>
      </c>
      <c r="Q452" s="68" t="s">
        <v>776</v>
      </c>
      <c r="R452" s="486">
        <v>163</v>
      </c>
      <c r="S452" s="486">
        <v>967</v>
      </c>
      <c r="T452" s="101"/>
      <c r="U452" s="488"/>
      <c r="V452" s="482" t="s">
        <v>137</v>
      </c>
      <c r="W452" s="391" t="s">
        <v>2247</v>
      </c>
    </row>
    <row r="453" spans="1:23" s="68" customFormat="1" ht="14.25" customHeight="1">
      <c r="A453" s="482" t="s">
        <v>36</v>
      </c>
      <c r="B453" s="482" t="s">
        <v>136</v>
      </c>
      <c r="C453" s="482" t="s">
        <v>1058</v>
      </c>
      <c r="D453" s="431" t="s">
        <v>1657</v>
      </c>
      <c r="E453" s="482" t="s">
        <v>1599</v>
      </c>
      <c r="F453" s="482" t="s">
        <v>1722</v>
      </c>
      <c r="G453" s="482" t="s">
        <v>1723</v>
      </c>
      <c r="H453" s="482"/>
      <c r="I453" s="482">
        <v>0</v>
      </c>
      <c r="J453" s="68" t="s">
        <v>42</v>
      </c>
      <c r="K453" s="482" t="s">
        <v>42</v>
      </c>
      <c r="L453" s="482" t="s">
        <v>756</v>
      </c>
      <c r="M453" s="68" t="s">
        <v>43</v>
      </c>
      <c r="N453" s="68">
        <v>25.708763000000001</v>
      </c>
      <c r="O453" s="68">
        <v>98.354146999999998</v>
      </c>
      <c r="P453" s="482" t="s">
        <v>769</v>
      </c>
      <c r="Q453" s="68" t="s">
        <v>758</v>
      </c>
      <c r="R453" s="486"/>
      <c r="S453" s="487"/>
      <c r="T453" s="101">
        <v>42983</v>
      </c>
      <c r="U453" s="97" t="s">
        <v>1059</v>
      </c>
      <c r="V453" s="68" t="s">
        <v>1058</v>
      </c>
      <c r="W453" s="482" t="s">
        <v>2122</v>
      </c>
    </row>
    <row r="454" spans="1:23" s="68" customFormat="1" ht="14.25" customHeight="1">
      <c r="A454" s="482" t="s">
        <v>36</v>
      </c>
      <c r="B454" s="482" t="s">
        <v>136</v>
      </c>
      <c r="C454" s="482" t="s">
        <v>237</v>
      </c>
      <c r="D454" s="431" t="s">
        <v>2817</v>
      </c>
      <c r="E454" s="482" t="s">
        <v>1604</v>
      </c>
      <c r="F454" s="482" t="s">
        <v>1686</v>
      </c>
      <c r="G454" s="482" t="s">
        <v>1843</v>
      </c>
      <c r="H454" s="482" t="s">
        <v>40</v>
      </c>
      <c r="I454" s="482" t="s">
        <v>232</v>
      </c>
      <c r="J454" s="396" t="s">
        <v>42</v>
      </c>
      <c r="K454" s="482" t="s">
        <v>42</v>
      </c>
      <c r="L454" s="482" t="s">
        <v>42</v>
      </c>
      <c r="M454" s="482" t="s">
        <v>43</v>
      </c>
      <c r="N454" s="482">
        <v>25.887339999999998</v>
      </c>
      <c r="O454" s="482">
        <v>98.129990000000006</v>
      </c>
      <c r="P454" s="482" t="s">
        <v>757</v>
      </c>
      <c r="Q454" s="482" t="s">
        <v>776</v>
      </c>
      <c r="R454" s="486">
        <v>206</v>
      </c>
      <c r="S454" s="486">
        <v>856</v>
      </c>
      <c r="T454" s="506"/>
      <c r="U454" s="488"/>
      <c r="V454" s="482" t="s">
        <v>237</v>
      </c>
      <c r="W454" s="482"/>
    </row>
    <row r="455" spans="1:23" s="68" customFormat="1" ht="14.25" customHeight="1">
      <c r="A455" s="482" t="s">
        <v>36</v>
      </c>
      <c r="B455" s="482" t="s">
        <v>136</v>
      </c>
      <c r="C455" s="482" t="s">
        <v>215</v>
      </c>
      <c r="D455" s="431" t="s">
        <v>2817</v>
      </c>
      <c r="E455" s="396" t="s">
        <v>1582</v>
      </c>
      <c r="F455" s="396" t="s">
        <v>1836</v>
      </c>
      <c r="G455" s="396" t="s">
        <v>1706</v>
      </c>
      <c r="H455" s="396" t="s">
        <v>40</v>
      </c>
      <c r="I455" s="396" t="s">
        <v>1325</v>
      </c>
      <c r="J455" s="68" t="s">
        <v>42</v>
      </c>
      <c r="K455" s="482" t="s">
        <v>42</v>
      </c>
      <c r="L455" s="482" t="s">
        <v>42</v>
      </c>
      <c r="M455" s="396" t="s">
        <v>43</v>
      </c>
      <c r="N455" s="396">
        <v>25.60867</v>
      </c>
      <c r="O455" s="396">
        <v>98.377780000000001</v>
      </c>
      <c r="P455" s="396" t="s">
        <v>757</v>
      </c>
      <c r="Q455" s="396" t="s">
        <v>776</v>
      </c>
      <c r="R455" s="486">
        <v>57</v>
      </c>
      <c r="S455" s="486">
        <v>274</v>
      </c>
      <c r="T455" s="412"/>
      <c r="U455" s="401"/>
      <c r="V455" s="396" t="s">
        <v>215</v>
      </c>
    </row>
    <row r="456" spans="1:23" s="68" customFormat="1" ht="14.25" customHeight="1">
      <c r="A456" s="482" t="s">
        <v>36</v>
      </c>
      <c r="B456" s="484" t="s">
        <v>136</v>
      </c>
      <c r="C456" s="484" t="s">
        <v>217</v>
      </c>
      <c r="D456" s="431" t="s">
        <v>2817</v>
      </c>
      <c r="E456" s="68" t="s">
        <v>1592</v>
      </c>
      <c r="F456" s="68" t="s">
        <v>1723</v>
      </c>
      <c r="G456" s="68" t="s">
        <v>217</v>
      </c>
      <c r="H456" s="68" t="s">
        <v>40</v>
      </c>
      <c r="I456" s="68" t="s">
        <v>1325</v>
      </c>
      <c r="J456" s="68" t="s">
        <v>42</v>
      </c>
      <c r="K456" s="482" t="s">
        <v>42</v>
      </c>
      <c r="L456" s="482" t="s">
        <v>42</v>
      </c>
      <c r="M456" s="68" t="s">
        <v>43</v>
      </c>
      <c r="N456" s="68">
        <v>25.645959999999999</v>
      </c>
      <c r="O456" s="68">
        <v>98.356260000000006</v>
      </c>
      <c r="P456" s="482" t="s">
        <v>757</v>
      </c>
      <c r="Q456" s="68" t="s">
        <v>776</v>
      </c>
      <c r="R456" s="486">
        <v>32</v>
      </c>
      <c r="S456" s="486">
        <v>167</v>
      </c>
      <c r="T456" s="101"/>
      <c r="U456" s="97"/>
      <c r="V456" s="68" t="s">
        <v>1053</v>
      </c>
      <c r="W456" s="482"/>
    </row>
    <row r="457" spans="1:23" s="68" customFormat="1" ht="14.25" customHeight="1">
      <c r="A457" s="482" t="s">
        <v>36</v>
      </c>
      <c r="B457" s="482" t="s">
        <v>138</v>
      </c>
      <c r="C457" s="482" t="s">
        <v>1054</v>
      </c>
      <c r="D457" s="431" t="s">
        <v>1657</v>
      </c>
      <c r="E457" s="482" t="s">
        <v>1595</v>
      </c>
      <c r="F457" s="482" t="s">
        <v>1720</v>
      </c>
      <c r="G457" s="482" t="s">
        <v>1720</v>
      </c>
      <c r="H457" s="482" t="s">
        <v>40</v>
      </c>
      <c r="I457" s="68" t="s">
        <v>131</v>
      </c>
      <c r="J457" s="68" t="s">
        <v>42</v>
      </c>
      <c r="K457" s="68" t="s">
        <v>42</v>
      </c>
      <c r="L457" s="482" t="s">
        <v>756</v>
      </c>
      <c r="M457" s="68" t="s">
        <v>43</v>
      </c>
      <c r="N457" s="482">
        <v>25.656130000000001</v>
      </c>
      <c r="O457" s="482">
        <v>96.355270000000004</v>
      </c>
      <c r="P457" s="482" t="s">
        <v>757</v>
      </c>
      <c r="Q457" s="68" t="s">
        <v>776</v>
      </c>
      <c r="R457" s="399"/>
      <c r="S457" s="487"/>
      <c r="T457" s="101">
        <v>42983</v>
      </c>
      <c r="U457" s="488" t="s">
        <v>1055</v>
      </c>
      <c r="V457" s="482" t="s">
        <v>1054</v>
      </c>
      <c r="W457" s="391" t="s">
        <v>2123</v>
      </c>
    </row>
    <row r="458" spans="1:23" s="68" customFormat="1" ht="14.25" customHeight="1">
      <c r="A458" s="396" t="s">
        <v>36</v>
      </c>
      <c r="B458" s="396" t="s">
        <v>138</v>
      </c>
      <c r="C458" s="396" t="s">
        <v>220</v>
      </c>
      <c r="D458" s="431" t="s">
        <v>2817</v>
      </c>
      <c r="E458" s="68" t="s">
        <v>1594</v>
      </c>
      <c r="F458" s="68" t="s">
        <v>1720</v>
      </c>
      <c r="G458" s="68" t="s">
        <v>1720</v>
      </c>
      <c r="H458" s="68" t="s">
        <v>40</v>
      </c>
      <c r="I458" s="68" t="s">
        <v>1325</v>
      </c>
      <c r="J458" s="68" t="s">
        <v>42</v>
      </c>
      <c r="K458" s="68" t="s">
        <v>42</v>
      </c>
      <c r="L458" s="68" t="s">
        <v>42</v>
      </c>
      <c r="M458" s="68" t="s">
        <v>43</v>
      </c>
      <c r="N458" s="68">
        <v>25.656009999999998</v>
      </c>
      <c r="O458" s="68">
        <v>96.361609999999999</v>
      </c>
      <c r="P458" s="68" t="s">
        <v>757</v>
      </c>
      <c r="Q458" s="68" t="s">
        <v>776</v>
      </c>
      <c r="R458" s="399">
        <v>68</v>
      </c>
      <c r="S458" s="486">
        <v>343</v>
      </c>
      <c r="T458" s="101"/>
      <c r="U458" s="97"/>
      <c r="V458" s="68" t="s">
        <v>220</v>
      </c>
      <c r="W458" s="482"/>
    </row>
    <row r="459" spans="1:23" s="68" customFormat="1" ht="14.25" customHeight="1">
      <c r="A459" s="482" t="s">
        <v>36</v>
      </c>
      <c r="B459" s="482" t="s">
        <v>138</v>
      </c>
      <c r="C459" s="482" t="s">
        <v>1064</v>
      </c>
      <c r="D459" s="431" t="s">
        <v>1657</v>
      </c>
      <c r="E459" s="482" t="s">
        <v>1606</v>
      </c>
      <c r="F459" s="482" t="s">
        <v>1727</v>
      </c>
      <c r="G459" s="482" t="s">
        <v>1728</v>
      </c>
      <c r="H459" s="482"/>
      <c r="I459" s="68">
        <v>0</v>
      </c>
      <c r="J459" s="68" t="s">
        <v>42</v>
      </c>
      <c r="K459" s="482" t="s">
        <v>42</v>
      </c>
      <c r="L459" s="482" t="s">
        <v>756</v>
      </c>
      <c r="M459" s="68" t="s">
        <v>43</v>
      </c>
      <c r="N459" s="482">
        <v>25.920006000000001</v>
      </c>
      <c r="O459" s="482">
        <v>96.662092000000001</v>
      </c>
      <c r="P459" s="482" t="s">
        <v>757</v>
      </c>
      <c r="Q459" s="68" t="s">
        <v>758</v>
      </c>
      <c r="R459" s="486"/>
      <c r="S459" s="487"/>
      <c r="T459" s="101"/>
      <c r="U459" s="488"/>
      <c r="V459" s="482"/>
      <c r="W459" s="391" t="s">
        <v>2124</v>
      </c>
    </row>
    <row r="460" spans="1:23" s="68" customFormat="1" ht="14.25" customHeight="1">
      <c r="A460" s="482" t="s">
        <v>36</v>
      </c>
      <c r="B460" s="482" t="s">
        <v>138</v>
      </c>
      <c r="C460" s="482" t="s">
        <v>238</v>
      </c>
      <c r="D460" s="431" t="s">
        <v>2817</v>
      </c>
      <c r="E460" s="68" t="s">
        <v>1590</v>
      </c>
      <c r="F460" s="68" t="s">
        <v>1720</v>
      </c>
      <c r="G460" s="68" t="s">
        <v>1720</v>
      </c>
      <c r="H460" s="68" t="s">
        <v>40</v>
      </c>
      <c r="I460" s="68" t="s">
        <v>232</v>
      </c>
      <c r="J460" s="68" t="s">
        <v>42</v>
      </c>
      <c r="K460" s="68" t="s">
        <v>42</v>
      </c>
      <c r="L460" s="68" t="s">
        <v>42</v>
      </c>
      <c r="M460" s="68" t="s">
        <v>43</v>
      </c>
      <c r="N460" s="68">
        <v>25.635300000000001</v>
      </c>
      <c r="O460" s="68">
        <v>96.345569999999995</v>
      </c>
      <c r="P460" s="68" t="s">
        <v>757</v>
      </c>
      <c r="Q460" s="68" t="s">
        <v>776</v>
      </c>
      <c r="R460" s="486">
        <v>70</v>
      </c>
      <c r="S460" s="486">
        <v>372</v>
      </c>
      <c r="T460" s="101"/>
      <c r="U460" s="97"/>
      <c r="V460" s="68" t="s">
        <v>238</v>
      </c>
      <c r="W460" s="482"/>
    </row>
    <row r="461" spans="1:23" s="68" customFormat="1" ht="14.25" customHeight="1">
      <c r="A461" s="396" t="s">
        <v>36</v>
      </c>
      <c r="B461" s="396" t="s">
        <v>138</v>
      </c>
      <c r="C461" s="396" t="s">
        <v>239</v>
      </c>
      <c r="D461" s="431" t="s">
        <v>2817</v>
      </c>
      <c r="E461" s="68" t="s">
        <v>1587</v>
      </c>
      <c r="F461" s="68" t="s">
        <v>1837</v>
      </c>
      <c r="G461" s="68" t="s">
        <v>1838</v>
      </c>
      <c r="H461" s="68" t="s">
        <v>40</v>
      </c>
      <c r="I461" s="68" t="s">
        <v>232</v>
      </c>
      <c r="J461" s="68" t="s">
        <v>42</v>
      </c>
      <c r="K461" s="68" t="s">
        <v>42</v>
      </c>
      <c r="L461" s="68" t="s">
        <v>42</v>
      </c>
      <c r="M461" s="68" t="s">
        <v>43</v>
      </c>
      <c r="N461" s="68">
        <v>25.616509000000001</v>
      </c>
      <c r="O461" s="68">
        <v>96.317350000000005</v>
      </c>
      <c r="P461" s="482" t="s">
        <v>757</v>
      </c>
      <c r="Q461" s="68" t="s">
        <v>776</v>
      </c>
      <c r="R461" s="399">
        <v>13</v>
      </c>
      <c r="S461" s="486">
        <v>84</v>
      </c>
      <c r="T461" s="101"/>
      <c r="U461" s="97"/>
      <c r="V461" s="68" t="s">
        <v>239</v>
      </c>
      <c r="W461" s="482"/>
    </row>
    <row r="462" spans="1:23" s="68" customFormat="1" ht="14.25" customHeight="1">
      <c r="A462" s="396" t="s">
        <v>36</v>
      </c>
      <c r="B462" s="482" t="s">
        <v>138</v>
      </c>
      <c r="C462" s="482" t="s">
        <v>240</v>
      </c>
      <c r="D462" s="431" t="s">
        <v>2817</v>
      </c>
      <c r="E462" s="68" t="s">
        <v>1593</v>
      </c>
      <c r="F462" s="396" t="s">
        <v>1720</v>
      </c>
      <c r="G462" s="68" t="s">
        <v>1840</v>
      </c>
      <c r="H462" s="68" t="s">
        <v>40</v>
      </c>
      <c r="I462" s="68" t="s">
        <v>131</v>
      </c>
      <c r="J462" s="68" t="s">
        <v>42</v>
      </c>
      <c r="K462" s="68" t="s">
        <v>42</v>
      </c>
      <c r="L462" s="68" t="s">
        <v>42</v>
      </c>
      <c r="M462" s="68" t="s">
        <v>43</v>
      </c>
      <c r="N462" s="68">
        <v>25.647649999999999</v>
      </c>
      <c r="O462" s="68">
        <v>96.346469999999997</v>
      </c>
      <c r="P462" s="68" t="s">
        <v>757</v>
      </c>
      <c r="Q462" s="68" t="s">
        <v>776</v>
      </c>
      <c r="R462" s="399">
        <v>36</v>
      </c>
      <c r="S462" s="486">
        <v>227</v>
      </c>
      <c r="T462" s="101"/>
      <c r="U462" s="97"/>
      <c r="V462" s="68" t="s">
        <v>240</v>
      </c>
      <c r="W462" s="482"/>
    </row>
    <row r="463" spans="1:23" s="68" customFormat="1" ht="14.25" customHeight="1">
      <c r="A463" s="396" t="s">
        <v>36</v>
      </c>
      <c r="B463" s="482" t="s">
        <v>138</v>
      </c>
      <c r="C463" s="482" t="s">
        <v>1060</v>
      </c>
      <c r="D463" s="431" t="s">
        <v>1657</v>
      </c>
      <c r="E463" s="68" t="s">
        <v>1600</v>
      </c>
      <c r="F463" s="68" t="s">
        <v>1724</v>
      </c>
      <c r="G463" s="68" t="s">
        <v>1725</v>
      </c>
      <c r="H463" s="68" t="s">
        <v>40</v>
      </c>
      <c r="I463" s="68" t="s">
        <v>232</v>
      </c>
      <c r="J463" s="68" t="s">
        <v>42</v>
      </c>
      <c r="K463" s="482" t="s">
        <v>42</v>
      </c>
      <c r="L463" s="482" t="s">
        <v>756</v>
      </c>
      <c r="M463" s="68" t="s">
        <v>43</v>
      </c>
      <c r="N463" s="68">
        <v>25.728653000000001</v>
      </c>
      <c r="O463" s="68">
        <v>96.673805000000002</v>
      </c>
      <c r="P463" s="68" t="s">
        <v>757</v>
      </c>
      <c r="R463" s="95"/>
      <c r="S463" s="487"/>
      <c r="T463" s="101"/>
      <c r="U463" s="97"/>
      <c r="V463" s="68" t="s">
        <v>1060</v>
      </c>
      <c r="W463" s="391" t="s">
        <v>2125</v>
      </c>
    </row>
    <row r="464" spans="1:23" s="68" customFormat="1" ht="14.25" customHeight="1">
      <c r="A464" s="482" t="s">
        <v>36</v>
      </c>
      <c r="B464" s="482" t="s">
        <v>138</v>
      </c>
      <c r="C464" s="482" t="s">
        <v>1057</v>
      </c>
      <c r="D464" s="431" t="s">
        <v>1657</v>
      </c>
      <c r="E464" s="68" t="s">
        <v>1598</v>
      </c>
      <c r="F464" s="68" t="s">
        <v>1720</v>
      </c>
      <c r="G464" s="68" t="s">
        <v>1721</v>
      </c>
      <c r="I464" s="68">
        <v>0</v>
      </c>
      <c r="J464" s="68" t="s">
        <v>42</v>
      </c>
      <c r="K464" s="482" t="s">
        <v>42</v>
      </c>
      <c r="L464" s="482" t="s">
        <v>756</v>
      </c>
      <c r="M464" s="68" t="s">
        <v>43</v>
      </c>
      <c r="N464" s="68">
        <v>25.668469999999999</v>
      </c>
      <c r="O464" s="68">
        <v>96.353070000000002</v>
      </c>
      <c r="P464" s="68" t="s">
        <v>757</v>
      </c>
      <c r="R464" s="486"/>
      <c r="S464" s="487"/>
      <c r="T464" s="101"/>
      <c r="U464" s="97"/>
      <c r="V464" s="68" t="s">
        <v>1057</v>
      </c>
      <c r="W464" s="482" t="s">
        <v>2126</v>
      </c>
    </row>
    <row r="465" spans="1:23" s="68" customFormat="1" ht="14.25" customHeight="1">
      <c r="A465" s="396" t="s">
        <v>36</v>
      </c>
      <c r="B465" s="396" t="s">
        <v>138</v>
      </c>
      <c r="C465" s="482" t="s">
        <v>241</v>
      </c>
      <c r="D465" s="431" t="s">
        <v>2817</v>
      </c>
      <c r="E465" s="68" t="s">
        <v>1580</v>
      </c>
      <c r="F465" s="68" t="s">
        <v>1673</v>
      </c>
      <c r="G465" s="68" t="s">
        <v>1673</v>
      </c>
      <c r="H465" s="68" t="s">
        <v>40</v>
      </c>
      <c r="I465" s="68" t="s">
        <v>2116</v>
      </c>
      <c r="J465" s="68" t="s">
        <v>42</v>
      </c>
      <c r="K465" s="482" t="s">
        <v>42</v>
      </c>
      <c r="L465" s="482" t="s">
        <v>772</v>
      </c>
      <c r="M465" s="68" t="s">
        <v>43</v>
      </c>
      <c r="N465" s="68">
        <v>25.582065</v>
      </c>
      <c r="O465" s="68">
        <v>96.283377000000002</v>
      </c>
      <c r="P465" s="68" t="s">
        <v>757</v>
      </c>
      <c r="Q465" s="68" t="s">
        <v>776</v>
      </c>
      <c r="R465" s="399">
        <v>6</v>
      </c>
      <c r="S465" s="486">
        <v>31</v>
      </c>
      <c r="T465" s="101"/>
      <c r="U465" s="97"/>
      <c r="V465" s="68" t="s">
        <v>241</v>
      </c>
      <c r="W465" s="396"/>
    </row>
    <row r="466" spans="1:23" s="68" customFormat="1" ht="14.25" customHeight="1">
      <c r="A466" s="396" t="s">
        <v>36</v>
      </c>
      <c r="B466" s="482" t="s">
        <v>138</v>
      </c>
      <c r="C466" s="482" t="s">
        <v>242</v>
      </c>
      <c r="D466" s="431" t="s">
        <v>2817</v>
      </c>
      <c r="E466" s="68" t="s">
        <v>1591</v>
      </c>
      <c r="F466" s="68" t="s">
        <v>1720</v>
      </c>
      <c r="G466" s="68" t="s">
        <v>1839</v>
      </c>
      <c r="H466" s="68" t="s">
        <v>40</v>
      </c>
      <c r="I466" s="68" t="s">
        <v>232</v>
      </c>
      <c r="J466" s="68" t="s">
        <v>42</v>
      </c>
      <c r="K466" s="482" t="s">
        <v>42</v>
      </c>
      <c r="L466" s="482" t="s">
        <v>42</v>
      </c>
      <c r="M466" s="68" t="s">
        <v>43</v>
      </c>
      <c r="N466" s="68">
        <v>25.637309999999999</v>
      </c>
      <c r="O466" s="68">
        <v>96.35257</v>
      </c>
      <c r="P466" s="68" t="s">
        <v>757</v>
      </c>
      <c r="Q466" s="68" t="s">
        <v>776</v>
      </c>
      <c r="R466" s="399">
        <v>70</v>
      </c>
      <c r="S466" s="486">
        <v>376</v>
      </c>
      <c r="T466" s="101"/>
      <c r="U466" s="97"/>
      <c r="V466" s="68" t="s">
        <v>242</v>
      </c>
      <c r="W466" s="482"/>
    </row>
    <row r="467" spans="1:23" s="68" customFormat="1" ht="14.25" customHeight="1">
      <c r="A467" s="396" t="s">
        <v>36</v>
      </c>
      <c r="B467" s="482" t="s">
        <v>138</v>
      </c>
      <c r="C467" s="482" t="s">
        <v>139</v>
      </c>
      <c r="D467" s="431" t="s">
        <v>2817</v>
      </c>
      <c r="E467" s="482" t="s">
        <v>1575</v>
      </c>
      <c r="F467" s="396" t="s">
        <v>1832</v>
      </c>
      <c r="G467" s="68" t="s">
        <v>1833</v>
      </c>
      <c r="H467" s="68" t="s">
        <v>40</v>
      </c>
      <c r="I467" s="68" t="s">
        <v>131</v>
      </c>
      <c r="J467" s="68" t="s">
        <v>42</v>
      </c>
      <c r="K467" s="482" t="s">
        <v>42</v>
      </c>
      <c r="L467" s="482" t="s">
        <v>42</v>
      </c>
      <c r="M467" s="68" t="s">
        <v>43</v>
      </c>
      <c r="N467" s="68">
        <v>25.51352</v>
      </c>
      <c r="O467" s="68">
        <v>96.705960000000005</v>
      </c>
      <c r="P467" s="68" t="s">
        <v>757</v>
      </c>
      <c r="Q467" s="68" t="s">
        <v>776</v>
      </c>
      <c r="R467" s="399">
        <v>34</v>
      </c>
      <c r="S467" s="486">
        <v>137</v>
      </c>
      <c r="T467" s="101"/>
      <c r="U467" s="97"/>
      <c r="V467" s="68" t="s">
        <v>139</v>
      </c>
      <c r="W467" s="482"/>
    </row>
    <row r="468" spans="1:23" s="68" customFormat="1" ht="14.25" customHeight="1">
      <c r="A468" s="396" t="s">
        <v>36</v>
      </c>
      <c r="B468" s="482" t="s">
        <v>138</v>
      </c>
      <c r="C468" s="482" t="s">
        <v>243</v>
      </c>
      <c r="D468" s="431" t="s">
        <v>2817</v>
      </c>
      <c r="E468" s="482" t="s">
        <v>1586</v>
      </c>
      <c r="F468" s="68" t="s">
        <v>1837</v>
      </c>
      <c r="G468" s="68" t="s">
        <v>1838</v>
      </c>
      <c r="H468" s="68" t="s">
        <v>40</v>
      </c>
      <c r="I468" s="68" t="s">
        <v>2116</v>
      </c>
      <c r="J468" s="68" t="s">
        <v>42</v>
      </c>
      <c r="K468" s="482" t="s">
        <v>42</v>
      </c>
      <c r="L468" s="482" t="s">
        <v>772</v>
      </c>
      <c r="M468" s="68" t="s">
        <v>43</v>
      </c>
      <c r="N468" s="68">
        <v>25.615960999999999</v>
      </c>
      <c r="O468" s="68">
        <v>96.316564</v>
      </c>
      <c r="P468" s="68" t="s">
        <v>757</v>
      </c>
      <c r="Q468" s="68" t="s">
        <v>776</v>
      </c>
      <c r="R468" s="399">
        <v>2</v>
      </c>
      <c r="S468" s="486">
        <v>14</v>
      </c>
      <c r="T468" s="101"/>
      <c r="U468" s="97"/>
      <c r="V468" s="68" t="s">
        <v>243</v>
      </c>
      <c r="W468" s="482"/>
    </row>
    <row r="469" spans="1:23" s="68" customFormat="1" ht="14.25" customHeight="1">
      <c r="A469" s="396" t="s">
        <v>36</v>
      </c>
      <c r="B469" s="482" t="s">
        <v>138</v>
      </c>
      <c r="C469" s="482" t="s">
        <v>244</v>
      </c>
      <c r="D469" s="431" t="s">
        <v>2817</v>
      </c>
      <c r="E469" s="68" t="s">
        <v>1583</v>
      </c>
      <c r="F469" s="68" t="s">
        <v>1835</v>
      </c>
      <c r="G469" s="68" t="s">
        <v>1835</v>
      </c>
      <c r="H469" s="68" t="s">
        <v>40</v>
      </c>
      <c r="I469" s="68" t="s">
        <v>131</v>
      </c>
      <c r="J469" s="68" t="s">
        <v>42</v>
      </c>
      <c r="K469" s="482" t="s">
        <v>42</v>
      </c>
      <c r="L469" s="482" t="s">
        <v>42</v>
      </c>
      <c r="M469" s="68" t="s">
        <v>43</v>
      </c>
      <c r="N469" s="68">
        <v>25.611160000000002</v>
      </c>
      <c r="O469" s="68">
        <v>96.312790000000007</v>
      </c>
      <c r="P469" s="68" t="s">
        <v>757</v>
      </c>
      <c r="Q469" s="396" t="s">
        <v>776</v>
      </c>
      <c r="R469" s="399">
        <v>107</v>
      </c>
      <c r="S469" s="486">
        <v>519</v>
      </c>
      <c r="T469" s="412"/>
      <c r="U469" s="97"/>
      <c r="V469" s="68" t="s">
        <v>244</v>
      </c>
      <c r="W469" s="396"/>
    </row>
    <row r="470" spans="1:23" s="68" customFormat="1" ht="14.25" customHeight="1">
      <c r="A470" s="491" t="s">
        <v>36</v>
      </c>
      <c r="B470" s="490" t="s">
        <v>138</v>
      </c>
      <c r="C470" s="484" t="s">
        <v>1929</v>
      </c>
      <c r="D470" s="485" t="s">
        <v>1656</v>
      </c>
      <c r="J470" s="68" t="s">
        <v>1460</v>
      </c>
      <c r="K470" s="68" t="s">
        <v>42</v>
      </c>
      <c r="L470" s="68" t="s">
        <v>42</v>
      </c>
      <c r="M470" s="68" t="s">
        <v>43</v>
      </c>
      <c r="P470" s="68" t="s">
        <v>757</v>
      </c>
      <c r="Q470" s="68" t="s">
        <v>1930</v>
      </c>
      <c r="R470" s="494"/>
      <c r="S470" s="487"/>
      <c r="T470" s="101">
        <v>43270</v>
      </c>
      <c r="U470" s="97"/>
      <c r="W470" s="482"/>
    </row>
    <row r="471" spans="1:23" s="68" customFormat="1" ht="14.25" customHeight="1">
      <c r="A471" s="491" t="s">
        <v>36</v>
      </c>
      <c r="B471" s="490" t="s">
        <v>138</v>
      </c>
      <c r="C471" s="484" t="s">
        <v>1963</v>
      </c>
      <c r="D471" s="431" t="s">
        <v>2817</v>
      </c>
      <c r="E471" s="484" t="s">
        <v>1964</v>
      </c>
      <c r="F471" s="484"/>
      <c r="G471" s="484"/>
      <c r="H471" s="484"/>
      <c r="I471" s="68" t="s">
        <v>1325</v>
      </c>
      <c r="J471" s="68" t="s">
        <v>42</v>
      </c>
      <c r="K471" s="68" t="s">
        <v>42</v>
      </c>
      <c r="L471" s="484" t="s">
        <v>42</v>
      </c>
      <c r="M471" s="68" t="s">
        <v>43</v>
      </c>
      <c r="N471" s="484"/>
      <c r="O471" s="484"/>
      <c r="P471" s="484" t="s">
        <v>757</v>
      </c>
      <c r="Q471" s="396" t="s">
        <v>1930</v>
      </c>
      <c r="R471" s="399">
        <v>16</v>
      </c>
      <c r="S471" s="486">
        <v>66</v>
      </c>
      <c r="T471" s="412">
        <v>43276</v>
      </c>
      <c r="U471" s="492" t="s">
        <v>1979</v>
      </c>
      <c r="V471" s="484"/>
      <c r="W471" s="391" t="s">
        <v>2248</v>
      </c>
    </row>
    <row r="472" spans="1:23" s="68" customFormat="1" ht="14.25" customHeight="1">
      <c r="A472" s="396" t="s">
        <v>36</v>
      </c>
      <c r="B472" s="482" t="s">
        <v>138</v>
      </c>
      <c r="C472" s="482" t="s">
        <v>1061</v>
      </c>
      <c r="D472" s="431" t="s">
        <v>1657</v>
      </c>
      <c r="E472" s="482" t="s">
        <v>1602</v>
      </c>
      <c r="F472" s="68" t="s">
        <v>1720</v>
      </c>
      <c r="G472" s="68" t="s">
        <v>1726</v>
      </c>
      <c r="H472" s="68" t="s">
        <v>40</v>
      </c>
      <c r="I472" s="68" t="s">
        <v>131</v>
      </c>
      <c r="J472" s="68" t="s">
        <v>42</v>
      </c>
      <c r="K472" s="482" t="s">
        <v>42</v>
      </c>
      <c r="L472" s="482" t="s">
        <v>756</v>
      </c>
      <c r="M472" s="68" t="s">
        <v>43</v>
      </c>
      <c r="N472" s="68">
        <v>25.806999999999999</v>
      </c>
      <c r="O472" s="68">
        <v>96.637</v>
      </c>
      <c r="P472" s="68" t="s">
        <v>757</v>
      </c>
      <c r="Q472" s="68" t="s">
        <v>776</v>
      </c>
      <c r="R472" s="399"/>
      <c r="S472" s="487"/>
      <c r="T472" s="101">
        <v>42983</v>
      </c>
      <c r="U472" s="97" t="s">
        <v>1055</v>
      </c>
      <c r="V472" s="68" t="s">
        <v>1061</v>
      </c>
      <c r="W472" s="391" t="s">
        <v>2128</v>
      </c>
    </row>
    <row r="473" spans="1:23" s="68" customFormat="1" ht="14.25" customHeight="1">
      <c r="A473" s="491" t="s">
        <v>36</v>
      </c>
      <c r="B473" s="490" t="s">
        <v>138</v>
      </c>
      <c r="C473" s="484" t="s">
        <v>1961</v>
      </c>
      <c r="D473" s="431" t="s">
        <v>2817</v>
      </c>
      <c r="E473" s="484" t="s">
        <v>1962</v>
      </c>
      <c r="F473" s="484"/>
      <c r="G473" s="484"/>
      <c r="H473" s="484"/>
      <c r="I473" s="68" t="s">
        <v>1325</v>
      </c>
      <c r="J473" s="68" t="s">
        <v>42</v>
      </c>
      <c r="K473" s="482" t="s">
        <v>42</v>
      </c>
      <c r="L473" s="484" t="s">
        <v>42</v>
      </c>
      <c r="M473" s="68" t="s">
        <v>43</v>
      </c>
      <c r="N473" s="484"/>
      <c r="O473" s="484"/>
      <c r="P473" s="484" t="s">
        <v>757</v>
      </c>
      <c r="Q473" s="68" t="s">
        <v>1930</v>
      </c>
      <c r="R473" s="399">
        <v>47</v>
      </c>
      <c r="S473" s="486">
        <v>218</v>
      </c>
      <c r="T473" s="101">
        <v>43276</v>
      </c>
      <c r="U473" s="492" t="s">
        <v>1979</v>
      </c>
      <c r="V473" s="484"/>
      <c r="W473" s="391" t="s">
        <v>2249</v>
      </c>
    </row>
    <row r="474" spans="1:23" s="68" customFormat="1" ht="14.25" customHeight="1">
      <c r="A474" s="491" t="s">
        <v>36</v>
      </c>
      <c r="B474" s="490" t="s">
        <v>138</v>
      </c>
      <c r="C474" s="484" t="s">
        <v>1931</v>
      </c>
      <c r="D474" s="485"/>
      <c r="E474" s="482"/>
      <c r="F474" s="482"/>
      <c r="G474" s="482"/>
      <c r="H474" s="482"/>
      <c r="I474" s="482"/>
      <c r="J474" s="68" t="s">
        <v>1460</v>
      </c>
      <c r="K474" s="482" t="s">
        <v>42</v>
      </c>
      <c r="L474" s="482" t="s">
        <v>42</v>
      </c>
      <c r="M474" s="68" t="s">
        <v>43</v>
      </c>
      <c r="P474" s="68" t="s">
        <v>757</v>
      </c>
      <c r="Q474" s="68" t="s">
        <v>1930</v>
      </c>
      <c r="R474" s="494"/>
      <c r="S474" s="487"/>
      <c r="T474" s="101">
        <v>43270</v>
      </c>
      <c r="U474" s="97"/>
      <c r="W474" s="482"/>
    </row>
    <row r="475" spans="1:23" s="68" customFormat="1" ht="14.25" customHeight="1">
      <c r="A475" s="482" t="s">
        <v>36</v>
      </c>
      <c r="B475" s="482" t="s">
        <v>138</v>
      </c>
      <c r="C475" s="482" t="s">
        <v>233</v>
      </c>
      <c r="D475" s="431" t="s">
        <v>2817</v>
      </c>
      <c r="E475" s="482" t="s">
        <v>1621</v>
      </c>
      <c r="F475" s="482" t="s">
        <v>1720</v>
      </c>
      <c r="G475" s="482" t="s">
        <v>1849</v>
      </c>
      <c r="H475" s="482" t="s">
        <v>40</v>
      </c>
      <c r="I475" s="482" t="s">
        <v>131</v>
      </c>
      <c r="J475" s="68" t="s">
        <v>42</v>
      </c>
      <c r="K475" s="482" t="s">
        <v>42</v>
      </c>
      <c r="L475" s="482" t="s">
        <v>1083</v>
      </c>
      <c r="M475" s="482" t="s">
        <v>43</v>
      </c>
      <c r="N475" s="482"/>
      <c r="O475" s="482"/>
      <c r="P475" s="17" t="s">
        <v>1974</v>
      </c>
      <c r="Q475" s="482" t="s">
        <v>922</v>
      </c>
      <c r="R475" s="486">
        <v>124</v>
      </c>
      <c r="S475" s="486">
        <v>673</v>
      </c>
      <c r="T475" s="506">
        <v>42983</v>
      </c>
      <c r="U475" s="488" t="s">
        <v>1101</v>
      </c>
      <c r="V475" s="482"/>
      <c r="W475" s="391" t="s">
        <v>2625</v>
      </c>
    </row>
    <row r="476" spans="1:23" s="68" customFormat="1" ht="14.25" customHeight="1">
      <c r="A476" s="482" t="s">
        <v>36</v>
      </c>
      <c r="B476" s="482" t="s">
        <v>138</v>
      </c>
      <c r="C476" s="482" t="s">
        <v>245</v>
      </c>
      <c r="D476" s="431" t="s">
        <v>2817</v>
      </c>
      <c r="E476" s="482" t="s">
        <v>1577</v>
      </c>
      <c r="F476" s="482" t="s">
        <v>1673</v>
      </c>
      <c r="G476" s="482" t="s">
        <v>1674</v>
      </c>
      <c r="H476" s="482" t="s">
        <v>40</v>
      </c>
      <c r="I476" s="482" t="s">
        <v>232</v>
      </c>
      <c r="J476" s="68" t="s">
        <v>42</v>
      </c>
      <c r="K476" s="482" t="s">
        <v>42</v>
      </c>
      <c r="L476" s="482" t="s">
        <v>42</v>
      </c>
      <c r="M476" s="482" t="s">
        <v>43</v>
      </c>
      <c r="N476" s="482">
        <v>25.566510000000001</v>
      </c>
      <c r="O476" s="482">
        <v>96.269199999999998</v>
      </c>
      <c r="P476" s="68" t="s">
        <v>757</v>
      </c>
      <c r="Q476" s="482" t="s">
        <v>776</v>
      </c>
      <c r="R476" s="486">
        <v>18</v>
      </c>
      <c r="S476" s="486">
        <v>105</v>
      </c>
      <c r="T476" s="506"/>
      <c r="U476" s="488"/>
      <c r="V476" s="482" t="s">
        <v>245</v>
      </c>
      <c r="W476" s="482"/>
    </row>
    <row r="477" spans="1:23" s="68" customFormat="1" ht="14.25" customHeight="1">
      <c r="A477" s="396" t="s">
        <v>36</v>
      </c>
      <c r="B477" s="482" t="s">
        <v>138</v>
      </c>
      <c r="C477" s="482" t="s">
        <v>246</v>
      </c>
      <c r="D477" s="431" t="s">
        <v>2817</v>
      </c>
      <c r="E477" s="68" t="s">
        <v>1589</v>
      </c>
      <c r="F477" s="68" t="s">
        <v>1837</v>
      </c>
      <c r="G477" s="68" t="s">
        <v>1838</v>
      </c>
      <c r="H477" s="68" t="s">
        <v>40</v>
      </c>
      <c r="I477" s="68" t="s">
        <v>232</v>
      </c>
      <c r="J477" s="68" t="s">
        <v>42</v>
      </c>
      <c r="K477" s="68" t="s">
        <v>42</v>
      </c>
      <c r="L477" s="68" t="s">
        <v>42</v>
      </c>
      <c r="M477" s="68" t="s">
        <v>43</v>
      </c>
      <c r="N477" s="68">
        <v>25.61842</v>
      </c>
      <c r="O477" s="68">
        <v>96.316400000000002</v>
      </c>
      <c r="P477" s="68" t="s">
        <v>757</v>
      </c>
      <c r="Q477" s="68" t="s">
        <v>776</v>
      </c>
      <c r="R477" s="399">
        <v>12</v>
      </c>
      <c r="S477" s="486">
        <v>60</v>
      </c>
      <c r="T477" s="101"/>
      <c r="U477" s="97"/>
      <c r="V477" s="68" t="s">
        <v>246</v>
      </c>
      <c r="W477" s="482"/>
    </row>
    <row r="478" spans="1:23" s="68" customFormat="1" ht="14.25" customHeight="1">
      <c r="A478" s="487" t="s">
        <v>36</v>
      </c>
      <c r="B478" s="490" t="s">
        <v>138</v>
      </c>
      <c r="C478" s="491" t="s">
        <v>2012</v>
      </c>
      <c r="D478" s="485"/>
      <c r="E478" s="482"/>
      <c r="F478" s="482"/>
      <c r="G478" s="482"/>
      <c r="H478" s="482"/>
      <c r="I478" s="482"/>
      <c r="J478" s="68" t="s">
        <v>1460</v>
      </c>
      <c r="K478" s="484" t="s">
        <v>42</v>
      </c>
      <c r="L478" s="484" t="s">
        <v>772</v>
      </c>
      <c r="M478" s="68" t="s">
        <v>43</v>
      </c>
      <c r="P478" s="68" t="s">
        <v>757</v>
      </c>
      <c r="R478" s="494"/>
      <c r="S478" s="487"/>
      <c r="T478" s="101">
        <v>43297</v>
      </c>
      <c r="U478" s="97"/>
      <c r="W478" s="482"/>
    </row>
    <row r="479" spans="1:23" s="68" customFormat="1" ht="14.25" customHeight="1">
      <c r="A479" s="482" t="s">
        <v>36</v>
      </c>
      <c r="B479" s="482" t="s">
        <v>138</v>
      </c>
      <c r="C479" s="482" t="s">
        <v>247</v>
      </c>
      <c r="D479" s="431" t="s">
        <v>2817</v>
      </c>
      <c r="E479" s="482" t="s">
        <v>1585</v>
      </c>
      <c r="F479" s="482" t="s">
        <v>1837</v>
      </c>
      <c r="G479" s="482" t="s">
        <v>1838</v>
      </c>
      <c r="H479" s="482" t="s">
        <v>40</v>
      </c>
      <c r="I479" s="482" t="s">
        <v>2116</v>
      </c>
      <c r="J479" s="68" t="s">
        <v>42</v>
      </c>
      <c r="K479" s="482" t="s">
        <v>42</v>
      </c>
      <c r="L479" s="482" t="s">
        <v>772</v>
      </c>
      <c r="M479" s="482" t="s">
        <v>43</v>
      </c>
      <c r="N479" s="482">
        <v>25.6145</v>
      </c>
      <c r="O479" s="482">
        <v>96.319829999999996</v>
      </c>
      <c r="P479" s="68" t="s">
        <v>757</v>
      </c>
      <c r="Q479" s="482" t="s">
        <v>776</v>
      </c>
      <c r="R479" s="486">
        <v>3</v>
      </c>
      <c r="S479" s="486">
        <v>15</v>
      </c>
      <c r="T479" s="506"/>
      <c r="U479" s="488"/>
      <c r="V479" s="482" t="s">
        <v>247</v>
      </c>
    </row>
    <row r="480" spans="1:23" s="68" customFormat="1" ht="14.25" customHeight="1">
      <c r="A480" s="396" t="s">
        <v>36</v>
      </c>
      <c r="B480" s="396" t="s">
        <v>138</v>
      </c>
      <c r="C480" s="68" t="s">
        <v>1056</v>
      </c>
      <c r="D480" s="431" t="s">
        <v>1657</v>
      </c>
      <c r="E480" s="68" t="s">
        <v>1596</v>
      </c>
      <c r="F480" s="68" t="s">
        <v>1720</v>
      </c>
      <c r="G480" s="68" t="s">
        <v>1720</v>
      </c>
      <c r="I480" s="68">
        <v>0</v>
      </c>
      <c r="J480" s="68" t="s">
        <v>42</v>
      </c>
      <c r="K480" s="68" t="s">
        <v>42</v>
      </c>
      <c r="L480" s="68" t="s">
        <v>756</v>
      </c>
      <c r="M480" s="68" t="s">
        <v>43</v>
      </c>
      <c r="N480" s="68">
        <v>25.658670000000001</v>
      </c>
      <c r="O480" s="68">
        <v>96.354159999999993</v>
      </c>
      <c r="P480" s="68" t="s">
        <v>757</v>
      </c>
      <c r="R480" s="95"/>
      <c r="S480" s="487"/>
      <c r="T480" s="101"/>
      <c r="U480" s="97"/>
      <c r="V480" s="68" t="s">
        <v>1056</v>
      </c>
      <c r="W480" s="396" t="s">
        <v>2129</v>
      </c>
    </row>
    <row r="481" spans="1:23" s="68" customFormat="1" ht="14.25" customHeight="1">
      <c r="A481" s="396" t="s">
        <v>36</v>
      </c>
      <c r="B481" s="396" t="s">
        <v>138</v>
      </c>
      <c r="C481" s="396" t="s">
        <v>180</v>
      </c>
      <c r="D481" s="431" t="s">
        <v>2817</v>
      </c>
      <c r="E481" s="482" t="s">
        <v>1607</v>
      </c>
      <c r="F481" s="68" t="s">
        <v>1727</v>
      </c>
      <c r="G481" s="68" t="s">
        <v>1728</v>
      </c>
      <c r="H481" s="68" t="s">
        <v>40</v>
      </c>
      <c r="I481" s="68" t="s">
        <v>1325</v>
      </c>
      <c r="J481" s="68" t="s">
        <v>42</v>
      </c>
      <c r="K481" s="68" t="s">
        <v>42</v>
      </c>
      <c r="L481" s="68" t="s">
        <v>42</v>
      </c>
      <c r="M481" s="68" t="s">
        <v>43</v>
      </c>
      <c r="N481" s="68">
        <v>25.920006000000001</v>
      </c>
      <c r="O481" s="68">
        <v>96.662092000000001</v>
      </c>
      <c r="P481" s="68" t="s">
        <v>757</v>
      </c>
      <c r="Q481" s="68" t="s">
        <v>758</v>
      </c>
      <c r="R481" s="399">
        <v>25</v>
      </c>
      <c r="S481" s="486">
        <v>113</v>
      </c>
      <c r="T481" s="101"/>
      <c r="U481" s="97"/>
      <c r="W481" s="482"/>
    </row>
    <row r="482" spans="1:23" s="68" customFormat="1" ht="14.25" customHeight="1">
      <c r="A482" s="396" t="s">
        <v>36</v>
      </c>
      <c r="B482" s="396" t="s">
        <v>138</v>
      </c>
      <c r="C482" s="68" t="s">
        <v>248</v>
      </c>
      <c r="D482" s="431" t="s">
        <v>2817</v>
      </c>
      <c r="E482" s="68" t="s">
        <v>1588</v>
      </c>
      <c r="F482" s="68" t="s">
        <v>1835</v>
      </c>
      <c r="G482" s="68" t="s">
        <v>1835</v>
      </c>
      <c r="H482" s="68" t="s">
        <v>40</v>
      </c>
      <c r="I482" s="68" t="s">
        <v>2116</v>
      </c>
      <c r="J482" s="68" t="s">
        <v>42</v>
      </c>
      <c r="K482" s="68" t="s">
        <v>42</v>
      </c>
      <c r="L482" s="68" t="s">
        <v>772</v>
      </c>
      <c r="M482" s="68" t="s">
        <v>43</v>
      </c>
      <c r="N482" s="68">
        <v>25.617998</v>
      </c>
      <c r="O482" s="68">
        <v>96.339590000000001</v>
      </c>
      <c r="P482" s="68" t="s">
        <v>757</v>
      </c>
      <c r="Q482" s="68" t="s">
        <v>776</v>
      </c>
      <c r="R482" s="95">
        <v>11</v>
      </c>
      <c r="S482" s="486">
        <v>43</v>
      </c>
      <c r="T482" s="101"/>
      <c r="U482" s="97"/>
      <c r="V482" s="68" t="s">
        <v>248</v>
      </c>
      <c r="W482" s="482"/>
    </row>
    <row r="483" spans="1:23" s="68" customFormat="1" ht="14.25" customHeight="1">
      <c r="A483" s="482" t="s">
        <v>36</v>
      </c>
      <c r="B483" s="482" t="s">
        <v>138</v>
      </c>
      <c r="C483" s="482" t="s">
        <v>221</v>
      </c>
      <c r="D483" s="431" t="s">
        <v>2817</v>
      </c>
      <c r="E483" s="482" t="s">
        <v>1584</v>
      </c>
      <c r="F483" s="482" t="s">
        <v>1835</v>
      </c>
      <c r="G483" s="482" t="s">
        <v>1835</v>
      </c>
      <c r="H483" s="482" t="s">
        <v>40</v>
      </c>
      <c r="I483" s="482" t="s">
        <v>1325</v>
      </c>
      <c r="J483" s="396" t="s">
        <v>42</v>
      </c>
      <c r="K483" s="482" t="s">
        <v>42</v>
      </c>
      <c r="L483" s="482" t="s">
        <v>42</v>
      </c>
      <c r="M483" s="396" t="s">
        <v>43</v>
      </c>
      <c r="N483" s="396">
        <v>25.613894999999999</v>
      </c>
      <c r="O483" s="396">
        <v>96.341352999999998</v>
      </c>
      <c r="P483" s="68" t="s">
        <v>757</v>
      </c>
      <c r="Q483" s="396" t="s">
        <v>776</v>
      </c>
      <c r="R483" s="486">
        <v>47</v>
      </c>
      <c r="S483" s="486">
        <v>225</v>
      </c>
      <c r="T483" s="412"/>
      <c r="U483" s="401"/>
      <c r="V483" s="396" t="s">
        <v>221</v>
      </c>
    </row>
    <row r="484" spans="1:23" s="68" customFormat="1" ht="14.25" customHeight="1">
      <c r="A484" s="482" t="s">
        <v>36</v>
      </c>
      <c r="B484" s="482" t="s">
        <v>138</v>
      </c>
      <c r="C484" s="482" t="s">
        <v>249</v>
      </c>
      <c r="D484" s="431" t="s">
        <v>2817</v>
      </c>
      <c r="E484" s="482" t="s">
        <v>1576</v>
      </c>
      <c r="F484" s="482" t="s">
        <v>1673</v>
      </c>
      <c r="G484" s="482" t="s">
        <v>1674</v>
      </c>
      <c r="H484" s="482" t="s">
        <v>40</v>
      </c>
      <c r="I484" s="482" t="s">
        <v>2116</v>
      </c>
      <c r="J484" s="68" t="s">
        <v>42</v>
      </c>
      <c r="K484" s="482" t="s">
        <v>42</v>
      </c>
      <c r="L484" s="482" t="s">
        <v>772</v>
      </c>
      <c r="M484" s="482" t="s">
        <v>43</v>
      </c>
      <c r="N484" s="482">
        <v>25.56551</v>
      </c>
      <c r="O484" s="482">
        <v>96.279200000000003</v>
      </c>
      <c r="P484" s="68" t="s">
        <v>757</v>
      </c>
      <c r="Q484" s="482" t="s">
        <v>776</v>
      </c>
      <c r="R484" s="486">
        <v>10</v>
      </c>
      <c r="S484" s="486">
        <v>38</v>
      </c>
      <c r="T484" s="506"/>
      <c r="U484" s="488"/>
      <c r="V484" s="482" t="s">
        <v>249</v>
      </c>
      <c r="W484" s="482"/>
    </row>
    <row r="485" spans="1:23" s="68" customFormat="1" ht="14.25" customHeight="1">
      <c r="A485" s="482" t="s">
        <v>36</v>
      </c>
      <c r="B485" s="484" t="s">
        <v>138</v>
      </c>
      <c r="C485" s="484" t="s">
        <v>250</v>
      </c>
      <c r="D485" s="431" t="s">
        <v>1657</v>
      </c>
      <c r="E485" s="68" t="s">
        <v>1597</v>
      </c>
      <c r="F485" s="68" t="s">
        <v>1673</v>
      </c>
      <c r="G485" s="68" t="s">
        <v>1674</v>
      </c>
      <c r="H485" s="68" t="s">
        <v>40</v>
      </c>
      <c r="I485" s="68" t="s">
        <v>131</v>
      </c>
      <c r="J485" s="68" t="s">
        <v>42</v>
      </c>
      <c r="K485" s="68" t="s">
        <v>42</v>
      </c>
      <c r="L485" s="68" t="s">
        <v>756</v>
      </c>
      <c r="M485" s="68" t="s">
        <v>43</v>
      </c>
      <c r="N485" s="396">
        <v>25.668399999999998</v>
      </c>
      <c r="O485" s="396">
        <v>96.353030000000004</v>
      </c>
      <c r="P485" s="482" t="s">
        <v>757</v>
      </c>
      <c r="Q485" s="68" t="s">
        <v>776</v>
      </c>
      <c r="R485" s="95"/>
      <c r="S485" s="487"/>
      <c r="T485" s="101"/>
      <c r="U485" s="97"/>
      <c r="V485" s="68" t="s">
        <v>250</v>
      </c>
      <c r="W485" s="391" t="s">
        <v>2626</v>
      </c>
    </row>
    <row r="486" spans="1:23" s="68" customFormat="1" ht="14.25" customHeight="1">
      <c r="A486" s="396" t="s">
        <v>36</v>
      </c>
      <c r="B486" s="484" t="s">
        <v>138</v>
      </c>
      <c r="C486" s="484" t="s">
        <v>178</v>
      </c>
      <c r="D486" s="431" t="s">
        <v>2817</v>
      </c>
      <c r="E486" s="396" t="s">
        <v>1608</v>
      </c>
      <c r="F486" s="396" t="s">
        <v>1727</v>
      </c>
      <c r="G486" s="396" t="s">
        <v>1728</v>
      </c>
      <c r="H486" s="396" t="s">
        <v>40</v>
      </c>
      <c r="I486" s="396" t="s">
        <v>131</v>
      </c>
      <c r="J486" s="396" t="s">
        <v>42</v>
      </c>
      <c r="K486" s="484" t="s">
        <v>42</v>
      </c>
      <c r="L486" s="484" t="s">
        <v>42</v>
      </c>
      <c r="M486" s="396" t="s">
        <v>43</v>
      </c>
      <c r="N486" s="396">
        <v>25.920006000000001</v>
      </c>
      <c r="O486" s="396">
        <v>96.662092000000001</v>
      </c>
      <c r="P486" s="68" t="s">
        <v>757</v>
      </c>
      <c r="Q486" s="396" t="s">
        <v>758</v>
      </c>
      <c r="R486" s="399">
        <v>28</v>
      </c>
      <c r="S486" s="486">
        <v>126</v>
      </c>
      <c r="T486" s="412"/>
      <c r="U486" s="401"/>
      <c r="V486" s="396"/>
      <c r="W486" s="482"/>
    </row>
    <row r="487" spans="1:23" s="68" customFormat="1" ht="14.25" customHeight="1">
      <c r="A487" s="482" t="s">
        <v>36</v>
      </c>
      <c r="B487" s="482" t="s">
        <v>138</v>
      </c>
      <c r="C487" s="484" t="s">
        <v>179</v>
      </c>
      <c r="D487" s="431" t="s">
        <v>2817</v>
      </c>
      <c r="E487" s="396" t="s">
        <v>1609</v>
      </c>
      <c r="F487" s="396" t="s">
        <v>1727</v>
      </c>
      <c r="G487" s="396" t="s">
        <v>1728</v>
      </c>
      <c r="H487" s="396" t="s">
        <v>40</v>
      </c>
      <c r="I487" s="396" t="s">
        <v>2116</v>
      </c>
      <c r="J487" s="396" t="s">
        <v>42</v>
      </c>
      <c r="K487" s="484" t="s">
        <v>42</v>
      </c>
      <c r="L487" s="484" t="s">
        <v>772</v>
      </c>
      <c r="M487" s="396" t="s">
        <v>43</v>
      </c>
      <c r="N487" s="396">
        <v>25.920006000000001</v>
      </c>
      <c r="O487" s="396">
        <v>96.662092000000001</v>
      </c>
      <c r="P487" s="68" t="s">
        <v>757</v>
      </c>
      <c r="Q487" s="396" t="s">
        <v>758</v>
      </c>
      <c r="R487" s="486">
        <v>4</v>
      </c>
      <c r="S487" s="486">
        <v>11</v>
      </c>
      <c r="T487" s="412"/>
      <c r="U487" s="401" t="s">
        <v>2709</v>
      </c>
      <c r="V487" s="396"/>
      <c r="W487" s="396"/>
    </row>
    <row r="488" spans="1:23" s="68" customFormat="1" ht="14.25" customHeight="1">
      <c r="A488" s="482" t="s">
        <v>36</v>
      </c>
      <c r="B488" s="482" t="s">
        <v>138</v>
      </c>
      <c r="C488" s="484" t="s">
        <v>181</v>
      </c>
      <c r="D488" s="431" t="s">
        <v>1656</v>
      </c>
      <c r="J488" s="68" t="s">
        <v>1460</v>
      </c>
      <c r="K488" s="484" t="s">
        <v>42</v>
      </c>
      <c r="L488" s="484" t="s">
        <v>42</v>
      </c>
      <c r="M488" s="68" t="s">
        <v>43</v>
      </c>
      <c r="P488" s="482" t="s">
        <v>757</v>
      </c>
      <c r="Q488" s="68" t="s">
        <v>758</v>
      </c>
      <c r="R488" s="399"/>
      <c r="S488" s="487"/>
      <c r="T488" s="101">
        <v>42824</v>
      </c>
      <c r="U488" s="97"/>
      <c r="W488" s="482"/>
    </row>
    <row r="489" spans="1:23" s="68" customFormat="1" ht="14.25" customHeight="1">
      <c r="A489" s="482" t="s">
        <v>36</v>
      </c>
      <c r="B489" s="484" t="s">
        <v>138</v>
      </c>
      <c r="C489" s="484" t="s">
        <v>1065</v>
      </c>
      <c r="D489" s="431" t="s">
        <v>1657</v>
      </c>
      <c r="E489" s="68" t="s">
        <v>1610</v>
      </c>
      <c r="F489" s="68" t="s">
        <v>1727</v>
      </c>
      <c r="G489" s="68" t="s">
        <v>1728</v>
      </c>
      <c r="I489" s="68">
        <v>0</v>
      </c>
      <c r="J489" s="68" t="s">
        <v>42</v>
      </c>
      <c r="K489" s="68" t="s">
        <v>42</v>
      </c>
      <c r="L489" s="68" t="s">
        <v>756</v>
      </c>
      <c r="M489" s="68" t="s">
        <v>43</v>
      </c>
      <c r="N489" s="68">
        <v>25.920006000000001</v>
      </c>
      <c r="O489" s="68">
        <v>96.662092000000001</v>
      </c>
      <c r="P489" s="68" t="s">
        <v>757</v>
      </c>
      <c r="Q489" s="68" t="s">
        <v>758</v>
      </c>
      <c r="R489" s="486"/>
      <c r="S489" s="487"/>
      <c r="T489" s="101"/>
      <c r="U489" s="97"/>
      <c r="W489" s="391" t="s">
        <v>2124</v>
      </c>
    </row>
    <row r="490" spans="1:23" s="68" customFormat="1" ht="14.25" customHeight="1">
      <c r="A490" s="482" t="s">
        <v>36</v>
      </c>
      <c r="B490" s="484" t="s">
        <v>138</v>
      </c>
      <c r="C490" s="484" t="s">
        <v>1062</v>
      </c>
      <c r="D490" s="431" t="s">
        <v>1657</v>
      </c>
      <c r="E490" s="484" t="s">
        <v>1603</v>
      </c>
      <c r="F490" s="68" t="s">
        <v>1727</v>
      </c>
      <c r="G490" s="68" t="s">
        <v>1727</v>
      </c>
      <c r="I490" s="68">
        <v>0</v>
      </c>
      <c r="J490" s="68" t="s">
        <v>42</v>
      </c>
      <c r="K490" s="396" t="s">
        <v>42</v>
      </c>
      <c r="L490" s="396" t="s">
        <v>756</v>
      </c>
      <c r="M490" s="68" t="s">
        <v>43</v>
      </c>
      <c r="N490" s="68">
        <v>25.806999999999999</v>
      </c>
      <c r="O490" s="68">
        <v>96.637</v>
      </c>
      <c r="P490" s="68" t="s">
        <v>757</v>
      </c>
      <c r="Q490" s="68" t="s">
        <v>758</v>
      </c>
      <c r="R490" s="486"/>
      <c r="S490" s="487"/>
      <c r="T490" s="101">
        <v>42983</v>
      </c>
      <c r="U490" s="97" t="s">
        <v>1063</v>
      </c>
      <c r="W490" s="391" t="s">
        <v>2130</v>
      </c>
    </row>
    <row r="491" spans="1:23" s="68" customFormat="1" ht="14.25" customHeight="1">
      <c r="A491" s="396" t="s">
        <v>36</v>
      </c>
      <c r="B491" s="484" t="s">
        <v>138</v>
      </c>
      <c r="C491" s="484" t="s">
        <v>1052</v>
      </c>
      <c r="D491" s="431" t="s">
        <v>1657</v>
      </c>
      <c r="E491" s="68" t="s">
        <v>1579</v>
      </c>
      <c r="F491" s="68" t="s">
        <v>1673</v>
      </c>
      <c r="G491" s="68" t="s">
        <v>1673</v>
      </c>
      <c r="H491" s="68" t="s">
        <v>40</v>
      </c>
      <c r="I491" s="68" t="s">
        <v>1325</v>
      </c>
      <c r="J491" s="68" t="s">
        <v>42</v>
      </c>
      <c r="K491" s="68" t="s">
        <v>42</v>
      </c>
      <c r="L491" s="68" t="s">
        <v>756</v>
      </c>
      <c r="M491" s="68" t="s">
        <v>43</v>
      </c>
      <c r="N491" s="68">
        <v>25.57921</v>
      </c>
      <c r="O491" s="68">
        <v>96.288250000000005</v>
      </c>
      <c r="P491" s="68" t="s">
        <v>757</v>
      </c>
      <c r="R491" s="399"/>
      <c r="S491" s="487"/>
      <c r="T491" s="101"/>
      <c r="U491" s="97"/>
      <c r="V491" s="68" t="s">
        <v>1052</v>
      </c>
      <c r="W491" s="396" t="s">
        <v>2131</v>
      </c>
    </row>
    <row r="492" spans="1:23" s="68" customFormat="1" ht="14.25" customHeight="1">
      <c r="A492" s="396" t="s">
        <v>36</v>
      </c>
      <c r="B492" s="484" t="s">
        <v>138</v>
      </c>
      <c r="C492" s="484" t="s">
        <v>251</v>
      </c>
      <c r="D492" s="431" t="s">
        <v>2817</v>
      </c>
      <c r="E492" s="68" t="s">
        <v>1578</v>
      </c>
      <c r="F492" s="68" t="s">
        <v>1673</v>
      </c>
      <c r="G492" s="68" t="s">
        <v>1834</v>
      </c>
      <c r="H492" s="68" t="s">
        <v>40</v>
      </c>
      <c r="I492" s="396" t="s">
        <v>131</v>
      </c>
      <c r="J492" s="68" t="s">
        <v>42</v>
      </c>
      <c r="K492" s="68" t="s">
        <v>42</v>
      </c>
      <c r="L492" s="68" t="s">
        <v>42</v>
      </c>
      <c r="M492" s="68" t="s">
        <v>43</v>
      </c>
      <c r="N492" s="68">
        <v>25.577559999999998</v>
      </c>
      <c r="O492" s="68">
        <v>96.286680000000004</v>
      </c>
      <c r="P492" s="68" t="s">
        <v>757</v>
      </c>
      <c r="Q492" s="68" t="s">
        <v>776</v>
      </c>
      <c r="R492" s="95">
        <v>32</v>
      </c>
      <c r="S492" s="486">
        <v>173</v>
      </c>
      <c r="T492" s="101"/>
      <c r="U492" s="97"/>
      <c r="V492" s="68" t="s">
        <v>251</v>
      </c>
      <c r="W492" s="482"/>
    </row>
    <row r="493" spans="1:23" s="68" customFormat="1" ht="14.25" customHeight="1">
      <c r="A493" s="482" t="s">
        <v>36</v>
      </c>
      <c r="B493" s="484" t="s">
        <v>138</v>
      </c>
      <c r="C493" s="484" t="s">
        <v>252</v>
      </c>
      <c r="D493" s="431" t="s">
        <v>2817</v>
      </c>
      <c r="E493" s="68" t="s">
        <v>1581</v>
      </c>
      <c r="F493" s="68" t="s">
        <v>1835</v>
      </c>
      <c r="G493" s="68" t="s">
        <v>1835</v>
      </c>
      <c r="H493" s="68" t="s">
        <v>40</v>
      </c>
      <c r="I493" s="68" t="s">
        <v>131</v>
      </c>
      <c r="J493" s="68" t="s">
        <v>42</v>
      </c>
      <c r="K493" s="396" t="s">
        <v>42</v>
      </c>
      <c r="L493" s="482" t="s">
        <v>42</v>
      </c>
      <c r="M493" s="68" t="s">
        <v>43</v>
      </c>
      <c r="N493" s="68">
        <v>25.599250000000001</v>
      </c>
      <c r="O493" s="68">
        <v>96.306910999999999</v>
      </c>
      <c r="P493" s="482" t="s">
        <v>757</v>
      </c>
      <c r="Q493" s="68" t="s">
        <v>776</v>
      </c>
      <c r="R493" s="399">
        <v>16</v>
      </c>
      <c r="S493" s="486">
        <v>69</v>
      </c>
      <c r="T493" s="101"/>
      <c r="U493" s="488"/>
      <c r="V493" s="68" t="s">
        <v>252</v>
      </c>
      <c r="W493" s="482"/>
    </row>
    <row r="494" spans="1:23" s="68" customFormat="1" ht="14.25" customHeight="1">
      <c r="A494" s="487" t="s">
        <v>36</v>
      </c>
      <c r="B494" s="490" t="s">
        <v>771</v>
      </c>
      <c r="C494" s="491" t="s">
        <v>3117</v>
      </c>
      <c r="D494" s="485"/>
      <c r="J494" s="659" t="s">
        <v>794</v>
      </c>
      <c r="K494" s="659" t="s">
        <v>794</v>
      </c>
      <c r="L494" s="396" t="s">
        <v>1095</v>
      </c>
      <c r="M494" s="68" t="s">
        <v>774</v>
      </c>
      <c r="P494" s="482"/>
      <c r="Q494" s="68" t="s">
        <v>3102</v>
      </c>
      <c r="R494" s="494"/>
      <c r="S494" s="487"/>
      <c r="T494" s="101">
        <v>43851</v>
      </c>
      <c r="U494" s="494"/>
      <c r="W494" s="486"/>
    </row>
    <row r="495" spans="1:23" s="68" customFormat="1" ht="14.25" customHeight="1">
      <c r="A495" s="396" t="s">
        <v>36</v>
      </c>
      <c r="B495" s="396" t="s">
        <v>771</v>
      </c>
      <c r="C495" s="396" t="s">
        <v>770</v>
      </c>
      <c r="D495" s="431" t="s">
        <v>1657</v>
      </c>
      <c r="E495" s="396" t="s">
        <v>1329</v>
      </c>
      <c r="F495" s="396">
        <v>0</v>
      </c>
      <c r="G495" s="396">
        <v>0</v>
      </c>
      <c r="H495" s="396"/>
      <c r="I495" s="396">
        <v>0</v>
      </c>
      <c r="J495" s="396" t="s">
        <v>42</v>
      </c>
      <c r="K495" s="396" t="s">
        <v>42</v>
      </c>
      <c r="L495" s="396" t="s">
        <v>756</v>
      </c>
      <c r="M495" s="396" t="s">
        <v>43</v>
      </c>
      <c r="N495" s="396"/>
      <c r="O495" s="396"/>
      <c r="P495" s="396" t="s">
        <v>757</v>
      </c>
      <c r="Q495" s="396"/>
      <c r="R495" s="399"/>
      <c r="S495" s="487"/>
      <c r="T495" s="412"/>
      <c r="U495" s="401"/>
      <c r="V495" s="396" t="s">
        <v>770</v>
      </c>
      <c r="W495" s="68" t="s">
        <v>2132</v>
      </c>
    </row>
    <row r="496" spans="1:23" s="68" customFormat="1" ht="14.25" customHeight="1">
      <c r="A496" s="487" t="s">
        <v>36</v>
      </c>
      <c r="B496" s="490" t="s">
        <v>771</v>
      </c>
      <c r="C496" s="491" t="s">
        <v>3118</v>
      </c>
      <c r="D496" s="485"/>
      <c r="I496" s="396"/>
      <c r="J496" s="659" t="s">
        <v>794</v>
      </c>
      <c r="K496" s="659" t="s">
        <v>794</v>
      </c>
      <c r="L496" s="68" t="s">
        <v>1095</v>
      </c>
      <c r="M496" s="68" t="s">
        <v>774</v>
      </c>
      <c r="P496" s="482"/>
      <c r="Q496" s="68" t="s">
        <v>3102</v>
      </c>
      <c r="R496" s="494"/>
      <c r="S496" s="487"/>
      <c r="T496" s="101">
        <v>43851</v>
      </c>
      <c r="U496" s="494"/>
      <c r="W496" s="486"/>
    </row>
    <row r="497" spans="1:23" s="68" customFormat="1" ht="14.25" customHeight="1">
      <c r="A497" s="396" t="s">
        <v>36</v>
      </c>
      <c r="B497" s="396" t="s">
        <v>1069</v>
      </c>
      <c r="C497" s="396" t="s">
        <v>1068</v>
      </c>
      <c r="D497" s="431" t="s">
        <v>1657</v>
      </c>
      <c r="E497" s="484" t="s">
        <v>1614</v>
      </c>
      <c r="F497" s="68" t="s">
        <v>1729</v>
      </c>
      <c r="G497" s="68" t="s">
        <v>1068</v>
      </c>
      <c r="I497" s="68">
        <v>0</v>
      </c>
      <c r="J497" s="68" t="s">
        <v>42</v>
      </c>
      <c r="K497" s="68" t="s">
        <v>42</v>
      </c>
      <c r="L497" s="68" t="s">
        <v>756</v>
      </c>
      <c r="M497" s="68" t="s">
        <v>43</v>
      </c>
      <c r="N497" s="68">
        <v>26.890058</v>
      </c>
      <c r="O497" s="68">
        <v>98.144502500000002</v>
      </c>
      <c r="P497" s="396" t="s">
        <v>757</v>
      </c>
      <c r="R497" s="399"/>
      <c r="S497" s="487"/>
      <c r="T497" s="101"/>
      <c r="U497" s="97"/>
      <c r="V497" s="68" t="s">
        <v>1068</v>
      </c>
      <c r="W497" s="391" t="s">
        <v>2133</v>
      </c>
    </row>
    <row r="498" spans="1:23" s="68" customFormat="1" ht="14.25" customHeight="1">
      <c r="A498" s="396" t="s">
        <v>36</v>
      </c>
      <c r="B498" s="482" t="s">
        <v>1074</v>
      </c>
      <c r="C498" s="482" t="s">
        <v>1073</v>
      </c>
      <c r="D498" s="431" t="s">
        <v>1657</v>
      </c>
      <c r="E498" s="68" t="s">
        <v>1617</v>
      </c>
      <c r="F498" s="68">
        <v>0</v>
      </c>
      <c r="G498" s="68">
        <v>0</v>
      </c>
      <c r="I498" s="68">
        <v>0</v>
      </c>
      <c r="J498" s="68" t="s">
        <v>42</v>
      </c>
      <c r="K498" s="68" t="s">
        <v>42</v>
      </c>
      <c r="L498" s="68" t="s">
        <v>756</v>
      </c>
      <c r="M498" s="68" t="s">
        <v>43</v>
      </c>
      <c r="N498" s="68">
        <v>27.274059999999999</v>
      </c>
      <c r="O498" s="68">
        <v>97.586470000000006</v>
      </c>
      <c r="P498" s="68" t="s">
        <v>757</v>
      </c>
      <c r="R498" s="399"/>
      <c r="S498" s="487"/>
      <c r="T498" s="101"/>
      <c r="U498" s="97"/>
      <c r="V498" s="396" t="s">
        <v>1075</v>
      </c>
      <c r="W498" s="391" t="s">
        <v>2134</v>
      </c>
    </row>
    <row r="499" spans="1:23" s="68" customFormat="1" ht="14.25" customHeight="1">
      <c r="A499" s="484" t="s">
        <v>36</v>
      </c>
      <c r="B499" s="484" t="s">
        <v>1315</v>
      </c>
      <c r="C499" s="484" t="s">
        <v>1883</v>
      </c>
      <c r="D499" s="485" t="s">
        <v>1876</v>
      </c>
      <c r="E499" s="493"/>
      <c r="F499" s="493"/>
      <c r="G499" s="493"/>
      <c r="H499" s="493"/>
      <c r="I499" s="493"/>
      <c r="J499" s="68" t="s">
        <v>1460</v>
      </c>
      <c r="K499" s="493"/>
      <c r="L499" s="493"/>
      <c r="P499" s="68" t="s">
        <v>757</v>
      </c>
      <c r="R499" s="494"/>
      <c r="S499" s="487"/>
      <c r="T499" s="101"/>
      <c r="U499" s="97"/>
      <c r="V499" s="396"/>
      <c r="W499" s="396"/>
    </row>
    <row r="500" spans="1:23" s="68" customFormat="1" ht="14.25" customHeight="1">
      <c r="A500" s="484" t="s">
        <v>36</v>
      </c>
      <c r="B500" s="484" t="s">
        <v>1315</v>
      </c>
      <c r="C500" s="484" t="s">
        <v>1316</v>
      </c>
      <c r="D500" s="485" t="s">
        <v>1876</v>
      </c>
      <c r="E500" s="493"/>
      <c r="F500" s="493"/>
      <c r="G500" s="493"/>
      <c r="H500" s="493"/>
      <c r="I500" s="493"/>
      <c r="J500" s="68" t="s">
        <v>1460</v>
      </c>
      <c r="K500" s="493"/>
      <c r="L500" s="493"/>
      <c r="M500" s="484"/>
      <c r="N500" s="484"/>
      <c r="O500" s="484"/>
      <c r="P500" s="396" t="s">
        <v>757</v>
      </c>
      <c r="Q500" s="484"/>
      <c r="R500" s="495"/>
      <c r="S500" s="491"/>
      <c r="T500" s="507"/>
      <c r="U500" s="492"/>
      <c r="V500" s="484"/>
      <c r="W500" s="396"/>
    </row>
    <row r="501" spans="1:23" s="68" customFormat="1" ht="14.25" customHeight="1">
      <c r="A501" s="396" t="s">
        <v>36</v>
      </c>
      <c r="B501" s="396" t="s">
        <v>37</v>
      </c>
      <c r="C501" s="396" t="s">
        <v>761</v>
      </c>
      <c r="D501" s="431" t="s">
        <v>1657</v>
      </c>
      <c r="E501" s="396" t="s">
        <v>1320</v>
      </c>
      <c r="F501" s="68">
        <v>0</v>
      </c>
      <c r="G501" s="68">
        <v>0</v>
      </c>
      <c r="I501" s="68">
        <v>0</v>
      </c>
      <c r="J501" s="68" t="s">
        <v>42</v>
      </c>
      <c r="K501" s="68" t="s">
        <v>42</v>
      </c>
      <c r="L501" s="68" t="s">
        <v>756</v>
      </c>
      <c r="M501" s="68" t="s">
        <v>43</v>
      </c>
      <c r="P501" s="396" t="s">
        <v>757</v>
      </c>
      <c r="R501" s="399"/>
      <c r="S501" s="487"/>
      <c r="T501" s="101"/>
      <c r="U501" s="97"/>
      <c r="V501" s="68" t="s">
        <v>761</v>
      </c>
      <c r="W501" s="396" t="s">
        <v>2135</v>
      </c>
    </row>
    <row r="502" spans="1:23" s="68" customFormat="1" ht="14.25" customHeight="1">
      <c r="A502" s="396" t="s">
        <v>36</v>
      </c>
      <c r="B502" s="396" t="s">
        <v>37</v>
      </c>
      <c r="C502" s="396" t="s">
        <v>762</v>
      </c>
      <c r="D502" s="431" t="s">
        <v>1657</v>
      </c>
      <c r="E502" s="68" t="s">
        <v>1321</v>
      </c>
      <c r="F502" s="68">
        <v>0</v>
      </c>
      <c r="G502" s="68">
        <v>0</v>
      </c>
      <c r="I502" s="68">
        <v>0</v>
      </c>
      <c r="J502" s="68" t="s">
        <v>42</v>
      </c>
      <c r="K502" s="396" t="s">
        <v>42</v>
      </c>
      <c r="L502" s="396" t="s">
        <v>756</v>
      </c>
      <c r="M502" s="68" t="s">
        <v>43</v>
      </c>
      <c r="P502" s="68" t="s">
        <v>757</v>
      </c>
      <c r="R502" s="399"/>
      <c r="S502" s="487"/>
      <c r="T502" s="101"/>
      <c r="U502" s="97"/>
      <c r="V502" s="68" t="s">
        <v>762</v>
      </c>
      <c r="W502" s="391" t="s">
        <v>2136</v>
      </c>
    </row>
    <row r="503" spans="1:23" s="68" customFormat="1" ht="14.25" customHeight="1">
      <c r="A503" s="396" t="s">
        <v>36</v>
      </c>
      <c r="B503" s="396" t="s">
        <v>37</v>
      </c>
      <c r="C503" s="68" t="s">
        <v>763</v>
      </c>
      <c r="D503" s="431" t="s">
        <v>1657</v>
      </c>
      <c r="E503" s="68" t="s">
        <v>1322</v>
      </c>
      <c r="F503" s="68">
        <v>0</v>
      </c>
      <c r="G503" s="68">
        <v>0</v>
      </c>
      <c r="I503" s="396">
        <v>0</v>
      </c>
      <c r="J503" s="68" t="s">
        <v>42</v>
      </c>
      <c r="K503" s="68" t="s">
        <v>42</v>
      </c>
      <c r="L503" s="396" t="s">
        <v>756</v>
      </c>
      <c r="M503" s="68" t="s">
        <v>43</v>
      </c>
      <c r="N503" s="396"/>
      <c r="O503" s="396"/>
      <c r="P503" s="68" t="s">
        <v>757</v>
      </c>
      <c r="R503" s="399"/>
      <c r="S503" s="487"/>
      <c r="T503" s="101"/>
      <c r="U503" s="97"/>
      <c r="V503" s="68" t="s">
        <v>763</v>
      </c>
      <c r="W503" s="396" t="s">
        <v>2135</v>
      </c>
    </row>
    <row r="504" spans="1:23" s="68" customFormat="1" ht="14.25" customHeight="1">
      <c r="A504" s="396" t="s">
        <v>36</v>
      </c>
      <c r="B504" s="482" t="s">
        <v>37</v>
      </c>
      <c r="C504" s="482" t="s">
        <v>1894</v>
      </c>
      <c r="D504" s="431" t="s">
        <v>2817</v>
      </c>
      <c r="E504" s="396" t="s">
        <v>1462</v>
      </c>
      <c r="F504" s="68" t="s">
        <v>1697</v>
      </c>
      <c r="G504" s="68" t="s">
        <v>1697</v>
      </c>
      <c r="H504" s="68" t="s">
        <v>40</v>
      </c>
      <c r="I504" s="396" t="s">
        <v>41</v>
      </c>
      <c r="J504" s="68" t="s">
        <v>42</v>
      </c>
      <c r="K504" s="68" t="s">
        <v>42</v>
      </c>
      <c r="L504" s="68" t="s">
        <v>42</v>
      </c>
      <c r="M504" s="68" t="s">
        <v>774</v>
      </c>
      <c r="N504" s="396">
        <v>24.002433</v>
      </c>
      <c r="O504" s="396">
        <v>97.609832999999995</v>
      </c>
      <c r="P504" s="68" t="s">
        <v>757</v>
      </c>
      <c r="Q504" s="68" t="s">
        <v>758</v>
      </c>
      <c r="R504" s="399">
        <v>357</v>
      </c>
      <c r="S504" s="486">
        <v>1692</v>
      </c>
      <c r="T504" s="101"/>
      <c r="U504" s="97"/>
      <c r="W504" s="482"/>
    </row>
    <row r="505" spans="1:23" s="68" customFormat="1" ht="14.25" customHeight="1">
      <c r="A505" s="396" t="s">
        <v>36</v>
      </c>
      <c r="B505" s="482" t="s">
        <v>37</v>
      </c>
      <c r="C505" s="482" t="s">
        <v>1884</v>
      </c>
      <c r="D505" s="431" t="s">
        <v>1656</v>
      </c>
      <c r="E505" s="396"/>
      <c r="I505" s="396"/>
      <c r="J505" s="68" t="s">
        <v>1460</v>
      </c>
      <c r="K505" s="396" t="s">
        <v>42</v>
      </c>
      <c r="L505" s="396" t="s">
        <v>1083</v>
      </c>
      <c r="M505" s="68" t="s">
        <v>774</v>
      </c>
      <c r="N505" s="396"/>
      <c r="O505" s="396"/>
      <c r="P505" s="396" t="s">
        <v>757</v>
      </c>
      <c r="R505" s="399"/>
      <c r="S505" s="487"/>
      <c r="T505" s="101"/>
      <c r="U505" s="97"/>
      <c r="V505" s="68" t="s">
        <v>1092</v>
      </c>
    </row>
    <row r="506" spans="1:23" s="68" customFormat="1" ht="14.25" customHeight="1">
      <c r="A506" s="482" t="s">
        <v>36</v>
      </c>
      <c r="B506" s="482" t="s">
        <v>37</v>
      </c>
      <c r="C506" s="482" t="s">
        <v>1895</v>
      </c>
      <c r="D506" s="431" t="s">
        <v>1657</v>
      </c>
      <c r="E506" s="68" t="s">
        <v>1461</v>
      </c>
      <c r="F506" s="68" t="s">
        <v>1697</v>
      </c>
      <c r="G506" s="68" t="s">
        <v>1697</v>
      </c>
      <c r="H506" s="68" t="s">
        <v>40</v>
      </c>
      <c r="I506" s="396" t="s">
        <v>41</v>
      </c>
      <c r="J506" s="68" t="s">
        <v>42</v>
      </c>
      <c r="K506" s="482" t="s">
        <v>42</v>
      </c>
      <c r="L506" s="482" t="s">
        <v>756</v>
      </c>
      <c r="M506" s="68" t="s">
        <v>774</v>
      </c>
      <c r="N506" s="396">
        <v>24.000250000000001</v>
      </c>
      <c r="O506" s="396">
        <v>97.608249999999998</v>
      </c>
      <c r="P506" s="482" t="s">
        <v>757</v>
      </c>
      <c r="R506" s="486"/>
      <c r="S506" s="487"/>
      <c r="T506" s="101"/>
      <c r="U506" s="97"/>
      <c r="V506" s="68" t="s">
        <v>985</v>
      </c>
      <c r="W506" s="391" t="s">
        <v>2137</v>
      </c>
    </row>
    <row r="507" spans="1:23" s="68" customFormat="1" ht="14.25" customHeight="1">
      <c r="A507" s="482" t="s">
        <v>36</v>
      </c>
      <c r="B507" s="482" t="s">
        <v>37</v>
      </c>
      <c r="C507" s="482" t="s">
        <v>979</v>
      </c>
      <c r="D507" s="431" t="s">
        <v>1657</v>
      </c>
      <c r="E507" s="68" t="s">
        <v>1454</v>
      </c>
      <c r="F507" s="68" t="s">
        <v>1691</v>
      </c>
      <c r="G507" s="68">
        <v>0</v>
      </c>
      <c r="H507" s="68" t="s">
        <v>40</v>
      </c>
      <c r="I507" s="68" t="s">
        <v>41</v>
      </c>
      <c r="J507" s="68" t="s">
        <v>42</v>
      </c>
      <c r="K507" s="68" t="s">
        <v>42</v>
      </c>
      <c r="L507" s="68" t="s">
        <v>756</v>
      </c>
      <c r="M507" s="68" t="s">
        <v>774</v>
      </c>
      <c r="N507" s="396">
        <v>23.867713999999999</v>
      </c>
      <c r="O507" s="396">
        <v>97.601243999999994</v>
      </c>
      <c r="P507" s="482" t="s">
        <v>757</v>
      </c>
      <c r="R507" s="399"/>
      <c r="S507" s="487"/>
      <c r="T507" s="101"/>
      <c r="U507" s="97"/>
      <c r="V507" s="68" t="s">
        <v>979</v>
      </c>
      <c r="W507" s="482" t="s">
        <v>2138</v>
      </c>
    </row>
    <row r="508" spans="1:23" s="68" customFormat="1" ht="14.25" customHeight="1">
      <c r="A508" s="482" t="s">
        <v>36</v>
      </c>
      <c r="B508" s="482" t="s">
        <v>37</v>
      </c>
      <c r="C508" s="482" t="s">
        <v>284</v>
      </c>
      <c r="D508" s="431" t="s">
        <v>2817</v>
      </c>
      <c r="E508" s="68" t="s">
        <v>1466</v>
      </c>
      <c r="H508" s="68" t="s">
        <v>40</v>
      </c>
      <c r="I508" s="68" t="s">
        <v>41</v>
      </c>
      <c r="J508" s="68" t="s">
        <v>42</v>
      </c>
      <c r="K508" s="482" t="s">
        <v>42</v>
      </c>
      <c r="L508" s="482" t="s">
        <v>42</v>
      </c>
      <c r="M508" s="68" t="s">
        <v>774</v>
      </c>
      <c r="N508" s="396">
        <v>24.056132999999999</v>
      </c>
      <c r="O508" s="396">
        <v>97.625617000000005</v>
      </c>
      <c r="P508" s="396" t="s">
        <v>757</v>
      </c>
      <c r="Q508" s="396" t="s">
        <v>758</v>
      </c>
      <c r="R508" s="486">
        <v>522</v>
      </c>
      <c r="S508" s="486">
        <v>2536</v>
      </c>
      <c r="T508" s="412"/>
      <c r="U508" s="97"/>
      <c r="V508" s="396"/>
      <c r="W508" s="482"/>
    </row>
    <row r="509" spans="1:23" s="68" customFormat="1" ht="14.25" customHeight="1">
      <c r="A509" s="482" t="s">
        <v>36</v>
      </c>
      <c r="B509" s="482" t="s">
        <v>37</v>
      </c>
      <c r="C509" s="482" t="s">
        <v>980</v>
      </c>
      <c r="D509" s="431" t="s">
        <v>1657</v>
      </c>
      <c r="E509" s="68" t="s">
        <v>1455</v>
      </c>
      <c r="F509" s="68" t="s">
        <v>1692</v>
      </c>
      <c r="G509" s="68">
        <v>0</v>
      </c>
      <c r="H509" s="68" t="s">
        <v>40</v>
      </c>
      <c r="I509" s="68" t="s">
        <v>41</v>
      </c>
      <c r="J509" s="68" t="s">
        <v>42</v>
      </c>
      <c r="K509" s="482" t="s">
        <v>42</v>
      </c>
      <c r="L509" s="482" t="s">
        <v>756</v>
      </c>
      <c r="M509" s="68" t="s">
        <v>774</v>
      </c>
      <c r="N509" s="396">
        <v>23.9055</v>
      </c>
      <c r="O509" s="396">
        <v>97.585667000000001</v>
      </c>
      <c r="P509" s="482" t="s">
        <v>757</v>
      </c>
      <c r="R509" s="486"/>
      <c r="S509" s="487"/>
      <c r="T509" s="101"/>
      <c r="U509" s="97"/>
      <c r="V509" s="68" t="s">
        <v>980</v>
      </c>
      <c r="W509" s="391" t="s">
        <v>2139</v>
      </c>
    </row>
    <row r="510" spans="1:23" s="68" customFormat="1" ht="14.25" customHeight="1">
      <c r="A510" s="482" t="s">
        <v>36</v>
      </c>
      <c r="B510" s="482" t="s">
        <v>37</v>
      </c>
      <c r="C510" s="482" t="s">
        <v>173</v>
      </c>
      <c r="D510" s="431" t="s">
        <v>2817</v>
      </c>
      <c r="E510" s="68" t="s">
        <v>1457</v>
      </c>
      <c r="F510" s="68" t="s">
        <v>173</v>
      </c>
      <c r="G510" s="68" t="s">
        <v>173</v>
      </c>
      <c r="H510" s="68" t="s">
        <v>40</v>
      </c>
      <c r="I510" s="68" t="s">
        <v>131</v>
      </c>
      <c r="J510" s="68" t="s">
        <v>42</v>
      </c>
      <c r="K510" s="68" t="s">
        <v>42</v>
      </c>
      <c r="L510" s="482" t="s">
        <v>42</v>
      </c>
      <c r="M510" s="68" t="s">
        <v>43</v>
      </c>
      <c r="N510" s="396">
        <v>23.972453000000002</v>
      </c>
      <c r="O510" s="396">
        <v>97.225881000000001</v>
      </c>
      <c r="P510" s="482" t="s">
        <v>757</v>
      </c>
      <c r="Q510" s="396" t="s">
        <v>776</v>
      </c>
      <c r="R510" s="486">
        <v>432</v>
      </c>
      <c r="S510" s="486">
        <v>2528</v>
      </c>
      <c r="T510" s="412"/>
      <c r="U510" s="97"/>
      <c r="V510" s="68" t="s">
        <v>173</v>
      </c>
      <c r="W510" s="391" t="s">
        <v>2250</v>
      </c>
    </row>
    <row r="511" spans="1:23" s="68" customFormat="1" ht="14.25" customHeight="1">
      <c r="A511" s="482" t="s">
        <v>36</v>
      </c>
      <c r="B511" s="482" t="s">
        <v>37</v>
      </c>
      <c r="C511" s="482" t="s">
        <v>38</v>
      </c>
      <c r="D511" s="431" t="s">
        <v>2817</v>
      </c>
      <c r="E511" s="68" t="s">
        <v>1458</v>
      </c>
      <c r="F511" s="68" t="s">
        <v>173</v>
      </c>
      <c r="G511" s="68" t="s">
        <v>173</v>
      </c>
      <c r="H511" s="68" t="s">
        <v>40</v>
      </c>
      <c r="I511" s="396" t="s">
        <v>41</v>
      </c>
      <c r="J511" s="68" t="s">
        <v>42</v>
      </c>
      <c r="K511" s="68" t="s">
        <v>42</v>
      </c>
      <c r="L511" s="68" t="s">
        <v>42</v>
      </c>
      <c r="M511" s="68" t="s">
        <v>43</v>
      </c>
      <c r="N511" s="396">
        <v>23.976571</v>
      </c>
      <c r="O511" s="396">
        <v>97.227057000000002</v>
      </c>
      <c r="P511" s="482" t="s">
        <v>757</v>
      </c>
      <c r="Q511" s="68" t="s">
        <v>776</v>
      </c>
      <c r="R511" s="486">
        <v>156</v>
      </c>
      <c r="S511" s="486">
        <v>694</v>
      </c>
      <c r="T511" s="101"/>
      <c r="U511" s="97"/>
      <c r="V511" s="68" t="s">
        <v>38</v>
      </c>
    </row>
    <row r="512" spans="1:23" s="68" customFormat="1" ht="14.25" customHeight="1">
      <c r="A512" s="482" t="s">
        <v>36</v>
      </c>
      <c r="B512" s="482" t="s">
        <v>37</v>
      </c>
      <c r="C512" s="482" t="s">
        <v>983</v>
      </c>
      <c r="D512" s="431" t="s">
        <v>1656</v>
      </c>
      <c r="J512" s="68" t="s">
        <v>1460</v>
      </c>
      <c r="K512" s="482" t="s">
        <v>42</v>
      </c>
      <c r="L512" s="482" t="s">
        <v>42</v>
      </c>
      <c r="M512" s="68" t="s">
        <v>43</v>
      </c>
      <c r="N512" s="396">
        <v>23.989049999999999</v>
      </c>
      <c r="O512" s="396">
        <v>97.225311000000005</v>
      </c>
      <c r="P512" s="396" t="s">
        <v>757</v>
      </c>
      <c r="Q512" s="68" t="s">
        <v>758</v>
      </c>
      <c r="R512" s="486"/>
      <c r="S512" s="487"/>
      <c r="T512" s="101">
        <v>42849</v>
      </c>
      <c r="U512" s="401" t="s">
        <v>984</v>
      </c>
      <c r="W512" s="396"/>
    </row>
    <row r="513" spans="1:23" s="68" customFormat="1" ht="14.25" customHeight="1">
      <c r="A513" s="482" t="s">
        <v>36</v>
      </c>
      <c r="B513" s="482" t="s">
        <v>37</v>
      </c>
      <c r="C513" s="482" t="s">
        <v>994</v>
      </c>
      <c r="D513" s="431" t="s">
        <v>1657</v>
      </c>
      <c r="E513" s="68" t="s">
        <v>1471</v>
      </c>
      <c r="F513" s="68" t="s">
        <v>1698</v>
      </c>
      <c r="G513" s="68" t="s">
        <v>1699</v>
      </c>
      <c r="H513" s="396"/>
      <c r="I513" s="68">
        <v>0</v>
      </c>
      <c r="J513" s="68" t="s">
        <v>42</v>
      </c>
      <c r="K513" s="396" t="s">
        <v>42</v>
      </c>
      <c r="L513" s="482" t="s">
        <v>756</v>
      </c>
      <c r="M513" s="68" t="s">
        <v>43</v>
      </c>
      <c r="N513" s="396">
        <v>24.181640000000002</v>
      </c>
      <c r="O513" s="396">
        <v>97.710989999999995</v>
      </c>
      <c r="P513" s="482" t="s">
        <v>757</v>
      </c>
      <c r="Q513" s="68" t="s">
        <v>776</v>
      </c>
      <c r="R513" s="399"/>
      <c r="S513" s="487"/>
      <c r="T513" s="101"/>
      <c r="U513" s="97" t="s">
        <v>995</v>
      </c>
      <c r="V513" s="68" t="s">
        <v>994</v>
      </c>
      <c r="W513" s="482" t="s">
        <v>2140</v>
      </c>
    </row>
    <row r="514" spans="1:23" s="68" customFormat="1" ht="14.25" customHeight="1">
      <c r="A514" s="482" t="s">
        <v>36</v>
      </c>
      <c r="B514" s="482" t="s">
        <v>37</v>
      </c>
      <c r="C514" s="482" t="s">
        <v>996</v>
      </c>
      <c r="D514" s="431" t="s">
        <v>1657</v>
      </c>
      <c r="E514" s="68" t="s">
        <v>1472</v>
      </c>
      <c r="F514" s="68" t="s">
        <v>1698</v>
      </c>
      <c r="G514" s="68" t="s">
        <v>1699</v>
      </c>
      <c r="H514" s="396"/>
      <c r="I514" s="396">
        <v>0</v>
      </c>
      <c r="J514" s="68" t="s">
        <v>42</v>
      </c>
      <c r="K514" s="68" t="s">
        <v>42</v>
      </c>
      <c r="L514" s="482" t="s">
        <v>756</v>
      </c>
      <c r="M514" s="68" t="s">
        <v>43</v>
      </c>
      <c r="N514" s="396">
        <v>24.181640000000002</v>
      </c>
      <c r="O514" s="396">
        <v>97.710989999999995</v>
      </c>
      <c r="P514" s="482" t="s">
        <v>757</v>
      </c>
      <c r="R514" s="486"/>
      <c r="S514" s="487"/>
      <c r="T514" s="101"/>
      <c r="U514" s="488"/>
      <c r="V514" s="68" t="s">
        <v>996</v>
      </c>
      <c r="W514" s="482" t="s">
        <v>2140</v>
      </c>
    </row>
    <row r="515" spans="1:23" s="68" customFormat="1" ht="14.25" customHeight="1">
      <c r="A515" s="482" t="s">
        <v>36</v>
      </c>
      <c r="B515" s="482" t="s">
        <v>37</v>
      </c>
      <c r="C515" s="482" t="s">
        <v>288</v>
      </c>
      <c r="D515" s="431" t="s">
        <v>2817</v>
      </c>
      <c r="E515" s="68" t="s">
        <v>1448</v>
      </c>
      <c r="F515" s="68" t="s">
        <v>1678</v>
      </c>
      <c r="G515" s="68" t="s">
        <v>1678</v>
      </c>
      <c r="H515" s="396" t="s">
        <v>40</v>
      </c>
      <c r="I515" s="68" t="s">
        <v>131</v>
      </c>
      <c r="J515" s="68" t="s">
        <v>42</v>
      </c>
      <c r="K515" s="68" t="s">
        <v>42</v>
      </c>
      <c r="L515" s="482" t="s">
        <v>42</v>
      </c>
      <c r="M515" s="68" t="s">
        <v>43</v>
      </c>
      <c r="N515" s="396">
        <v>23.83013</v>
      </c>
      <c r="O515" s="396">
        <v>97.589979999999997</v>
      </c>
      <c r="P515" s="482" t="s">
        <v>757</v>
      </c>
      <c r="Q515" s="68" t="s">
        <v>776</v>
      </c>
      <c r="R515" s="486">
        <v>127</v>
      </c>
      <c r="S515" s="486">
        <v>653</v>
      </c>
      <c r="T515" s="101"/>
      <c r="U515" s="488"/>
      <c r="V515" s="68" t="s">
        <v>288</v>
      </c>
      <c r="W515" s="482"/>
    </row>
    <row r="516" spans="1:23" s="68" customFormat="1" ht="14.25" customHeight="1">
      <c r="A516" s="482" t="s">
        <v>36</v>
      </c>
      <c r="B516" s="482" t="s">
        <v>37</v>
      </c>
      <c r="C516" s="482" t="s">
        <v>1110</v>
      </c>
      <c r="D516" s="431" t="s">
        <v>1656</v>
      </c>
      <c r="H516" s="396"/>
      <c r="I516" s="396"/>
      <c r="J516" s="68" t="s">
        <v>42</v>
      </c>
      <c r="K516" s="396" t="s">
        <v>42</v>
      </c>
      <c r="L516" s="396" t="s">
        <v>756</v>
      </c>
      <c r="M516" s="68" t="s">
        <v>43</v>
      </c>
      <c r="N516" s="396"/>
      <c r="O516" s="396"/>
      <c r="P516" s="482" t="s">
        <v>757</v>
      </c>
      <c r="R516" s="486"/>
      <c r="S516" s="487"/>
      <c r="T516" s="101"/>
      <c r="U516" s="97"/>
      <c r="W516" s="396"/>
    </row>
    <row r="517" spans="1:23" s="68" customFormat="1" ht="14.25" customHeight="1">
      <c r="A517" s="482" t="s">
        <v>36</v>
      </c>
      <c r="B517" s="482" t="s">
        <v>37</v>
      </c>
      <c r="C517" s="482" t="s">
        <v>290</v>
      </c>
      <c r="D517" s="431" t="s">
        <v>2817</v>
      </c>
      <c r="E517" s="396" t="s">
        <v>1447</v>
      </c>
      <c r="F517" s="396" t="s">
        <v>1678</v>
      </c>
      <c r="G517" s="396" t="s">
        <v>1678</v>
      </c>
      <c r="H517" s="396" t="s">
        <v>40</v>
      </c>
      <c r="I517" s="396" t="s">
        <v>131</v>
      </c>
      <c r="J517" s="396" t="s">
        <v>42</v>
      </c>
      <c r="K517" s="482" t="s">
        <v>42</v>
      </c>
      <c r="L517" s="482" t="s">
        <v>42</v>
      </c>
      <c r="M517" s="396" t="s">
        <v>43</v>
      </c>
      <c r="N517" s="396">
        <v>23.829599000000002</v>
      </c>
      <c r="O517" s="396">
        <v>97.590767</v>
      </c>
      <c r="P517" s="482" t="s">
        <v>757</v>
      </c>
      <c r="Q517" s="396" t="s">
        <v>776</v>
      </c>
      <c r="R517" s="486">
        <v>156</v>
      </c>
      <c r="S517" s="486">
        <v>650</v>
      </c>
      <c r="T517" s="412"/>
      <c r="U517" s="488"/>
      <c r="V517" s="396" t="s">
        <v>974</v>
      </c>
      <c r="W517" s="482"/>
    </row>
    <row r="518" spans="1:23" s="68" customFormat="1" ht="14.25" customHeight="1">
      <c r="A518" s="482" t="s">
        <v>36</v>
      </c>
      <c r="B518" s="482" t="s">
        <v>37</v>
      </c>
      <c r="C518" s="482" t="s">
        <v>291</v>
      </c>
      <c r="D518" s="431" t="s">
        <v>2817</v>
      </c>
      <c r="E518" s="68" t="s">
        <v>1450</v>
      </c>
      <c r="F518" s="68" t="s">
        <v>1678</v>
      </c>
      <c r="G518" s="68" t="s">
        <v>1678</v>
      </c>
      <c r="H518" s="68" t="s">
        <v>40</v>
      </c>
      <c r="I518" s="68" t="s">
        <v>41</v>
      </c>
      <c r="J518" s="68" t="s">
        <v>42</v>
      </c>
      <c r="K518" s="68" t="s">
        <v>42</v>
      </c>
      <c r="L518" s="482" t="s">
        <v>42</v>
      </c>
      <c r="M518" s="68" t="s">
        <v>43</v>
      </c>
      <c r="N518" s="396">
        <v>23.835319999999999</v>
      </c>
      <c r="O518" s="396">
        <v>97.578490000000002</v>
      </c>
      <c r="P518" s="482" t="s">
        <v>757</v>
      </c>
      <c r="Q518" s="68" t="s">
        <v>776</v>
      </c>
      <c r="R518" s="95">
        <v>437</v>
      </c>
      <c r="S518" s="486">
        <v>2316</v>
      </c>
      <c r="T518" s="101"/>
      <c r="U518" s="488"/>
      <c r="V518" s="68" t="s">
        <v>291</v>
      </c>
      <c r="W518" s="482"/>
    </row>
    <row r="519" spans="1:23" s="68" customFormat="1" ht="14.25" customHeight="1">
      <c r="A519" s="482" t="s">
        <v>36</v>
      </c>
      <c r="B519" s="482" t="s">
        <v>37</v>
      </c>
      <c r="C519" s="482" t="s">
        <v>292</v>
      </c>
      <c r="D519" s="431" t="s">
        <v>2817</v>
      </c>
      <c r="E519" s="68" t="s">
        <v>1449</v>
      </c>
      <c r="F519" s="68" t="s">
        <v>1678</v>
      </c>
      <c r="G519" s="68" t="s">
        <v>1678</v>
      </c>
      <c r="H519" s="396" t="s">
        <v>40</v>
      </c>
      <c r="I519" s="396" t="s">
        <v>41</v>
      </c>
      <c r="J519" s="68" t="s">
        <v>42</v>
      </c>
      <c r="K519" s="68" t="s">
        <v>42</v>
      </c>
      <c r="L519" s="68" t="s">
        <v>42</v>
      </c>
      <c r="M519" s="68" t="s">
        <v>43</v>
      </c>
      <c r="N519" s="396">
        <v>23.833477999999999</v>
      </c>
      <c r="O519" s="396">
        <v>97.578367</v>
      </c>
      <c r="P519" s="482" t="s">
        <v>757</v>
      </c>
      <c r="Q519" s="68" t="s">
        <v>776</v>
      </c>
      <c r="R519" s="486">
        <v>138</v>
      </c>
      <c r="S519" s="486">
        <v>732</v>
      </c>
      <c r="T519" s="101"/>
      <c r="U519" s="97"/>
      <c r="V519" s="68" t="s">
        <v>975</v>
      </c>
      <c r="W519" s="482"/>
    </row>
    <row r="520" spans="1:23" s="68" customFormat="1" ht="14.25" customHeight="1">
      <c r="A520" s="482" t="s">
        <v>36</v>
      </c>
      <c r="B520" s="482" t="s">
        <v>37</v>
      </c>
      <c r="C520" s="482" t="s">
        <v>1111</v>
      </c>
      <c r="D520" s="431" t="s">
        <v>1656</v>
      </c>
      <c r="H520" s="396"/>
      <c r="J520" s="68" t="s">
        <v>1460</v>
      </c>
      <c r="K520" s="68" t="s">
        <v>42</v>
      </c>
      <c r="L520" s="68" t="s">
        <v>1095</v>
      </c>
      <c r="M520" s="68" t="s">
        <v>43</v>
      </c>
      <c r="N520" s="396"/>
      <c r="O520" s="396"/>
      <c r="P520" s="396" t="s">
        <v>757</v>
      </c>
      <c r="Q520" s="68" t="s">
        <v>776</v>
      </c>
      <c r="R520" s="486"/>
      <c r="S520" s="487"/>
      <c r="T520" s="101"/>
      <c r="U520" s="97" t="s">
        <v>1091</v>
      </c>
      <c r="V520" s="68" t="s">
        <v>1111</v>
      </c>
      <c r="W520" s="482"/>
    </row>
    <row r="521" spans="1:23" s="68" customFormat="1" ht="14.25" customHeight="1">
      <c r="A521" s="482" t="s">
        <v>36</v>
      </c>
      <c r="B521" s="482" t="s">
        <v>37</v>
      </c>
      <c r="C521" s="482" t="s">
        <v>973</v>
      </c>
      <c r="D521" s="431" t="s">
        <v>2817</v>
      </c>
      <c r="E521" s="68" t="s">
        <v>1444</v>
      </c>
      <c r="F521" s="68" t="s">
        <v>1678</v>
      </c>
      <c r="G521" s="68" t="s">
        <v>1678</v>
      </c>
      <c r="H521" s="396"/>
      <c r="I521" s="396" t="s">
        <v>2116</v>
      </c>
      <c r="J521" s="68" t="s">
        <v>42</v>
      </c>
      <c r="K521" s="68" t="s">
        <v>42</v>
      </c>
      <c r="L521" s="396" t="s">
        <v>768</v>
      </c>
      <c r="M521" s="68" t="s">
        <v>43</v>
      </c>
      <c r="N521" s="396">
        <v>23.827870999999998</v>
      </c>
      <c r="O521" s="396">
        <v>97.588291999999996</v>
      </c>
      <c r="P521" s="482" t="s">
        <v>769</v>
      </c>
      <c r="Q521" s="68" t="s">
        <v>758</v>
      </c>
      <c r="R521" s="399">
        <v>175</v>
      </c>
      <c r="S521" s="399">
        <v>834</v>
      </c>
      <c r="T521" s="101"/>
      <c r="U521" s="488"/>
      <c r="V521" s="68" t="s">
        <v>973</v>
      </c>
      <c r="W521" s="482"/>
    </row>
    <row r="522" spans="1:23" s="68" customFormat="1" ht="14.25" customHeight="1">
      <c r="A522" s="396" t="s">
        <v>36</v>
      </c>
      <c r="B522" s="396" t="s">
        <v>37</v>
      </c>
      <c r="C522" s="396" t="s">
        <v>183</v>
      </c>
      <c r="D522" s="431" t="s">
        <v>2817</v>
      </c>
      <c r="E522" s="68" t="s">
        <v>1470</v>
      </c>
      <c r="F522" s="68" t="s">
        <v>1773</v>
      </c>
      <c r="G522" s="68" t="s">
        <v>1774</v>
      </c>
      <c r="H522" s="396" t="s">
        <v>40</v>
      </c>
      <c r="I522" s="396" t="s">
        <v>131</v>
      </c>
      <c r="J522" s="68" t="s">
        <v>42</v>
      </c>
      <c r="K522" s="68" t="s">
        <v>42</v>
      </c>
      <c r="L522" s="68" t="s">
        <v>42</v>
      </c>
      <c r="M522" s="68" t="s">
        <v>43</v>
      </c>
      <c r="N522" s="396">
        <v>24.129059999999999</v>
      </c>
      <c r="O522" s="396">
        <v>97.291820000000001</v>
      </c>
      <c r="P522" s="68" t="s">
        <v>757</v>
      </c>
      <c r="Q522" s="68" t="s">
        <v>776</v>
      </c>
      <c r="R522" s="399">
        <v>190</v>
      </c>
      <c r="S522" s="486">
        <v>853</v>
      </c>
      <c r="T522" s="101"/>
      <c r="U522" s="97"/>
      <c r="V522" s="68" t="s">
        <v>183</v>
      </c>
      <c r="W522" s="482"/>
    </row>
    <row r="523" spans="1:23" s="68" customFormat="1" ht="14.25" customHeight="1">
      <c r="A523" s="482" t="s">
        <v>36</v>
      </c>
      <c r="B523" s="482" t="s">
        <v>37</v>
      </c>
      <c r="C523" s="482" t="s">
        <v>991</v>
      </c>
      <c r="D523" s="431" t="s">
        <v>2817</v>
      </c>
      <c r="E523" s="68" t="s">
        <v>1469</v>
      </c>
      <c r="H523" s="396"/>
      <c r="I523" s="396" t="s">
        <v>2116</v>
      </c>
      <c r="J523" s="68" t="s">
        <v>42</v>
      </c>
      <c r="K523" s="68" t="s">
        <v>42</v>
      </c>
      <c r="L523" s="482" t="s">
        <v>768</v>
      </c>
      <c r="M523" s="68" t="s">
        <v>43</v>
      </c>
      <c r="N523" s="396">
        <v>24.118618999999999</v>
      </c>
      <c r="O523" s="396">
        <v>97.298055000000005</v>
      </c>
      <c r="P523" s="482" t="s">
        <v>769</v>
      </c>
      <c r="Q523" s="68" t="s">
        <v>758</v>
      </c>
      <c r="R523" s="399">
        <v>67</v>
      </c>
      <c r="S523" s="486">
        <v>324</v>
      </c>
      <c r="T523" s="101"/>
      <c r="U523" s="488" t="s">
        <v>992</v>
      </c>
      <c r="V523" s="68" t="s">
        <v>993</v>
      </c>
      <c r="W523" s="482"/>
    </row>
    <row r="524" spans="1:23" s="68" customFormat="1" ht="14.25" customHeight="1">
      <c r="A524" s="482" t="s">
        <v>36</v>
      </c>
      <c r="B524" s="482" t="s">
        <v>37</v>
      </c>
      <c r="C524" s="482" t="s">
        <v>997</v>
      </c>
      <c r="D524" s="431" t="s">
        <v>1657</v>
      </c>
      <c r="E524" s="68" t="s">
        <v>1479</v>
      </c>
      <c r="F524" s="68" t="s">
        <v>1700</v>
      </c>
      <c r="G524" s="68">
        <v>0</v>
      </c>
      <c r="I524" s="68">
        <v>0</v>
      </c>
      <c r="J524" s="68" t="s">
        <v>42</v>
      </c>
      <c r="K524" s="68" t="s">
        <v>42</v>
      </c>
      <c r="L524" s="68" t="s">
        <v>756</v>
      </c>
      <c r="M524" s="68" t="s">
        <v>774</v>
      </c>
      <c r="N524" s="396">
        <v>24.20645</v>
      </c>
      <c r="O524" s="396">
        <v>96.808850000000007</v>
      </c>
      <c r="P524" s="482" t="s">
        <v>757</v>
      </c>
      <c r="R524" s="486"/>
      <c r="S524" s="487"/>
      <c r="T524" s="101"/>
      <c r="U524" s="97"/>
      <c r="V524" s="68" t="s">
        <v>997</v>
      </c>
      <c r="W524" s="482" t="s">
        <v>2118</v>
      </c>
    </row>
    <row r="525" spans="1:23" s="68" customFormat="1" ht="14.25" customHeight="1">
      <c r="A525" s="396" t="s">
        <v>36</v>
      </c>
      <c r="B525" s="396" t="s">
        <v>37</v>
      </c>
      <c r="C525" s="396" t="s">
        <v>773</v>
      </c>
      <c r="D525" s="431" t="s">
        <v>1657</v>
      </c>
      <c r="E525" s="396" t="s">
        <v>1333</v>
      </c>
      <c r="F525" s="396" t="s">
        <v>1678</v>
      </c>
      <c r="G525" s="396">
        <v>0</v>
      </c>
      <c r="H525" s="396"/>
      <c r="I525" s="396">
        <v>0</v>
      </c>
      <c r="J525" s="68" t="s">
        <v>42</v>
      </c>
      <c r="K525" s="68" t="s">
        <v>42</v>
      </c>
      <c r="L525" s="396" t="s">
        <v>756</v>
      </c>
      <c r="M525" s="68" t="s">
        <v>774</v>
      </c>
      <c r="N525" s="396"/>
      <c r="O525" s="396"/>
      <c r="P525" s="396" t="s">
        <v>757</v>
      </c>
      <c r="R525" s="399"/>
      <c r="S525" s="487"/>
      <c r="T525" s="101"/>
      <c r="U525" s="401"/>
      <c r="V525" s="396" t="s">
        <v>773</v>
      </c>
      <c r="W525" s="482" t="s">
        <v>2141</v>
      </c>
    </row>
    <row r="526" spans="1:23" s="68" customFormat="1" ht="14.25" customHeight="1">
      <c r="A526" s="482" t="s">
        <v>36</v>
      </c>
      <c r="B526" s="482" t="s">
        <v>37</v>
      </c>
      <c r="C526" s="482" t="s">
        <v>971</v>
      </c>
      <c r="D526" s="431" t="s">
        <v>1657</v>
      </c>
      <c r="E526" s="68" t="s">
        <v>1441</v>
      </c>
      <c r="F526" s="68" t="s">
        <v>1680</v>
      </c>
      <c r="G526" s="68">
        <v>0</v>
      </c>
      <c r="H526" s="396"/>
      <c r="I526" s="396">
        <v>0</v>
      </c>
      <c r="J526" s="68" t="s">
        <v>42</v>
      </c>
      <c r="K526" s="68" t="s">
        <v>42</v>
      </c>
      <c r="L526" s="68" t="s">
        <v>756</v>
      </c>
      <c r="M526" s="68" t="s">
        <v>774</v>
      </c>
      <c r="N526" s="396">
        <v>23.75817</v>
      </c>
      <c r="O526" s="396">
        <v>97.132339999999999</v>
      </c>
      <c r="P526" s="482" t="s">
        <v>757</v>
      </c>
      <c r="R526" s="399"/>
      <c r="S526" s="487"/>
      <c r="T526" s="101"/>
      <c r="U526" s="488"/>
      <c r="V526" s="68" t="s">
        <v>971</v>
      </c>
      <c r="W526" s="482" t="s">
        <v>2118</v>
      </c>
    </row>
    <row r="527" spans="1:23" s="68" customFormat="1" ht="14.25" customHeight="1">
      <c r="A527" s="482" t="s">
        <v>36</v>
      </c>
      <c r="B527" s="482" t="s">
        <v>37</v>
      </c>
      <c r="C527" s="482" t="s">
        <v>777</v>
      </c>
      <c r="D527" s="431" t="s">
        <v>1657</v>
      </c>
      <c r="E527" s="68" t="s">
        <v>1336</v>
      </c>
      <c r="F527" s="68" t="s">
        <v>1680</v>
      </c>
      <c r="G527" s="68">
        <v>0</v>
      </c>
      <c r="I527" s="68">
        <v>0</v>
      </c>
      <c r="J527" s="68" t="s">
        <v>42</v>
      </c>
      <c r="K527" s="482" t="s">
        <v>42</v>
      </c>
      <c r="L527" s="482" t="s">
        <v>756</v>
      </c>
      <c r="M527" s="68" t="s">
        <v>774</v>
      </c>
      <c r="N527" s="396"/>
      <c r="O527" s="396"/>
      <c r="P527" s="68" t="s">
        <v>757</v>
      </c>
      <c r="R527" s="486"/>
      <c r="S527" s="487"/>
      <c r="T527" s="101"/>
      <c r="U527" s="97"/>
      <c r="V527" s="68" t="s">
        <v>777</v>
      </c>
      <c r="W527" s="396" t="s">
        <v>2118</v>
      </c>
    </row>
    <row r="528" spans="1:23" s="68" customFormat="1" ht="14.25" customHeight="1">
      <c r="A528" s="482" t="s">
        <v>36</v>
      </c>
      <c r="B528" s="482" t="s">
        <v>37</v>
      </c>
      <c r="C528" s="482" t="s">
        <v>972</v>
      </c>
      <c r="D528" s="431" t="s">
        <v>1657</v>
      </c>
      <c r="E528" s="396" t="s">
        <v>1442</v>
      </c>
      <c r="F528" s="396" t="s">
        <v>1680</v>
      </c>
      <c r="G528" s="396">
        <v>0</v>
      </c>
      <c r="H528" s="396"/>
      <c r="I528" s="396">
        <v>0</v>
      </c>
      <c r="J528" s="68" t="s">
        <v>42</v>
      </c>
      <c r="K528" s="482" t="s">
        <v>42</v>
      </c>
      <c r="L528" s="482" t="s">
        <v>756</v>
      </c>
      <c r="M528" s="68" t="s">
        <v>774</v>
      </c>
      <c r="N528" s="68">
        <v>23.75817</v>
      </c>
      <c r="O528" s="68">
        <v>97.132339999999999</v>
      </c>
      <c r="P528" s="396" t="s">
        <v>757</v>
      </c>
      <c r="R528" s="486"/>
      <c r="S528" s="400"/>
      <c r="T528" s="101"/>
      <c r="U528" s="401"/>
      <c r="V528" s="396" t="s">
        <v>972</v>
      </c>
      <c r="W528" s="482" t="s">
        <v>2142</v>
      </c>
    </row>
    <row r="529" spans="1:23" s="68" customFormat="1" ht="14.25" customHeight="1">
      <c r="A529" s="396" t="s">
        <v>36</v>
      </c>
      <c r="B529" s="484" t="s">
        <v>37</v>
      </c>
      <c r="C529" s="484" t="s">
        <v>785</v>
      </c>
      <c r="D529" s="431" t="s">
        <v>1657</v>
      </c>
      <c r="E529" s="396" t="s">
        <v>1341</v>
      </c>
      <c r="F529" s="396">
        <v>0</v>
      </c>
      <c r="G529" s="396">
        <v>0</v>
      </c>
      <c r="H529" s="396"/>
      <c r="I529" s="396">
        <v>0</v>
      </c>
      <c r="J529" s="68" t="s">
        <v>42</v>
      </c>
      <c r="K529" s="68" t="s">
        <v>42</v>
      </c>
      <c r="L529" s="396" t="s">
        <v>756</v>
      </c>
      <c r="M529" s="68" t="s">
        <v>43</v>
      </c>
      <c r="N529" s="396"/>
      <c r="O529" s="396"/>
      <c r="P529" s="396" t="s">
        <v>757</v>
      </c>
      <c r="R529" s="399"/>
      <c r="S529" s="487"/>
      <c r="T529" s="101"/>
      <c r="U529" s="401"/>
      <c r="V529" s="396"/>
      <c r="W529" s="482" t="s">
        <v>2143</v>
      </c>
    </row>
    <row r="530" spans="1:23" s="396" customFormat="1" ht="14.25" customHeight="1">
      <c r="A530" s="396" t="s">
        <v>36</v>
      </c>
      <c r="B530" s="484" t="s">
        <v>37</v>
      </c>
      <c r="C530" s="484" t="s">
        <v>129</v>
      </c>
      <c r="D530" s="431" t="s">
        <v>1656</v>
      </c>
      <c r="J530" s="396" t="s">
        <v>1460</v>
      </c>
      <c r="K530" s="396" t="s">
        <v>42</v>
      </c>
      <c r="L530" s="396" t="s">
        <v>42</v>
      </c>
      <c r="M530" s="396" t="s">
        <v>43</v>
      </c>
      <c r="P530" s="396" t="s">
        <v>757</v>
      </c>
      <c r="Q530" s="396" t="s">
        <v>776</v>
      </c>
      <c r="R530" s="399"/>
      <c r="S530" s="487"/>
      <c r="T530" s="412">
        <v>42747</v>
      </c>
      <c r="U530" s="401" t="s">
        <v>1091</v>
      </c>
      <c r="W530" s="482"/>
    </row>
    <row r="531" spans="1:23" s="68" customFormat="1" ht="14.25" customHeight="1">
      <c r="A531" s="491" t="s">
        <v>36</v>
      </c>
      <c r="B531" s="490" t="s">
        <v>142</v>
      </c>
      <c r="C531" s="484" t="s">
        <v>1946</v>
      </c>
      <c r="D531" s="431" t="s">
        <v>2817</v>
      </c>
      <c r="E531" s="68" t="s">
        <v>1952</v>
      </c>
      <c r="I531" s="396" t="s">
        <v>2116</v>
      </c>
      <c r="J531" s="68" t="s">
        <v>42</v>
      </c>
      <c r="K531" s="482" t="s">
        <v>42</v>
      </c>
      <c r="L531" s="482" t="s">
        <v>772</v>
      </c>
      <c r="M531" s="68" t="s">
        <v>43</v>
      </c>
      <c r="N531" s="396"/>
      <c r="O531" s="396"/>
      <c r="P531" s="484" t="s">
        <v>757</v>
      </c>
      <c r="Q531" s="68" t="s">
        <v>1930</v>
      </c>
      <c r="R531" s="486">
        <v>6</v>
      </c>
      <c r="S531" s="486">
        <v>32</v>
      </c>
      <c r="T531" s="101">
        <v>43276</v>
      </c>
      <c r="U531" s="97" t="s">
        <v>1978</v>
      </c>
      <c r="W531" s="391" t="s">
        <v>2251</v>
      </c>
    </row>
    <row r="532" spans="1:23" s="68" customFormat="1" ht="14.25" customHeight="1">
      <c r="A532" s="482" t="s">
        <v>36</v>
      </c>
      <c r="B532" s="482" t="s">
        <v>142</v>
      </c>
      <c r="C532" s="482" t="s">
        <v>143</v>
      </c>
      <c r="D532" s="431" t="s">
        <v>2817</v>
      </c>
      <c r="E532" s="68" t="s">
        <v>1534</v>
      </c>
      <c r="F532" s="68" t="s">
        <v>1733</v>
      </c>
      <c r="G532" s="68" t="s">
        <v>1808</v>
      </c>
      <c r="H532" s="396" t="s">
        <v>40</v>
      </c>
      <c r="I532" s="396" t="s">
        <v>131</v>
      </c>
      <c r="J532" s="68" t="s">
        <v>42</v>
      </c>
      <c r="K532" s="68" t="s">
        <v>42</v>
      </c>
      <c r="L532" s="68" t="s">
        <v>42</v>
      </c>
      <c r="M532" s="68" t="s">
        <v>43</v>
      </c>
      <c r="N532" s="396">
        <v>25.305669999999999</v>
      </c>
      <c r="O532" s="396">
        <v>96.922619999999995</v>
      </c>
      <c r="P532" s="482" t="s">
        <v>757</v>
      </c>
      <c r="Q532" s="68" t="s">
        <v>776</v>
      </c>
      <c r="R532" s="486">
        <v>13</v>
      </c>
      <c r="S532" s="486">
        <v>72</v>
      </c>
      <c r="T532" s="101"/>
      <c r="U532" s="97"/>
      <c r="V532" s="68" t="s">
        <v>143</v>
      </c>
      <c r="W532" s="396"/>
    </row>
    <row r="533" spans="1:23" s="68" customFormat="1" ht="14.25" customHeight="1">
      <c r="A533" s="491" t="s">
        <v>36</v>
      </c>
      <c r="B533" s="490" t="s">
        <v>142</v>
      </c>
      <c r="C533" s="491" t="s">
        <v>1975</v>
      </c>
      <c r="D533" s="485"/>
      <c r="I533" s="396"/>
      <c r="J533" s="68" t="s">
        <v>1460</v>
      </c>
      <c r="K533" s="484" t="s">
        <v>42</v>
      </c>
      <c r="L533" s="484" t="s">
        <v>772</v>
      </c>
      <c r="P533" s="482" t="s">
        <v>1974</v>
      </c>
      <c r="Q533" s="68" t="s">
        <v>1930</v>
      </c>
      <c r="R533" s="494"/>
      <c r="S533" s="487"/>
      <c r="T533" s="101">
        <v>43285</v>
      </c>
      <c r="U533" s="97" t="s">
        <v>1980</v>
      </c>
      <c r="W533" s="482"/>
    </row>
    <row r="534" spans="1:23" s="68" customFormat="1" ht="14.25" customHeight="1">
      <c r="A534" s="491" t="s">
        <v>36</v>
      </c>
      <c r="B534" s="490" t="s">
        <v>142</v>
      </c>
      <c r="C534" s="484" t="s">
        <v>1945</v>
      </c>
      <c r="D534" s="431" t="s">
        <v>2817</v>
      </c>
      <c r="E534" s="68" t="s">
        <v>1950</v>
      </c>
      <c r="I534" s="396" t="s">
        <v>1325</v>
      </c>
      <c r="J534" s="68" t="s">
        <v>42</v>
      </c>
      <c r="K534" s="68" t="s">
        <v>42</v>
      </c>
      <c r="L534" s="484" t="s">
        <v>42</v>
      </c>
      <c r="M534" s="68" t="s">
        <v>43</v>
      </c>
      <c r="N534" s="396">
        <v>97.013800000000003</v>
      </c>
      <c r="O534" s="396">
        <v>25.383465999999999</v>
      </c>
      <c r="P534" s="484" t="s">
        <v>757</v>
      </c>
      <c r="Q534" s="396" t="s">
        <v>1930</v>
      </c>
      <c r="R534" s="399">
        <v>76</v>
      </c>
      <c r="S534" s="486">
        <v>381</v>
      </c>
      <c r="T534" s="412">
        <v>43276</v>
      </c>
      <c r="U534" s="97" t="s">
        <v>2209</v>
      </c>
      <c r="W534" s="391" t="s">
        <v>2252</v>
      </c>
    </row>
    <row r="535" spans="1:23" s="68" customFormat="1" ht="14.25" customHeight="1">
      <c r="A535" s="491" t="s">
        <v>36</v>
      </c>
      <c r="B535" s="490" t="s">
        <v>142</v>
      </c>
      <c r="C535" s="484" t="s">
        <v>1933</v>
      </c>
      <c r="D535" s="485"/>
      <c r="H535" s="396"/>
      <c r="I535" s="396"/>
      <c r="J535" s="68" t="s">
        <v>1460</v>
      </c>
      <c r="K535" s="396" t="s">
        <v>42</v>
      </c>
      <c r="L535" s="396" t="s">
        <v>42</v>
      </c>
      <c r="M535" s="68" t="s">
        <v>43</v>
      </c>
      <c r="N535" s="396"/>
      <c r="O535" s="396"/>
      <c r="P535" s="482" t="s">
        <v>757</v>
      </c>
      <c r="Q535" s="68" t="s">
        <v>1930</v>
      </c>
      <c r="R535" s="494"/>
      <c r="S535" s="487"/>
      <c r="T535" s="101">
        <v>43270</v>
      </c>
      <c r="U535" s="97"/>
      <c r="W535" s="396"/>
    </row>
    <row r="536" spans="1:23" s="68" customFormat="1" ht="14.25" customHeight="1">
      <c r="A536" s="491" t="s">
        <v>36</v>
      </c>
      <c r="B536" s="490" t="s">
        <v>142</v>
      </c>
      <c r="C536" s="484" t="s">
        <v>1932</v>
      </c>
      <c r="D536" s="485"/>
      <c r="J536" s="68" t="s">
        <v>1460</v>
      </c>
      <c r="K536" s="482" t="s">
        <v>42</v>
      </c>
      <c r="L536" s="482" t="s">
        <v>42</v>
      </c>
      <c r="M536" s="68" t="s">
        <v>43</v>
      </c>
      <c r="P536" s="482" t="s">
        <v>757</v>
      </c>
      <c r="Q536" s="396" t="s">
        <v>1930</v>
      </c>
      <c r="R536" s="494"/>
      <c r="S536" s="487"/>
      <c r="T536" s="412">
        <v>43270</v>
      </c>
      <c r="U536" s="97"/>
      <c r="W536" s="482"/>
    </row>
    <row r="537" spans="1:23" s="68" customFormat="1" ht="14.25" customHeight="1">
      <c r="A537" s="396" t="s">
        <v>36</v>
      </c>
      <c r="B537" s="396" t="s">
        <v>142</v>
      </c>
      <c r="C537" s="396" t="s">
        <v>2110</v>
      </c>
      <c r="D537" s="431" t="s">
        <v>2817</v>
      </c>
      <c r="E537" s="68" t="s">
        <v>1530</v>
      </c>
      <c r="H537" s="68" t="s">
        <v>40</v>
      </c>
      <c r="I537" s="396" t="s">
        <v>131</v>
      </c>
      <c r="J537" s="68" t="s">
        <v>42</v>
      </c>
      <c r="K537" s="396" t="s">
        <v>42</v>
      </c>
      <c r="L537" s="396" t="s">
        <v>42</v>
      </c>
      <c r="M537" s="68" t="s">
        <v>43</v>
      </c>
      <c r="N537" s="68">
        <v>25.296579999999999</v>
      </c>
      <c r="O537" s="68">
        <v>96.942279999999997</v>
      </c>
      <c r="P537" s="68" t="s">
        <v>757</v>
      </c>
      <c r="Q537" s="68" t="s">
        <v>776</v>
      </c>
      <c r="R537" s="399">
        <v>15</v>
      </c>
      <c r="S537" s="486">
        <v>74</v>
      </c>
      <c r="T537" s="101"/>
      <c r="U537" s="97"/>
      <c r="V537" s="68" t="s">
        <v>144</v>
      </c>
      <c r="W537" s="396"/>
    </row>
    <row r="538" spans="1:23" s="68" customFormat="1" ht="14.25" customHeight="1">
      <c r="A538" s="396" t="s">
        <v>36</v>
      </c>
      <c r="B538" s="396" t="s">
        <v>142</v>
      </c>
      <c r="C538" s="396" t="s">
        <v>230</v>
      </c>
      <c r="D538" s="431" t="s">
        <v>1734</v>
      </c>
      <c r="E538" s="68" t="s">
        <v>1531</v>
      </c>
      <c r="F538" s="68" t="s">
        <v>1805</v>
      </c>
      <c r="G538" s="68" t="s">
        <v>1806</v>
      </c>
      <c r="H538" s="396"/>
      <c r="I538" s="396">
        <v>0</v>
      </c>
      <c r="J538" s="68" t="s">
        <v>42</v>
      </c>
      <c r="K538" s="396" t="s">
        <v>42</v>
      </c>
      <c r="L538" s="396" t="s">
        <v>756</v>
      </c>
      <c r="M538" s="68" t="s">
        <v>43</v>
      </c>
      <c r="N538" s="396">
        <v>25.299679999999999</v>
      </c>
      <c r="O538" s="396">
        <v>96.942279999999997</v>
      </c>
      <c r="P538" s="396" t="s">
        <v>757</v>
      </c>
      <c r="Q538" s="68" t="s">
        <v>776</v>
      </c>
      <c r="R538" s="399"/>
      <c r="S538" s="487"/>
      <c r="T538" s="101">
        <v>42836</v>
      </c>
      <c r="U538" s="97" t="s">
        <v>2664</v>
      </c>
      <c r="V538" s="68" t="s">
        <v>230</v>
      </c>
      <c r="W538" s="391" t="s">
        <v>2144</v>
      </c>
    </row>
    <row r="539" spans="1:23" s="68" customFormat="1" ht="14.25" customHeight="1">
      <c r="A539" s="491" t="s">
        <v>36</v>
      </c>
      <c r="B539" s="490" t="s">
        <v>142</v>
      </c>
      <c r="C539" s="484" t="s">
        <v>1944</v>
      </c>
      <c r="D539" s="431" t="s">
        <v>2817</v>
      </c>
      <c r="E539" s="68" t="s">
        <v>1949</v>
      </c>
      <c r="H539" s="396"/>
      <c r="I539" s="68" t="s">
        <v>1325</v>
      </c>
      <c r="J539" s="68" t="s">
        <v>42</v>
      </c>
      <c r="K539" s="396" t="s">
        <v>42</v>
      </c>
      <c r="L539" s="484" t="s">
        <v>42</v>
      </c>
      <c r="M539" s="68" t="s">
        <v>43</v>
      </c>
      <c r="N539" s="396">
        <v>97.010629910000006</v>
      </c>
      <c r="O539" s="396">
        <v>25.37033053</v>
      </c>
      <c r="P539" s="484" t="s">
        <v>757</v>
      </c>
      <c r="Q539" s="68" t="s">
        <v>1930</v>
      </c>
      <c r="R539" s="399">
        <v>45</v>
      </c>
      <c r="S539" s="486">
        <v>235</v>
      </c>
      <c r="T539" s="101">
        <v>43276</v>
      </c>
      <c r="U539" s="492" t="s">
        <v>1979</v>
      </c>
      <c r="W539" s="391" t="s">
        <v>2252</v>
      </c>
    </row>
    <row r="540" spans="1:23" s="68" customFormat="1" ht="14.25" customHeight="1">
      <c r="A540" s="487" t="s">
        <v>36</v>
      </c>
      <c r="B540" s="490" t="s">
        <v>142</v>
      </c>
      <c r="C540" s="491" t="s">
        <v>2014</v>
      </c>
      <c r="D540" s="485"/>
      <c r="J540" s="68" t="s">
        <v>1460</v>
      </c>
      <c r="K540" s="396" t="s">
        <v>42</v>
      </c>
      <c r="L540" s="396" t="s">
        <v>772</v>
      </c>
      <c r="M540" s="68" t="s">
        <v>43</v>
      </c>
      <c r="P540" s="484" t="s">
        <v>1972</v>
      </c>
      <c r="R540" s="494"/>
      <c r="S540" s="487"/>
      <c r="T540" s="101">
        <v>43298</v>
      </c>
      <c r="U540" s="401"/>
      <c r="W540" s="396"/>
    </row>
    <row r="541" spans="1:23" s="68" customFormat="1" ht="14.25" customHeight="1">
      <c r="A541" s="396" t="s">
        <v>36</v>
      </c>
      <c r="B541" s="396" t="s">
        <v>142</v>
      </c>
      <c r="C541" s="396" t="s">
        <v>1118</v>
      </c>
      <c r="D541" s="431" t="s">
        <v>1657</v>
      </c>
      <c r="E541" s="68" t="s">
        <v>1959</v>
      </c>
      <c r="F541" s="68" t="s">
        <v>1733</v>
      </c>
      <c r="G541" s="68" t="s">
        <v>1118</v>
      </c>
      <c r="I541" s="68">
        <v>0</v>
      </c>
      <c r="J541" s="68" t="s">
        <v>42</v>
      </c>
      <c r="K541" s="396" t="s">
        <v>42</v>
      </c>
      <c r="L541" s="396" t="s">
        <v>756</v>
      </c>
      <c r="M541" s="68" t="s">
        <v>43</v>
      </c>
      <c r="N541" s="396"/>
      <c r="O541" s="396"/>
      <c r="P541" s="482" t="s">
        <v>757</v>
      </c>
      <c r="Q541" s="68" t="s">
        <v>922</v>
      </c>
      <c r="R541" s="399"/>
      <c r="S541" s="487"/>
      <c r="T541" s="101"/>
      <c r="U541" s="97" t="s">
        <v>1119</v>
      </c>
      <c r="W541" s="396" t="s">
        <v>2145</v>
      </c>
    </row>
    <row r="542" spans="1:23" s="68" customFormat="1" ht="14.25" customHeight="1">
      <c r="A542" s="491" t="s">
        <v>36</v>
      </c>
      <c r="B542" s="490" t="s">
        <v>142</v>
      </c>
      <c r="C542" s="484" t="s">
        <v>2109</v>
      </c>
      <c r="D542" s="431" t="s">
        <v>2817</v>
      </c>
      <c r="E542" s="482" t="s">
        <v>1951</v>
      </c>
      <c r="F542" s="482"/>
      <c r="G542" s="482"/>
      <c r="H542" s="482"/>
      <c r="I542" s="482" t="s">
        <v>131</v>
      </c>
      <c r="J542" s="482" t="s">
        <v>42</v>
      </c>
      <c r="K542" s="482" t="s">
        <v>42</v>
      </c>
      <c r="L542" s="482" t="s">
        <v>42</v>
      </c>
      <c r="M542" s="482" t="s">
        <v>43</v>
      </c>
      <c r="N542" s="482">
        <v>97.104997409999996</v>
      </c>
      <c r="O542" s="482">
        <v>25.379014999999999</v>
      </c>
      <c r="P542" s="484" t="s">
        <v>757</v>
      </c>
      <c r="Q542" s="482" t="s">
        <v>1930</v>
      </c>
      <c r="R542" s="486">
        <v>112</v>
      </c>
      <c r="S542" s="486">
        <v>487</v>
      </c>
      <c r="T542" s="506">
        <v>43276</v>
      </c>
      <c r="U542" s="492" t="s">
        <v>1979</v>
      </c>
      <c r="V542" s="482"/>
      <c r="W542" s="391" t="s">
        <v>2253</v>
      </c>
    </row>
    <row r="543" spans="1:23" s="68" customFormat="1" ht="14.25" customHeight="1">
      <c r="A543" s="396" t="s">
        <v>36</v>
      </c>
      <c r="B543" s="396" t="s">
        <v>142</v>
      </c>
      <c r="C543" s="396" t="s">
        <v>145</v>
      </c>
      <c r="D543" s="431" t="s">
        <v>2817</v>
      </c>
      <c r="E543" s="68" t="s">
        <v>1532</v>
      </c>
      <c r="F543" s="68" t="s">
        <v>1733</v>
      </c>
      <c r="G543" s="68" t="s">
        <v>1807</v>
      </c>
      <c r="H543" s="68" t="s">
        <v>40</v>
      </c>
      <c r="I543" s="396" t="s">
        <v>131</v>
      </c>
      <c r="J543" s="68" t="s">
        <v>42</v>
      </c>
      <c r="K543" s="396" t="s">
        <v>42</v>
      </c>
      <c r="L543" s="396" t="s">
        <v>42</v>
      </c>
      <c r="M543" s="68" t="s">
        <v>43</v>
      </c>
      <c r="N543" s="68">
        <v>25.30442</v>
      </c>
      <c r="O543" s="68">
        <v>96.948740000000001</v>
      </c>
      <c r="P543" s="396" t="s">
        <v>757</v>
      </c>
      <c r="Q543" s="68" t="s">
        <v>776</v>
      </c>
      <c r="R543" s="399">
        <v>10</v>
      </c>
      <c r="S543" s="486">
        <v>43</v>
      </c>
      <c r="T543" s="101"/>
      <c r="U543" s="97"/>
      <c r="V543" s="68" t="s">
        <v>145</v>
      </c>
      <c r="W543" s="396"/>
    </row>
    <row r="544" spans="1:23" s="68" customFormat="1" ht="14.25" customHeight="1">
      <c r="A544" s="396" t="s">
        <v>36</v>
      </c>
      <c r="B544" s="484" t="s">
        <v>142</v>
      </c>
      <c r="C544" s="484" t="s">
        <v>1036</v>
      </c>
      <c r="D544" s="431" t="s">
        <v>1657</v>
      </c>
      <c r="E544" s="68" t="s">
        <v>1527</v>
      </c>
      <c r="F544" s="68" t="s">
        <v>1715</v>
      </c>
      <c r="G544" s="68" t="s">
        <v>1715</v>
      </c>
      <c r="H544" s="396"/>
      <c r="I544" s="68">
        <v>0</v>
      </c>
      <c r="J544" s="68" t="s">
        <v>42</v>
      </c>
      <c r="K544" s="396" t="s">
        <v>42</v>
      </c>
      <c r="L544" s="396" t="s">
        <v>756</v>
      </c>
      <c r="M544" s="68" t="s">
        <v>43</v>
      </c>
      <c r="N544" s="396">
        <v>25.225000000000001</v>
      </c>
      <c r="O544" s="396">
        <v>96.793999999999997</v>
      </c>
      <c r="P544" s="396" t="s">
        <v>769</v>
      </c>
      <c r="Q544" s="68" t="s">
        <v>776</v>
      </c>
      <c r="R544" s="399"/>
      <c r="S544" s="487"/>
      <c r="T544" s="101">
        <v>42983</v>
      </c>
      <c r="U544" s="97" t="s">
        <v>1037</v>
      </c>
      <c r="V544" s="396" t="s">
        <v>1038</v>
      </c>
      <c r="W544" s="391" t="s">
        <v>2146</v>
      </c>
    </row>
    <row r="545" spans="1:23" s="68" customFormat="1" ht="14.25" customHeight="1">
      <c r="A545" s="396" t="s">
        <v>36</v>
      </c>
      <c r="B545" s="484" t="s">
        <v>142</v>
      </c>
      <c r="C545" s="484" t="s">
        <v>146</v>
      </c>
      <c r="D545" s="431" t="s">
        <v>2817</v>
      </c>
      <c r="E545" s="68" t="s">
        <v>1528</v>
      </c>
      <c r="F545" s="68" t="s">
        <v>1715</v>
      </c>
      <c r="G545" s="68" t="s">
        <v>1715</v>
      </c>
      <c r="H545" s="68" t="s">
        <v>40</v>
      </c>
      <c r="I545" s="68" t="s">
        <v>131</v>
      </c>
      <c r="J545" s="68" t="s">
        <v>42</v>
      </c>
      <c r="K545" s="396" t="s">
        <v>42</v>
      </c>
      <c r="L545" s="396" t="s">
        <v>42</v>
      </c>
      <c r="M545" s="68" t="s">
        <v>43</v>
      </c>
      <c r="N545" s="68">
        <v>25.225000000000001</v>
      </c>
      <c r="O545" s="68">
        <v>96.793999999999997</v>
      </c>
      <c r="P545" s="68" t="s">
        <v>757</v>
      </c>
      <c r="Q545" s="68" t="s">
        <v>776</v>
      </c>
      <c r="R545" s="399">
        <v>27</v>
      </c>
      <c r="S545" s="486">
        <v>135</v>
      </c>
      <c r="T545" s="101"/>
      <c r="U545" s="97"/>
      <c r="V545" s="396" t="s">
        <v>146</v>
      </c>
      <c r="W545" s="482"/>
    </row>
    <row r="546" spans="1:23" s="68" customFormat="1" ht="14.25" customHeight="1">
      <c r="A546" s="396" t="s">
        <v>36</v>
      </c>
      <c r="B546" s="482" t="s">
        <v>147</v>
      </c>
      <c r="C546" s="482" t="s">
        <v>1030</v>
      </c>
      <c r="D546" s="431" t="s">
        <v>2817</v>
      </c>
      <c r="E546" s="68" t="s">
        <v>1520</v>
      </c>
      <c r="F546" s="68" t="s">
        <v>1866</v>
      </c>
      <c r="G546" s="68" t="s">
        <v>1867</v>
      </c>
      <c r="H546" s="396"/>
      <c r="I546" s="396" t="s">
        <v>2116</v>
      </c>
      <c r="J546" s="68" t="s">
        <v>42</v>
      </c>
      <c r="K546" s="396" t="s">
        <v>42</v>
      </c>
      <c r="L546" s="396" t="s">
        <v>768</v>
      </c>
      <c r="M546" s="68" t="s">
        <v>43</v>
      </c>
      <c r="N546" s="396">
        <v>24.996279999999999</v>
      </c>
      <c r="O546" s="396">
        <v>96.52534</v>
      </c>
      <c r="P546" s="396" t="s">
        <v>769</v>
      </c>
      <c r="Q546" s="68" t="s">
        <v>758</v>
      </c>
      <c r="R546" s="399">
        <v>27</v>
      </c>
      <c r="S546" s="486">
        <v>126</v>
      </c>
      <c r="T546" s="101"/>
      <c r="U546" s="401" t="s">
        <v>1027</v>
      </c>
      <c r="V546" s="396" t="s">
        <v>1030</v>
      </c>
      <c r="W546" s="482"/>
    </row>
    <row r="547" spans="1:23" s="68" customFormat="1" ht="14.25" customHeight="1">
      <c r="A547" s="396" t="s">
        <v>36</v>
      </c>
      <c r="B547" s="482" t="s">
        <v>147</v>
      </c>
      <c r="C547" s="482" t="s">
        <v>1026</v>
      </c>
      <c r="D547" s="431" t="s">
        <v>2817</v>
      </c>
      <c r="E547" s="68" t="s">
        <v>1517</v>
      </c>
      <c r="F547" s="68" t="s">
        <v>1797</v>
      </c>
      <c r="G547" s="68">
        <v>0</v>
      </c>
      <c r="I547" s="396" t="s">
        <v>2116</v>
      </c>
      <c r="J547" s="68" t="s">
        <v>42</v>
      </c>
      <c r="K547" s="68" t="s">
        <v>42</v>
      </c>
      <c r="L547" s="396" t="s">
        <v>768</v>
      </c>
      <c r="M547" s="68" t="s">
        <v>43</v>
      </c>
      <c r="N547" s="396">
        <v>24.764959999999999</v>
      </c>
      <c r="O547" s="396">
        <v>96.366919999999993</v>
      </c>
      <c r="P547" s="396" t="s">
        <v>769</v>
      </c>
      <c r="Q547" s="68" t="s">
        <v>758</v>
      </c>
      <c r="R547" s="399">
        <v>15</v>
      </c>
      <c r="S547" s="486">
        <v>71</v>
      </c>
      <c r="T547" s="101"/>
      <c r="U547" s="97" t="s">
        <v>1027</v>
      </c>
      <c r="V547" s="396" t="s">
        <v>1026</v>
      </c>
      <c r="W547" s="482"/>
    </row>
    <row r="548" spans="1:23" s="68" customFormat="1" ht="14.25" customHeight="1">
      <c r="A548" s="396" t="s">
        <v>36</v>
      </c>
      <c r="B548" s="396" t="s">
        <v>147</v>
      </c>
      <c r="C548" s="396" t="s">
        <v>147</v>
      </c>
      <c r="D548" s="431" t="s">
        <v>1656</v>
      </c>
      <c r="E548" s="396"/>
      <c r="H548" s="396"/>
      <c r="I548" s="396"/>
      <c r="J548" s="396" t="s">
        <v>794</v>
      </c>
      <c r="K548" s="396" t="s">
        <v>794</v>
      </c>
      <c r="L548" s="396" t="s">
        <v>794</v>
      </c>
      <c r="M548" s="396"/>
      <c r="N548" s="396"/>
      <c r="O548" s="396"/>
      <c r="P548" s="396" t="s">
        <v>795</v>
      </c>
      <c r="Q548" s="396"/>
      <c r="R548" s="399"/>
      <c r="S548" s="400"/>
      <c r="T548" s="412"/>
      <c r="U548" s="401"/>
      <c r="V548" s="396" t="s">
        <v>147</v>
      </c>
    </row>
    <row r="549" spans="1:23" s="68" customFormat="1" ht="14.25" customHeight="1">
      <c r="A549" s="482" t="s">
        <v>36</v>
      </c>
      <c r="B549" s="482" t="s">
        <v>147</v>
      </c>
      <c r="C549" s="482" t="s">
        <v>1031</v>
      </c>
      <c r="D549" s="431" t="s">
        <v>1657</v>
      </c>
      <c r="E549" s="396" t="s">
        <v>1521</v>
      </c>
      <c r="F549" s="396" t="s">
        <v>1712</v>
      </c>
      <c r="G549" s="396" t="s">
        <v>1712</v>
      </c>
      <c r="H549" s="396" t="s">
        <v>40</v>
      </c>
      <c r="I549" s="396" t="s">
        <v>131</v>
      </c>
      <c r="J549" s="396" t="s">
        <v>42</v>
      </c>
      <c r="K549" s="482" t="s">
        <v>42</v>
      </c>
      <c r="L549" s="482" t="s">
        <v>756</v>
      </c>
      <c r="M549" s="396" t="s">
        <v>43</v>
      </c>
      <c r="N549" s="396">
        <v>24.998349999999999</v>
      </c>
      <c r="O549" s="396">
        <v>96.364949999999993</v>
      </c>
      <c r="P549" s="396" t="s">
        <v>757</v>
      </c>
      <c r="Q549" s="396"/>
      <c r="R549" s="486"/>
      <c r="S549" s="400"/>
      <c r="T549" s="412"/>
      <c r="U549" s="401"/>
      <c r="V549" s="396" t="s">
        <v>1031</v>
      </c>
      <c r="W549" s="482" t="s">
        <v>2147</v>
      </c>
    </row>
    <row r="550" spans="1:23" s="68" customFormat="1" ht="14.25" customHeight="1">
      <c r="A550" s="396" t="s">
        <v>36</v>
      </c>
      <c r="B550" s="396" t="s">
        <v>147</v>
      </c>
      <c r="C550" s="396" t="s">
        <v>148</v>
      </c>
      <c r="D550" s="431" t="s">
        <v>2817</v>
      </c>
      <c r="E550" s="68" t="s">
        <v>1522</v>
      </c>
      <c r="H550" s="68" t="s">
        <v>40</v>
      </c>
      <c r="I550" s="396" t="s">
        <v>131</v>
      </c>
      <c r="J550" s="68" t="s">
        <v>42</v>
      </c>
      <c r="K550" s="396" t="s">
        <v>42</v>
      </c>
      <c r="L550" s="396" t="s">
        <v>42</v>
      </c>
      <c r="M550" s="68" t="s">
        <v>43</v>
      </c>
      <c r="N550" s="396">
        <v>24.998349999999999</v>
      </c>
      <c r="O550" s="396">
        <v>96.364949999999993</v>
      </c>
      <c r="P550" s="396" t="s">
        <v>757</v>
      </c>
      <c r="Q550" s="68" t="s">
        <v>776</v>
      </c>
      <c r="R550" s="399">
        <v>26</v>
      </c>
      <c r="S550" s="486">
        <v>117</v>
      </c>
      <c r="T550" s="101"/>
      <c r="U550" s="401"/>
      <c r="V550" s="396" t="s">
        <v>1032</v>
      </c>
      <c r="W550" s="391" t="s">
        <v>2254</v>
      </c>
    </row>
    <row r="551" spans="1:23" s="68" customFormat="1" ht="14.25" customHeight="1">
      <c r="A551" s="396" t="s">
        <v>36</v>
      </c>
      <c r="B551" s="484" t="s">
        <v>147</v>
      </c>
      <c r="C551" s="484" t="s">
        <v>229</v>
      </c>
      <c r="D551" s="431" t="s">
        <v>2817</v>
      </c>
      <c r="E551" s="396" t="s">
        <v>1516</v>
      </c>
      <c r="F551" s="68" t="s">
        <v>1797</v>
      </c>
      <c r="G551" s="68" t="s">
        <v>1798</v>
      </c>
      <c r="H551" s="396" t="s">
        <v>40</v>
      </c>
      <c r="I551" s="396" t="s">
        <v>1325</v>
      </c>
      <c r="J551" s="396" t="s">
        <v>42</v>
      </c>
      <c r="K551" s="396" t="s">
        <v>42</v>
      </c>
      <c r="L551" s="396" t="s">
        <v>42</v>
      </c>
      <c r="M551" s="396" t="s">
        <v>43</v>
      </c>
      <c r="N551" s="396">
        <v>24.764800000000001</v>
      </c>
      <c r="O551" s="396">
        <v>96.367059999999995</v>
      </c>
      <c r="P551" s="68" t="s">
        <v>757</v>
      </c>
      <c r="Q551" s="396" t="s">
        <v>776</v>
      </c>
      <c r="R551" s="399">
        <v>11</v>
      </c>
      <c r="S551" s="486">
        <v>68</v>
      </c>
      <c r="T551" s="412"/>
      <c r="U551" s="401"/>
      <c r="V551" s="68" t="s">
        <v>229</v>
      </c>
      <c r="W551" s="482"/>
    </row>
    <row r="552" spans="1:23" s="68" customFormat="1" ht="14.25" customHeight="1">
      <c r="A552" s="487" t="s">
        <v>36</v>
      </c>
      <c r="B552" s="490" t="s">
        <v>2015</v>
      </c>
      <c r="C552" s="491" t="s">
        <v>2020</v>
      </c>
      <c r="D552" s="485"/>
      <c r="E552" s="396"/>
      <c r="F552" s="396"/>
      <c r="G552" s="396"/>
      <c r="H552" s="396"/>
      <c r="I552" s="396"/>
      <c r="J552" s="396" t="s">
        <v>1460</v>
      </c>
      <c r="K552" s="484" t="s">
        <v>42</v>
      </c>
      <c r="L552" s="484" t="s">
        <v>772</v>
      </c>
      <c r="M552" s="396" t="s">
        <v>774</v>
      </c>
      <c r="N552" s="396"/>
      <c r="O552" s="396"/>
      <c r="P552" s="396" t="s">
        <v>757</v>
      </c>
      <c r="Q552" s="396"/>
      <c r="R552" s="494"/>
      <c r="S552" s="487"/>
      <c r="T552" s="412">
        <v>43298</v>
      </c>
      <c r="U552" s="401"/>
      <c r="V552" s="396"/>
    </row>
    <row r="553" spans="1:23" s="68" customFormat="1" ht="14.25" customHeight="1">
      <c r="A553" s="482" t="s">
        <v>36</v>
      </c>
      <c r="B553" s="482" t="s">
        <v>195</v>
      </c>
      <c r="C553" s="482" t="s">
        <v>196</v>
      </c>
      <c r="D553" s="431" t="s">
        <v>1656</v>
      </c>
      <c r="E553" s="396"/>
      <c r="F553" s="396"/>
      <c r="G553" s="396"/>
      <c r="H553" s="396"/>
      <c r="I553" s="396"/>
      <c r="J553" s="396" t="s">
        <v>1460</v>
      </c>
      <c r="K553" s="396" t="s">
        <v>42</v>
      </c>
      <c r="L553" s="396" t="s">
        <v>42</v>
      </c>
      <c r="M553" s="396" t="s">
        <v>43</v>
      </c>
      <c r="N553" s="396"/>
      <c r="O553" s="396"/>
      <c r="P553" s="396" t="s">
        <v>757</v>
      </c>
      <c r="Q553" s="396" t="s">
        <v>776</v>
      </c>
      <c r="R553" s="486"/>
      <c r="S553" s="400"/>
      <c r="T553" s="412"/>
      <c r="U553" s="401" t="s">
        <v>1086</v>
      </c>
      <c r="V553" s="396" t="s">
        <v>196</v>
      </c>
      <c r="W553" s="482"/>
    </row>
    <row r="554" spans="1:23" s="68" customFormat="1" ht="14.25" customHeight="1">
      <c r="A554" s="482" t="s">
        <v>36</v>
      </c>
      <c r="B554" s="482" t="s">
        <v>195</v>
      </c>
      <c r="C554" s="482" t="s">
        <v>1017</v>
      </c>
      <c r="D554" s="431" t="s">
        <v>1657</v>
      </c>
      <c r="E554" s="68" t="s">
        <v>1508</v>
      </c>
      <c r="F554" s="68" t="s">
        <v>1705</v>
      </c>
      <c r="G554" s="68" t="s">
        <v>1706</v>
      </c>
      <c r="I554" s="396">
        <v>0</v>
      </c>
      <c r="J554" s="68" t="s">
        <v>42</v>
      </c>
      <c r="K554" s="396" t="s">
        <v>42</v>
      </c>
      <c r="L554" s="396" t="s">
        <v>756</v>
      </c>
      <c r="M554" s="68" t="s">
        <v>43</v>
      </c>
      <c r="N554" s="396">
        <v>24.613976000000001</v>
      </c>
      <c r="O554" s="396">
        <v>97.461271999999994</v>
      </c>
      <c r="P554" s="68" t="s">
        <v>757</v>
      </c>
      <c r="Q554" s="68" t="s">
        <v>758</v>
      </c>
      <c r="R554" s="486"/>
      <c r="S554" s="487"/>
      <c r="T554" s="101">
        <v>42983</v>
      </c>
      <c r="U554" s="401" t="s">
        <v>1018</v>
      </c>
      <c r="V554" s="68" t="s">
        <v>1017</v>
      </c>
      <c r="W554" s="391" t="s">
        <v>2148</v>
      </c>
    </row>
    <row r="555" spans="1:23" s="68" customFormat="1" ht="14.25" customHeight="1">
      <c r="A555" s="396" t="s">
        <v>36</v>
      </c>
      <c r="B555" s="396" t="s">
        <v>195</v>
      </c>
      <c r="C555" s="396" t="s">
        <v>222</v>
      </c>
      <c r="D555" s="431" t="s">
        <v>2817</v>
      </c>
      <c r="E555" s="68" t="s">
        <v>1506</v>
      </c>
      <c r="F555" s="68" t="s">
        <v>1793</v>
      </c>
      <c r="G555" s="68" t="s">
        <v>1794</v>
      </c>
      <c r="H555" s="68" t="s">
        <v>40</v>
      </c>
      <c r="I555" s="68" t="s">
        <v>1325</v>
      </c>
      <c r="J555" s="68" t="s">
        <v>42</v>
      </c>
      <c r="K555" s="68" t="s">
        <v>42</v>
      </c>
      <c r="L555" s="396" t="s">
        <v>42</v>
      </c>
      <c r="M555" s="68" t="s">
        <v>774</v>
      </c>
      <c r="N555" s="396">
        <v>24.461033</v>
      </c>
      <c r="O555" s="396">
        <v>97.537099999999995</v>
      </c>
      <c r="P555" s="68" t="s">
        <v>757</v>
      </c>
      <c r="Q555" s="68" t="s">
        <v>776</v>
      </c>
      <c r="R555" s="399">
        <v>80</v>
      </c>
      <c r="S555" s="399">
        <v>378</v>
      </c>
      <c r="T555" s="101"/>
      <c r="U555" s="401"/>
      <c r="V555" s="68" t="s">
        <v>222</v>
      </c>
      <c r="W555" s="396"/>
    </row>
    <row r="556" spans="1:23" s="68" customFormat="1" ht="14.25" customHeight="1">
      <c r="A556" s="482" t="s">
        <v>36</v>
      </c>
      <c r="B556" s="482" t="s">
        <v>195</v>
      </c>
      <c r="C556" s="482" t="s">
        <v>207</v>
      </c>
      <c r="D556" s="431" t="s">
        <v>2817</v>
      </c>
      <c r="E556" s="68" t="s">
        <v>1510</v>
      </c>
      <c r="F556" s="68" t="s">
        <v>1795</v>
      </c>
      <c r="G556" s="68" t="s">
        <v>1796</v>
      </c>
      <c r="H556" s="396" t="s">
        <v>40</v>
      </c>
      <c r="I556" s="68" t="s">
        <v>1325</v>
      </c>
      <c r="J556" s="68" t="s">
        <v>42</v>
      </c>
      <c r="K556" s="68" t="s">
        <v>42</v>
      </c>
      <c r="L556" s="396" t="s">
        <v>42</v>
      </c>
      <c r="M556" s="68" t="s">
        <v>774</v>
      </c>
      <c r="N556" s="396">
        <v>24.661905999999998</v>
      </c>
      <c r="O556" s="396">
        <v>97.573126000000002</v>
      </c>
      <c r="P556" s="17" t="s">
        <v>1974</v>
      </c>
      <c r="Q556" s="68" t="s">
        <v>776</v>
      </c>
      <c r="R556" s="399">
        <v>717</v>
      </c>
      <c r="S556" s="486">
        <v>3658</v>
      </c>
      <c r="T556" s="101"/>
      <c r="U556" s="97"/>
      <c r="V556" s="68" t="s">
        <v>207</v>
      </c>
      <c r="W556" s="482"/>
    </row>
    <row r="557" spans="1:23" s="68" customFormat="1" ht="14.25" customHeight="1">
      <c r="A557" s="482" t="s">
        <v>36</v>
      </c>
      <c r="B557" s="482" t="s">
        <v>195</v>
      </c>
      <c r="C557" s="482" t="s">
        <v>280</v>
      </c>
      <c r="D557" s="431" t="s">
        <v>2817</v>
      </c>
      <c r="E557" s="396" t="s">
        <v>1511</v>
      </c>
      <c r="F557" s="396" t="s">
        <v>1795</v>
      </c>
      <c r="G557" s="396" t="s">
        <v>1796</v>
      </c>
      <c r="H557" s="396" t="s">
        <v>40</v>
      </c>
      <c r="I557" s="396" t="s">
        <v>1325</v>
      </c>
      <c r="J557" s="396" t="s">
        <v>42</v>
      </c>
      <c r="K557" s="396" t="s">
        <v>42</v>
      </c>
      <c r="L557" s="396" t="s">
        <v>42</v>
      </c>
      <c r="M557" s="396" t="s">
        <v>774</v>
      </c>
      <c r="N557" s="396">
        <v>24.688338999999999</v>
      </c>
      <c r="O557" s="396">
        <v>97.568331999999998</v>
      </c>
      <c r="P557" s="17" t="s">
        <v>1974</v>
      </c>
      <c r="Q557" s="396" t="s">
        <v>776</v>
      </c>
      <c r="R557" s="486">
        <v>1527</v>
      </c>
      <c r="S557" s="486">
        <v>8721</v>
      </c>
      <c r="T557" s="412"/>
      <c r="U557" s="401"/>
      <c r="V557" s="396" t="s">
        <v>280</v>
      </c>
      <c r="W557" s="482"/>
    </row>
    <row r="558" spans="1:23" s="68" customFormat="1" ht="14.25" customHeight="1">
      <c r="A558" s="396" t="s">
        <v>36</v>
      </c>
      <c r="B558" s="396" t="s">
        <v>195</v>
      </c>
      <c r="C558" s="396" t="s">
        <v>197</v>
      </c>
      <c r="D558" s="431" t="s">
        <v>1656</v>
      </c>
      <c r="J558" s="68" t="s">
        <v>1460</v>
      </c>
      <c r="K558" s="68" t="s">
        <v>42</v>
      </c>
      <c r="L558" s="482" t="s">
        <v>42</v>
      </c>
      <c r="M558" s="68" t="s">
        <v>43</v>
      </c>
      <c r="N558" s="396"/>
      <c r="O558" s="396"/>
      <c r="P558" s="68" t="s">
        <v>757</v>
      </c>
      <c r="Q558" s="68" t="s">
        <v>776</v>
      </c>
      <c r="R558" s="399"/>
      <c r="S558" s="487"/>
      <c r="T558" s="101"/>
      <c r="U558" s="97" t="s">
        <v>1086</v>
      </c>
      <c r="V558" s="68" t="s">
        <v>197</v>
      </c>
      <c r="W558" s="482"/>
    </row>
    <row r="559" spans="1:23" s="68" customFormat="1" ht="14.25" customHeight="1">
      <c r="A559" s="396" t="s">
        <v>36</v>
      </c>
      <c r="B559" s="396" t="s">
        <v>195</v>
      </c>
      <c r="C559" s="396" t="s">
        <v>199</v>
      </c>
      <c r="D559" s="431" t="s">
        <v>1656</v>
      </c>
      <c r="E559" s="396"/>
      <c r="F559" s="396"/>
      <c r="G559" s="396"/>
      <c r="H559" s="396"/>
      <c r="I559" s="396"/>
      <c r="J559" s="396" t="s">
        <v>1460</v>
      </c>
      <c r="K559" s="396" t="s">
        <v>42</v>
      </c>
      <c r="L559" s="396" t="s">
        <v>42</v>
      </c>
      <c r="M559" s="396" t="s">
        <v>43</v>
      </c>
      <c r="N559" s="396"/>
      <c r="O559" s="396"/>
      <c r="P559" s="396" t="s">
        <v>757</v>
      </c>
      <c r="Q559" s="396" t="s">
        <v>776</v>
      </c>
      <c r="R559" s="399"/>
      <c r="S559" s="487"/>
      <c r="T559" s="412"/>
      <c r="U559" s="401" t="s">
        <v>1086</v>
      </c>
      <c r="V559" s="396" t="s">
        <v>199</v>
      </c>
      <c r="W559" s="482"/>
    </row>
    <row r="560" spans="1:23" s="68" customFormat="1" ht="14.25" customHeight="1">
      <c r="A560" s="482" t="s">
        <v>36</v>
      </c>
      <c r="B560" s="482" t="s">
        <v>195</v>
      </c>
      <c r="C560" s="482" t="s">
        <v>1008</v>
      </c>
      <c r="D560" s="431" t="s">
        <v>2817</v>
      </c>
      <c r="E560" s="482" t="s">
        <v>1501</v>
      </c>
      <c r="F560" s="68" t="s">
        <v>1864</v>
      </c>
      <c r="G560" s="68" t="s">
        <v>1865</v>
      </c>
      <c r="H560" s="396"/>
      <c r="I560" s="68" t="s">
        <v>2116</v>
      </c>
      <c r="J560" s="68" t="s">
        <v>42</v>
      </c>
      <c r="K560" s="68" t="s">
        <v>42</v>
      </c>
      <c r="L560" s="68" t="s">
        <v>768</v>
      </c>
      <c r="M560" s="68" t="s">
        <v>43</v>
      </c>
      <c r="N560" s="396">
        <v>24.377054000000001</v>
      </c>
      <c r="O560" s="396">
        <v>97.343406999999999</v>
      </c>
      <c r="P560" s="68" t="s">
        <v>769</v>
      </c>
      <c r="Q560" s="68" t="s">
        <v>758</v>
      </c>
      <c r="R560" s="399">
        <v>3</v>
      </c>
      <c r="S560" s="486">
        <v>18</v>
      </c>
      <c r="T560" s="101"/>
      <c r="U560" s="97" t="s">
        <v>1009</v>
      </c>
      <c r="V560" s="68" t="s">
        <v>1008</v>
      </c>
    </row>
    <row r="561" spans="1:23" s="68" customFormat="1" ht="14.25" customHeight="1">
      <c r="A561" s="482" t="s">
        <v>36</v>
      </c>
      <c r="B561" s="482" t="s">
        <v>195</v>
      </c>
      <c r="C561" s="482" t="s">
        <v>279</v>
      </c>
      <c r="D561" s="431" t="s">
        <v>1656</v>
      </c>
      <c r="H561" s="396"/>
      <c r="I561" s="396"/>
      <c r="J561" s="68" t="s">
        <v>1460</v>
      </c>
      <c r="K561" s="482" t="s">
        <v>42</v>
      </c>
      <c r="L561" s="482" t="s">
        <v>1095</v>
      </c>
      <c r="M561" s="68" t="s">
        <v>774</v>
      </c>
      <c r="N561" s="396"/>
      <c r="O561" s="396"/>
      <c r="P561" s="68" t="s">
        <v>757</v>
      </c>
      <c r="Q561" s="68" t="s">
        <v>758</v>
      </c>
      <c r="R561" s="486"/>
      <c r="S561" s="400"/>
      <c r="T561" s="101">
        <v>42849</v>
      </c>
      <c r="U561" s="97"/>
      <c r="W561" s="482"/>
    </row>
    <row r="562" spans="1:23" s="68" customFormat="1" ht="14.25" customHeight="1">
      <c r="A562" s="482" t="s">
        <v>36</v>
      </c>
      <c r="B562" s="482" t="s">
        <v>195</v>
      </c>
      <c r="C562" s="482" t="s">
        <v>271</v>
      </c>
      <c r="D562" s="431" t="s">
        <v>2817</v>
      </c>
      <c r="E562" s="68" t="s">
        <v>1476</v>
      </c>
      <c r="F562" s="68" t="s">
        <v>1776</v>
      </c>
      <c r="G562" s="68" t="s">
        <v>1778</v>
      </c>
      <c r="H562" s="68" t="s">
        <v>40</v>
      </c>
      <c r="I562" s="396" t="s">
        <v>131</v>
      </c>
      <c r="J562" s="68" t="s">
        <v>42</v>
      </c>
      <c r="K562" s="68" t="s">
        <v>42</v>
      </c>
      <c r="L562" s="68" t="s">
        <v>42</v>
      </c>
      <c r="M562" s="68" t="s">
        <v>43</v>
      </c>
      <c r="N562" s="396">
        <v>24.200972</v>
      </c>
      <c r="O562" s="396">
        <v>97.718582999999995</v>
      </c>
      <c r="P562" s="68" t="s">
        <v>757</v>
      </c>
      <c r="Q562" s="68" t="s">
        <v>776</v>
      </c>
      <c r="R562" s="486">
        <v>38</v>
      </c>
      <c r="S562" s="486">
        <v>244</v>
      </c>
      <c r="T562" s="101"/>
      <c r="U562" s="97"/>
      <c r="V562" s="68" t="s">
        <v>271</v>
      </c>
      <c r="W562" s="482"/>
    </row>
    <row r="563" spans="1:23" s="68" customFormat="1" ht="14.25" customHeight="1">
      <c r="A563" s="482" t="s">
        <v>36</v>
      </c>
      <c r="B563" s="482" t="s">
        <v>195</v>
      </c>
      <c r="C563" s="482" t="s">
        <v>272</v>
      </c>
      <c r="D563" s="431" t="s">
        <v>2817</v>
      </c>
      <c r="E563" s="482" t="s">
        <v>1477</v>
      </c>
      <c r="F563" s="482" t="s">
        <v>1776</v>
      </c>
      <c r="G563" s="482" t="s">
        <v>1778</v>
      </c>
      <c r="H563" s="482" t="s">
        <v>40</v>
      </c>
      <c r="I563" s="482" t="s">
        <v>41</v>
      </c>
      <c r="J563" s="482" t="s">
        <v>42</v>
      </c>
      <c r="K563" s="482" t="s">
        <v>42</v>
      </c>
      <c r="L563" s="482" t="s">
        <v>42</v>
      </c>
      <c r="M563" s="482" t="s">
        <v>43</v>
      </c>
      <c r="N563" s="482">
        <v>24.205417000000001</v>
      </c>
      <c r="O563" s="482">
        <v>97.724566999999993</v>
      </c>
      <c r="P563" s="396" t="s">
        <v>757</v>
      </c>
      <c r="Q563" s="482" t="s">
        <v>776</v>
      </c>
      <c r="R563" s="486">
        <v>129</v>
      </c>
      <c r="S563" s="486">
        <v>646</v>
      </c>
      <c r="T563" s="506"/>
      <c r="U563" s="488"/>
      <c r="V563" s="482" t="s">
        <v>272</v>
      </c>
      <c r="W563" s="396"/>
    </row>
    <row r="564" spans="1:23" s="68" customFormat="1" ht="14.25" customHeight="1">
      <c r="A564" s="482" t="s">
        <v>36</v>
      </c>
      <c r="B564" s="482" t="s">
        <v>195</v>
      </c>
      <c r="C564" s="482" t="s">
        <v>1103</v>
      </c>
      <c r="D564" s="431" t="s">
        <v>1656</v>
      </c>
      <c r="E564" s="482"/>
      <c r="F564" s="482"/>
      <c r="G564" s="482"/>
      <c r="H564" s="482"/>
      <c r="I564" s="482"/>
      <c r="J564" s="482" t="s">
        <v>42</v>
      </c>
      <c r="K564" s="482" t="s">
        <v>42</v>
      </c>
      <c r="L564" s="482" t="s">
        <v>1083</v>
      </c>
      <c r="M564" s="482" t="s">
        <v>43</v>
      </c>
      <c r="N564" s="482"/>
      <c r="O564" s="482"/>
      <c r="P564" s="482" t="s">
        <v>757</v>
      </c>
      <c r="Q564" s="482"/>
      <c r="R564" s="486"/>
      <c r="S564" s="487"/>
      <c r="T564" s="506"/>
      <c r="U564" s="488"/>
      <c r="V564" s="482" t="s">
        <v>1104</v>
      </c>
    </row>
    <row r="565" spans="1:23" s="68" customFormat="1" ht="14.25" customHeight="1">
      <c r="A565" s="396" t="s">
        <v>36</v>
      </c>
      <c r="B565" s="396" t="s">
        <v>195</v>
      </c>
      <c r="C565" s="396" t="s">
        <v>1105</v>
      </c>
      <c r="D565" s="431" t="s">
        <v>1656</v>
      </c>
      <c r="E565" s="396"/>
      <c r="F565" s="396"/>
      <c r="G565" s="396"/>
      <c r="H565" s="396"/>
      <c r="I565" s="396"/>
      <c r="J565" s="68" t="s">
        <v>42</v>
      </c>
      <c r="K565" s="396" t="s">
        <v>42</v>
      </c>
      <c r="L565" s="396" t="s">
        <v>1083</v>
      </c>
      <c r="M565" s="396" t="s">
        <v>43</v>
      </c>
      <c r="N565" s="396"/>
      <c r="O565" s="396"/>
      <c r="P565" s="68" t="s">
        <v>757</v>
      </c>
      <c r="Q565" s="396"/>
      <c r="R565" s="399"/>
      <c r="S565" s="487"/>
      <c r="T565" s="412"/>
      <c r="U565" s="401"/>
      <c r="V565" s="396" t="s">
        <v>1106</v>
      </c>
    </row>
    <row r="566" spans="1:23" s="68" customFormat="1" ht="14.25" customHeight="1">
      <c r="A566" s="396" t="s">
        <v>36</v>
      </c>
      <c r="B566" s="396" t="s">
        <v>195</v>
      </c>
      <c r="C566" s="396" t="s">
        <v>1107</v>
      </c>
      <c r="D566" s="431" t="s">
        <v>1656</v>
      </c>
      <c r="H566" s="396"/>
      <c r="I566" s="396"/>
      <c r="J566" s="68" t="s">
        <v>42</v>
      </c>
      <c r="K566" s="68" t="s">
        <v>42</v>
      </c>
      <c r="L566" s="68" t="s">
        <v>1083</v>
      </c>
      <c r="M566" s="68" t="s">
        <v>43</v>
      </c>
      <c r="N566" s="396"/>
      <c r="O566" s="396"/>
      <c r="P566" s="396" t="s">
        <v>757</v>
      </c>
      <c r="R566" s="399"/>
      <c r="S566" s="487"/>
      <c r="T566" s="101"/>
      <c r="U566" s="97"/>
      <c r="V566" s="68" t="s">
        <v>1108</v>
      </c>
      <c r="W566" s="482"/>
    </row>
    <row r="567" spans="1:23" s="68" customFormat="1" ht="14.25" customHeight="1">
      <c r="A567" s="482" t="s">
        <v>36</v>
      </c>
      <c r="B567" s="482" t="s">
        <v>195</v>
      </c>
      <c r="C567" s="482" t="s">
        <v>273</v>
      </c>
      <c r="D567" s="431" t="s">
        <v>2817</v>
      </c>
      <c r="E567" s="482" t="s">
        <v>1475</v>
      </c>
      <c r="F567" s="482" t="s">
        <v>1776</v>
      </c>
      <c r="G567" s="482" t="s">
        <v>1777</v>
      </c>
      <c r="H567" s="482" t="s">
        <v>40</v>
      </c>
      <c r="I567" s="482" t="s">
        <v>131</v>
      </c>
      <c r="J567" s="482" t="s">
        <v>42</v>
      </c>
      <c r="K567" s="482" t="s">
        <v>42</v>
      </c>
      <c r="L567" s="482" t="s">
        <v>42</v>
      </c>
      <c r="M567" s="482" t="s">
        <v>43</v>
      </c>
      <c r="N567" s="482">
        <v>24.200433</v>
      </c>
      <c r="O567" s="482">
        <v>97.717133000000004</v>
      </c>
      <c r="P567" s="396" t="s">
        <v>757</v>
      </c>
      <c r="Q567" s="482" t="s">
        <v>776</v>
      </c>
      <c r="R567" s="486">
        <v>210</v>
      </c>
      <c r="S567" s="486">
        <v>1212</v>
      </c>
      <c r="T567" s="506"/>
      <c r="U567" s="488"/>
      <c r="V567" s="482" t="s">
        <v>273</v>
      </c>
      <c r="W567" s="482"/>
    </row>
    <row r="568" spans="1:23" s="68" customFormat="1" ht="14.25" customHeight="1">
      <c r="A568" s="396" t="s">
        <v>36</v>
      </c>
      <c r="B568" s="482" t="s">
        <v>195</v>
      </c>
      <c r="C568" s="482" t="s">
        <v>1109</v>
      </c>
      <c r="D568" s="431" t="s">
        <v>1656</v>
      </c>
      <c r="H568" s="396"/>
      <c r="J568" s="68" t="s">
        <v>1095</v>
      </c>
      <c r="K568" s="68" t="s">
        <v>42</v>
      </c>
      <c r="L568" s="68" t="s">
        <v>756</v>
      </c>
      <c r="M568" s="68" t="s">
        <v>43</v>
      </c>
      <c r="N568" s="396"/>
      <c r="O568" s="396"/>
      <c r="P568" s="68" t="s">
        <v>757</v>
      </c>
      <c r="R568" s="399"/>
      <c r="S568" s="487"/>
      <c r="T568" s="101"/>
      <c r="U568" s="97"/>
      <c r="V568" s="68" t="s">
        <v>1109</v>
      </c>
      <c r="W568" s="482"/>
    </row>
    <row r="569" spans="1:23" s="68" customFormat="1" ht="14.25" customHeight="1">
      <c r="A569" s="396" t="s">
        <v>36</v>
      </c>
      <c r="B569" s="482" t="s">
        <v>195</v>
      </c>
      <c r="C569" s="482" t="s">
        <v>278</v>
      </c>
      <c r="D569" s="431" t="s">
        <v>1656</v>
      </c>
      <c r="H569" s="396"/>
      <c r="I569" s="396"/>
      <c r="J569" s="68" t="s">
        <v>1460</v>
      </c>
      <c r="K569" s="68" t="s">
        <v>42</v>
      </c>
      <c r="L569" s="68" t="s">
        <v>1095</v>
      </c>
      <c r="M569" s="68" t="s">
        <v>43</v>
      </c>
      <c r="N569" s="396"/>
      <c r="O569" s="396"/>
      <c r="P569" s="396" t="s">
        <v>757</v>
      </c>
      <c r="Q569" s="68" t="s">
        <v>758</v>
      </c>
      <c r="R569" s="399"/>
      <c r="S569" s="487"/>
      <c r="T569" s="101">
        <v>42849</v>
      </c>
      <c r="U569" s="97"/>
      <c r="W569" s="482"/>
    </row>
    <row r="570" spans="1:23" s="68" customFormat="1" ht="14.25" customHeight="1">
      <c r="A570" s="482" t="s">
        <v>36</v>
      </c>
      <c r="B570" s="482" t="s">
        <v>195</v>
      </c>
      <c r="C570" s="482" t="s">
        <v>1014</v>
      </c>
      <c r="D570" s="431" t="s">
        <v>1657</v>
      </c>
      <c r="E570" s="68" t="s">
        <v>1505</v>
      </c>
      <c r="F570" s="68" t="s">
        <v>1703</v>
      </c>
      <c r="G570" s="68" t="s">
        <v>1703</v>
      </c>
      <c r="H570" s="396"/>
      <c r="I570" s="396">
        <v>0</v>
      </c>
      <c r="J570" s="68" t="s">
        <v>42</v>
      </c>
      <c r="K570" s="482" t="s">
        <v>42</v>
      </c>
      <c r="L570" s="482" t="s">
        <v>756</v>
      </c>
      <c r="M570" s="68" t="s">
        <v>43</v>
      </c>
      <c r="N570" s="396">
        <v>24.441697000000001</v>
      </c>
      <c r="O570" s="396">
        <v>97.409474000000003</v>
      </c>
      <c r="P570" s="396" t="s">
        <v>769</v>
      </c>
      <c r="Q570" s="68" t="s">
        <v>758</v>
      </c>
      <c r="R570" s="486"/>
      <c r="S570" s="487"/>
      <c r="T570" s="101">
        <v>42983</v>
      </c>
      <c r="U570" s="97" t="s">
        <v>1015</v>
      </c>
      <c r="V570" s="68" t="s">
        <v>1014</v>
      </c>
      <c r="W570" s="391" t="s">
        <v>2149</v>
      </c>
    </row>
    <row r="571" spans="1:23" s="68" customFormat="1" ht="14.25" customHeight="1">
      <c r="A571" s="482" t="s">
        <v>36</v>
      </c>
      <c r="B571" s="482" t="s">
        <v>195</v>
      </c>
      <c r="C571" s="482" t="s">
        <v>200</v>
      </c>
      <c r="D571" s="431" t="s">
        <v>2817</v>
      </c>
      <c r="E571" s="396" t="s">
        <v>1483</v>
      </c>
      <c r="F571" s="396" t="s">
        <v>1782</v>
      </c>
      <c r="G571" s="396" t="s">
        <v>1782</v>
      </c>
      <c r="H571" s="396" t="s">
        <v>40</v>
      </c>
      <c r="I571" s="396" t="s">
        <v>41</v>
      </c>
      <c r="J571" s="396" t="s">
        <v>42</v>
      </c>
      <c r="K571" s="482" t="s">
        <v>42</v>
      </c>
      <c r="L571" s="482" t="s">
        <v>42</v>
      </c>
      <c r="M571" s="396" t="s">
        <v>43</v>
      </c>
      <c r="N571" s="396">
        <v>24.245100000000001</v>
      </c>
      <c r="O571" s="396">
        <v>97.325019999999995</v>
      </c>
      <c r="P571" s="396" t="s">
        <v>757</v>
      </c>
      <c r="Q571" s="396" t="s">
        <v>776</v>
      </c>
      <c r="R571" s="486">
        <v>299</v>
      </c>
      <c r="S571" s="486">
        <v>1373</v>
      </c>
      <c r="T571" s="412"/>
      <c r="U571" s="401"/>
      <c r="V571" s="396" t="s">
        <v>200</v>
      </c>
    </row>
    <row r="572" spans="1:23" s="68" customFormat="1" ht="14.25" customHeight="1">
      <c r="A572" s="482" t="s">
        <v>36</v>
      </c>
      <c r="B572" s="482" t="s">
        <v>195</v>
      </c>
      <c r="C572" s="482" t="s">
        <v>277</v>
      </c>
      <c r="D572" s="431" t="s">
        <v>1656</v>
      </c>
      <c r="E572" s="482"/>
      <c r="F572" s="482"/>
      <c r="G572" s="482"/>
      <c r="H572" s="482"/>
      <c r="I572" s="482"/>
      <c r="J572" s="482" t="s">
        <v>1460</v>
      </c>
      <c r="K572" s="482" t="s">
        <v>42</v>
      </c>
      <c r="L572" s="482" t="s">
        <v>42</v>
      </c>
      <c r="M572" s="482" t="s">
        <v>43</v>
      </c>
      <c r="N572" s="482"/>
      <c r="O572" s="482"/>
      <c r="P572" s="482" t="s">
        <v>757</v>
      </c>
      <c r="Q572" s="482" t="s">
        <v>776</v>
      </c>
      <c r="R572" s="486"/>
      <c r="S572" s="487"/>
      <c r="T572" s="506"/>
      <c r="U572" s="488" t="s">
        <v>1086</v>
      </c>
      <c r="V572" s="482" t="s">
        <v>277</v>
      </c>
      <c r="W572" s="482"/>
    </row>
    <row r="573" spans="1:23" s="68" customFormat="1" ht="14.25" customHeight="1">
      <c r="A573" s="396" t="s">
        <v>36</v>
      </c>
      <c r="B573" s="396" t="s">
        <v>195</v>
      </c>
      <c r="C573" s="482" t="s">
        <v>1012</v>
      </c>
      <c r="D573" s="431" t="s">
        <v>1657</v>
      </c>
      <c r="E573" s="68" t="s">
        <v>1504</v>
      </c>
      <c r="F573" s="68" t="s">
        <v>1702</v>
      </c>
      <c r="G573" s="68" t="s">
        <v>1702</v>
      </c>
      <c r="H573" s="396"/>
      <c r="I573" s="68">
        <v>0</v>
      </c>
      <c r="J573" s="68" t="s">
        <v>42</v>
      </c>
      <c r="K573" s="68" t="s">
        <v>42</v>
      </c>
      <c r="L573" s="68" t="s">
        <v>756</v>
      </c>
      <c r="M573" s="68" t="s">
        <v>43</v>
      </c>
      <c r="N573" s="396">
        <v>24.410008999999999</v>
      </c>
      <c r="O573" s="396">
        <v>97.321659999999994</v>
      </c>
      <c r="P573" s="68" t="s">
        <v>769</v>
      </c>
      <c r="Q573" s="68" t="s">
        <v>758</v>
      </c>
      <c r="R573" s="399"/>
      <c r="S573" s="487"/>
      <c r="T573" s="101">
        <v>42983</v>
      </c>
      <c r="U573" s="97" t="s">
        <v>1013</v>
      </c>
      <c r="V573" s="68" t="s">
        <v>1012</v>
      </c>
      <c r="W573" s="396" t="s">
        <v>2150</v>
      </c>
    </row>
    <row r="574" spans="1:23" s="68" customFormat="1" ht="14.25" customHeight="1">
      <c r="A574" s="482" t="s">
        <v>36</v>
      </c>
      <c r="B574" s="482" t="s">
        <v>195</v>
      </c>
      <c r="C574" s="482" t="s">
        <v>1024</v>
      </c>
      <c r="D574" s="431" t="s">
        <v>1657</v>
      </c>
      <c r="E574" s="68" t="s">
        <v>1515</v>
      </c>
      <c r="F574" s="68" t="s">
        <v>1710</v>
      </c>
      <c r="G574" s="68" t="s">
        <v>1711</v>
      </c>
      <c r="H574" s="396"/>
      <c r="I574" s="68">
        <v>0</v>
      </c>
      <c r="J574" s="68" t="s">
        <v>42</v>
      </c>
      <c r="K574" s="482" t="s">
        <v>42</v>
      </c>
      <c r="L574" s="482" t="s">
        <v>756</v>
      </c>
      <c r="M574" s="68" t="s">
        <v>43</v>
      </c>
      <c r="N574" s="396">
        <v>24.759551999999999</v>
      </c>
      <c r="O574" s="396">
        <v>97.276591999999994</v>
      </c>
      <c r="P574" s="68" t="s">
        <v>769</v>
      </c>
      <c r="Q574" s="68" t="s">
        <v>758</v>
      </c>
      <c r="R574" s="486"/>
      <c r="S574" s="487"/>
      <c r="T574" s="101">
        <v>42983</v>
      </c>
      <c r="U574" s="97" t="s">
        <v>1025</v>
      </c>
      <c r="V574" s="68" t="s">
        <v>1024</v>
      </c>
      <c r="W574" s="391" t="s">
        <v>2151</v>
      </c>
    </row>
    <row r="575" spans="1:23" s="68" customFormat="1" ht="14.25" customHeight="1">
      <c r="A575" s="396" t="s">
        <v>36</v>
      </c>
      <c r="B575" s="482" t="s">
        <v>195</v>
      </c>
      <c r="C575" s="482" t="s">
        <v>201</v>
      </c>
      <c r="D575" s="431" t="s">
        <v>1657</v>
      </c>
      <c r="E575" s="68" t="s">
        <v>1489</v>
      </c>
      <c r="F575" s="68" t="s">
        <v>1671</v>
      </c>
      <c r="G575" s="68" t="s">
        <v>1672</v>
      </c>
      <c r="H575" s="396"/>
      <c r="I575" s="396">
        <v>0</v>
      </c>
      <c r="J575" s="68" t="s">
        <v>42</v>
      </c>
      <c r="K575" s="68" t="s">
        <v>42</v>
      </c>
      <c r="L575" s="68" t="s">
        <v>756</v>
      </c>
      <c r="M575" s="68" t="s">
        <v>43</v>
      </c>
      <c r="N575" s="396">
        <v>24.251860000000001</v>
      </c>
      <c r="O575" s="396">
        <v>97.346940000000004</v>
      </c>
      <c r="P575" s="68" t="s">
        <v>757</v>
      </c>
      <c r="Q575" s="68" t="s">
        <v>776</v>
      </c>
      <c r="R575" s="399"/>
      <c r="S575" s="487"/>
      <c r="T575" s="101"/>
      <c r="U575" s="97" t="s">
        <v>995</v>
      </c>
      <c r="V575" s="68" t="s">
        <v>201</v>
      </c>
      <c r="W575" s="391" t="s">
        <v>2152</v>
      </c>
    </row>
    <row r="576" spans="1:23" s="68" customFormat="1" ht="14.25" customHeight="1">
      <c r="A576" s="482" t="s">
        <v>36</v>
      </c>
      <c r="B576" s="482" t="s">
        <v>195</v>
      </c>
      <c r="C576" s="482" t="s">
        <v>203</v>
      </c>
      <c r="D576" s="431" t="s">
        <v>2817</v>
      </c>
      <c r="E576" s="396" t="s">
        <v>1486</v>
      </c>
      <c r="F576" s="396" t="s">
        <v>1671</v>
      </c>
      <c r="G576" s="396" t="s">
        <v>1672</v>
      </c>
      <c r="H576" s="396" t="s">
        <v>40</v>
      </c>
      <c r="I576" s="396" t="s">
        <v>131</v>
      </c>
      <c r="J576" s="396" t="s">
        <v>42</v>
      </c>
      <c r="K576" s="396" t="s">
        <v>42</v>
      </c>
      <c r="L576" s="396" t="s">
        <v>42</v>
      </c>
      <c r="M576" s="396" t="s">
        <v>43</v>
      </c>
      <c r="N576" s="396">
        <v>24.250689999999999</v>
      </c>
      <c r="O576" s="396">
        <v>97.344359999999995</v>
      </c>
      <c r="P576" s="482" t="s">
        <v>757</v>
      </c>
      <c r="Q576" s="396" t="s">
        <v>776</v>
      </c>
      <c r="R576" s="399">
        <v>427</v>
      </c>
      <c r="S576" s="486">
        <v>2006</v>
      </c>
      <c r="T576" s="412"/>
      <c r="U576" s="401"/>
      <c r="V576" s="396" t="s">
        <v>203</v>
      </c>
      <c r="W576" s="482"/>
    </row>
    <row r="577" spans="1:23" s="68" customFormat="1" ht="14.25" customHeight="1">
      <c r="A577" s="482" t="s">
        <v>36</v>
      </c>
      <c r="B577" s="482" t="s">
        <v>195</v>
      </c>
      <c r="C577" s="482" t="s">
        <v>1002</v>
      </c>
      <c r="D577" s="431" t="s">
        <v>1657</v>
      </c>
      <c r="E577" s="68" t="s">
        <v>1488</v>
      </c>
      <c r="F577" s="68" t="s">
        <v>1671</v>
      </c>
      <c r="G577" s="68" t="s">
        <v>1701</v>
      </c>
      <c r="H577" s="68" t="s">
        <v>40</v>
      </c>
      <c r="I577" s="68" t="s">
        <v>41</v>
      </c>
      <c r="J577" s="68" t="s">
        <v>42</v>
      </c>
      <c r="K577" s="68" t="s">
        <v>42</v>
      </c>
      <c r="L577" s="68" t="s">
        <v>756</v>
      </c>
      <c r="M577" s="68" t="s">
        <v>43</v>
      </c>
      <c r="N577" s="396">
        <v>24.25177</v>
      </c>
      <c r="O577" s="396">
        <v>97.346950000000007</v>
      </c>
      <c r="P577" s="482" t="s">
        <v>757</v>
      </c>
      <c r="R577" s="399"/>
      <c r="S577" s="487"/>
      <c r="T577" s="101"/>
      <c r="U577" s="97"/>
      <c r="V577" s="68" t="s">
        <v>1002</v>
      </c>
      <c r="W577" s="482" t="s">
        <v>2153</v>
      </c>
    </row>
    <row r="578" spans="1:23" s="68" customFormat="1" ht="14.25" customHeight="1">
      <c r="A578" s="491" t="s">
        <v>36</v>
      </c>
      <c r="B578" s="490" t="s">
        <v>195</v>
      </c>
      <c r="C578" s="484" t="s">
        <v>1934</v>
      </c>
      <c r="D578" s="485"/>
      <c r="E578" s="396"/>
      <c r="F578" s="396"/>
      <c r="G578" s="396"/>
      <c r="H578" s="396"/>
      <c r="I578" s="396"/>
      <c r="J578" s="396" t="s">
        <v>1460</v>
      </c>
      <c r="K578" s="396" t="s">
        <v>42</v>
      </c>
      <c r="L578" s="396" t="s">
        <v>42</v>
      </c>
      <c r="M578" s="396" t="s">
        <v>43</v>
      </c>
      <c r="N578" s="396"/>
      <c r="O578" s="396"/>
      <c r="P578" s="482" t="s">
        <v>757</v>
      </c>
      <c r="Q578" s="396" t="s">
        <v>1930</v>
      </c>
      <c r="R578" s="494"/>
      <c r="S578" s="487"/>
      <c r="T578" s="412">
        <v>43270</v>
      </c>
      <c r="U578" s="401"/>
      <c r="V578" s="396"/>
      <c r="W578" s="482"/>
    </row>
    <row r="579" spans="1:23" s="68" customFormat="1" ht="14.25" customHeight="1">
      <c r="A579" s="482" t="s">
        <v>36</v>
      </c>
      <c r="B579" s="482" t="s">
        <v>195</v>
      </c>
      <c r="C579" s="482" t="s">
        <v>1000</v>
      </c>
      <c r="D579" s="431" t="s">
        <v>2817</v>
      </c>
      <c r="E579" s="68" t="s">
        <v>1487</v>
      </c>
      <c r="H579" s="396"/>
      <c r="I579" s="396" t="s">
        <v>2116</v>
      </c>
      <c r="J579" s="68" t="s">
        <v>42</v>
      </c>
      <c r="K579" s="482" t="s">
        <v>42</v>
      </c>
      <c r="L579" s="482" t="s">
        <v>768</v>
      </c>
      <c r="M579" s="68" t="s">
        <v>43</v>
      </c>
      <c r="N579" s="396">
        <v>24.251232000000002</v>
      </c>
      <c r="O579" s="396">
        <v>97.348405</v>
      </c>
      <c r="P579" s="396" t="s">
        <v>769</v>
      </c>
      <c r="Q579" s="68" t="s">
        <v>758</v>
      </c>
      <c r="R579" s="486">
        <v>223</v>
      </c>
      <c r="S579" s="486">
        <v>1067</v>
      </c>
      <c r="T579" s="101"/>
      <c r="U579" s="97" t="s">
        <v>992</v>
      </c>
      <c r="V579" s="68" t="s">
        <v>1001</v>
      </c>
      <c r="W579" s="482"/>
    </row>
    <row r="580" spans="1:23" s="68" customFormat="1" ht="14.25" customHeight="1">
      <c r="A580" s="396" t="s">
        <v>36</v>
      </c>
      <c r="B580" s="482" t="s">
        <v>195</v>
      </c>
      <c r="C580" s="482" t="s">
        <v>1010</v>
      </c>
      <c r="D580" s="431" t="s">
        <v>2817</v>
      </c>
      <c r="E580" s="396" t="s">
        <v>1503</v>
      </c>
      <c r="F580" s="396" t="s">
        <v>1864</v>
      </c>
      <c r="G580" s="396" t="s">
        <v>1864</v>
      </c>
      <c r="H580" s="396"/>
      <c r="I580" s="396" t="s">
        <v>2116</v>
      </c>
      <c r="J580" s="396" t="s">
        <v>42</v>
      </c>
      <c r="K580" s="396" t="s">
        <v>42</v>
      </c>
      <c r="L580" s="482" t="s">
        <v>768</v>
      </c>
      <c r="M580" s="396" t="s">
        <v>43</v>
      </c>
      <c r="N580" s="396">
        <v>24.404876999999999</v>
      </c>
      <c r="O580" s="396">
        <v>97.407787999999996</v>
      </c>
      <c r="P580" s="396" t="s">
        <v>769</v>
      </c>
      <c r="Q580" s="396" t="s">
        <v>758</v>
      </c>
      <c r="R580" s="399">
        <v>26</v>
      </c>
      <c r="S580" s="399">
        <v>137</v>
      </c>
      <c r="T580" s="412"/>
      <c r="U580" s="401" t="s">
        <v>1011</v>
      </c>
      <c r="V580" s="396" t="s">
        <v>1010</v>
      </c>
      <c r="W580" s="482"/>
    </row>
    <row r="581" spans="1:23" s="68" customFormat="1" ht="14.25" customHeight="1">
      <c r="A581" s="482" t="s">
        <v>36</v>
      </c>
      <c r="B581" s="482" t="s">
        <v>195</v>
      </c>
      <c r="C581" s="482" t="s">
        <v>285</v>
      </c>
      <c r="D581" s="431" t="s">
        <v>2817</v>
      </c>
      <c r="E581" s="482" t="s">
        <v>1502</v>
      </c>
      <c r="F581" s="68" t="s">
        <v>1791</v>
      </c>
      <c r="G581" s="68" t="s">
        <v>1792</v>
      </c>
      <c r="H581" s="396" t="s">
        <v>40</v>
      </c>
      <c r="I581" s="396" t="s">
        <v>41</v>
      </c>
      <c r="J581" s="68" t="s">
        <v>42</v>
      </c>
      <c r="K581" s="68" t="s">
        <v>42</v>
      </c>
      <c r="L581" s="396" t="s">
        <v>42</v>
      </c>
      <c r="M581" s="68" t="s">
        <v>774</v>
      </c>
      <c r="N581" s="396">
        <v>24.378167000000001</v>
      </c>
      <c r="O581" s="396">
        <v>97.669366999999994</v>
      </c>
      <c r="P581" s="482" t="s">
        <v>757</v>
      </c>
      <c r="Q581" s="68" t="s">
        <v>758</v>
      </c>
      <c r="R581" s="399">
        <v>354</v>
      </c>
      <c r="S581" s="486">
        <v>1546</v>
      </c>
      <c r="T581" s="101"/>
      <c r="U581" s="401"/>
      <c r="V581" s="396" t="s">
        <v>285</v>
      </c>
      <c r="W581" s="482"/>
    </row>
    <row r="582" spans="1:23" s="68" customFormat="1" ht="14.25" customHeight="1">
      <c r="A582" s="482" t="s">
        <v>36</v>
      </c>
      <c r="B582" s="482" t="s">
        <v>195</v>
      </c>
      <c r="C582" s="482" t="s">
        <v>1003</v>
      </c>
      <c r="D582" s="431" t="s">
        <v>1657</v>
      </c>
      <c r="E582" s="482" t="s">
        <v>1491</v>
      </c>
      <c r="F582" s="396" t="s">
        <v>1671</v>
      </c>
      <c r="G582" s="396" t="s">
        <v>1672</v>
      </c>
      <c r="H582" s="396" t="s">
        <v>40</v>
      </c>
      <c r="I582" s="396" t="s">
        <v>232</v>
      </c>
      <c r="J582" s="68" t="s">
        <v>42</v>
      </c>
      <c r="K582" s="482" t="s">
        <v>42</v>
      </c>
      <c r="L582" s="482" t="s">
        <v>756</v>
      </c>
      <c r="M582" s="68" t="s">
        <v>43</v>
      </c>
      <c r="N582" s="396">
        <v>24.253769999999999</v>
      </c>
      <c r="O582" s="396">
        <v>97.347740000000002</v>
      </c>
      <c r="P582" s="396" t="s">
        <v>757</v>
      </c>
      <c r="R582" s="486"/>
      <c r="S582" s="487"/>
      <c r="T582" s="101"/>
      <c r="U582" s="401"/>
      <c r="V582" s="396" t="s">
        <v>1003</v>
      </c>
      <c r="W582" s="391" t="s">
        <v>2154</v>
      </c>
    </row>
    <row r="583" spans="1:23" s="68" customFormat="1" ht="14.25" customHeight="1">
      <c r="A583" s="482" t="s">
        <v>36</v>
      </c>
      <c r="B583" s="482" t="s">
        <v>195</v>
      </c>
      <c r="C583" s="482" t="s">
        <v>274</v>
      </c>
      <c r="D583" s="431" t="s">
        <v>2817</v>
      </c>
      <c r="E583" s="68" t="s">
        <v>1478</v>
      </c>
      <c r="F583" s="396" t="s">
        <v>1776</v>
      </c>
      <c r="G583" s="68" t="s">
        <v>1777</v>
      </c>
      <c r="H583" s="396" t="s">
        <v>40</v>
      </c>
      <c r="I583" s="68" t="s">
        <v>131</v>
      </c>
      <c r="J583" s="68" t="s">
        <v>42</v>
      </c>
      <c r="K583" s="482" t="s">
        <v>42</v>
      </c>
      <c r="L583" s="482" t="s">
        <v>42</v>
      </c>
      <c r="M583" s="68" t="s">
        <v>43</v>
      </c>
      <c r="N583" s="396">
        <v>24.205417000000001</v>
      </c>
      <c r="O583" s="396">
        <v>97.724483000000006</v>
      </c>
      <c r="P583" s="396" t="s">
        <v>757</v>
      </c>
      <c r="Q583" s="68" t="s">
        <v>776</v>
      </c>
      <c r="R583" s="486">
        <v>49</v>
      </c>
      <c r="S583" s="486">
        <v>300</v>
      </c>
      <c r="T583" s="101"/>
      <c r="U583" s="97"/>
      <c r="V583" s="68" t="s">
        <v>274</v>
      </c>
      <c r="W583" s="482"/>
    </row>
    <row r="584" spans="1:23" s="68" customFormat="1" ht="14.25" customHeight="1">
      <c r="A584" s="482" t="s">
        <v>36</v>
      </c>
      <c r="B584" s="482" t="s">
        <v>195</v>
      </c>
      <c r="C584" s="482" t="s">
        <v>286</v>
      </c>
      <c r="D584" s="431" t="s">
        <v>2817</v>
      </c>
      <c r="E584" s="482" t="s">
        <v>1498</v>
      </c>
      <c r="F584" s="482" t="s">
        <v>1788</v>
      </c>
      <c r="G584" s="482" t="s">
        <v>1789</v>
      </c>
      <c r="H584" s="482" t="s">
        <v>40</v>
      </c>
      <c r="I584" s="482" t="s">
        <v>41</v>
      </c>
      <c r="J584" s="396" t="s">
        <v>42</v>
      </c>
      <c r="K584" s="396" t="s">
        <v>42</v>
      </c>
      <c r="L584" s="482" t="s">
        <v>42</v>
      </c>
      <c r="M584" s="396" t="s">
        <v>774</v>
      </c>
      <c r="N584" s="396">
        <v>24.2744</v>
      </c>
      <c r="O584" s="396">
        <v>97.752667000000002</v>
      </c>
      <c r="P584" s="482" t="s">
        <v>757</v>
      </c>
      <c r="Q584" s="396" t="s">
        <v>758</v>
      </c>
      <c r="R584" s="399">
        <v>632</v>
      </c>
      <c r="S584" s="399">
        <v>3550</v>
      </c>
      <c r="T584" s="412"/>
      <c r="U584" s="488"/>
      <c r="V584" s="482" t="s">
        <v>286</v>
      </c>
      <c r="W584" s="482"/>
    </row>
    <row r="585" spans="1:23" s="68" customFormat="1" ht="14.25" customHeight="1">
      <c r="A585" s="482" t="s">
        <v>36</v>
      </c>
      <c r="B585" s="482" t="s">
        <v>195</v>
      </c>
      <c r="C585" s="482" t="s">
        <v>1124</v>
      </c>
      <c r="D585" s="431" t="s">
        <v>1656</v>
      </c>
      <c r="E585" s="482"/>
      <c r="F585" s="396"/>
      <c r="G585" s="396"/>
      <c r="H585" s="396"/>
      <c r="I585" s="396"/>
      <c r="J585" s="68" t="s">
        <v>42</v>
      </c>
      <c r="K585" s="68" t="s">
        <v>42</v>
      </c>
      <c r="L585" s="68" t="s">
        <v>1083</v>
      </c>
      <c r="M585" s="68" t="s">
        <v>774</v>
      </c>
      <c r="N585" s="396"/>
      <c r="O585" s="396"/>
      <c r="P585" s="482" t="s">
        <v>757</v>
      </c>
      <c r="R585" s="399"/>
      <c r="S585" s="487"/>
      <c r="T585" s="101"/>
      <c r="U585" s="401"/>
      <c r="V585" s="396" t="s">
        <v>1124</v>
      </c>
      <c r="W585" s="482"/>
    </row>
    <row r="586" spans="1:23" s="68" customFormat="1" ht="14.25" customHeight="1">
      <c r="A586" s="482" t="s">
        <v>36</v>
      </c>
      <c r="B586" s="482" t="s">
        <v>195</v>
      </c>
      <c r="C586" s="482" t="s">
        <v>1125</v>
      </c>
      <c r="D586" s="431" t="s">
        <v>1656</v>
      </c>
      <c r="E586" s="396"/>
      <c r="F586" s="396"/>
      <c r="G586" s="396"/>
      <c r="H586" s="396"/>
      <c r="I586" s="396"/>
      <c r="J586" s="396" t="s">
        <v>42</v>
      </c>
      <c r="K586" s="482" t="s">
        <v>42</v>
      </c>
      <c r="L586" s="482" t="s">
        <v>1083</v>
      </c>
      <c r="M586" s="396" t="s">
        <v>774</v>
      </c>
      <c r="N586" s="396"/>
      <c r="O586" s="396"/>
      <c r="P586" s="482" t="s">
        <v>757</v>
      </c>
      <c r="Q586" s="396"/>
      <c r="R586" s="486"/>
      <c r="S586" s="487"/>
      <c r="T586" s="412"/>
      <c r="U586" s="401"/>
      <c r="V586" s="396" t="s">
        <v>1125</v>
      </c>
      <c r="W586" s="482"/>
    </row>
    <row r="587" spans="1:23" s="68" customFormat="1" ht="14.25" customHeight="1">
      <c r="A587" s="482" t="s">
        <v>36</v>
      </c>
      <c r="B587" s="482" t="s">
        <v>195</v>
      </c>
      <c r="C587" s="482" t="s">
        <v>1126</v>
      </c>
      <c r="D587" s="431" t="s">
        <v>1656</v>
      </c>
      <c r="J587" s="68" t="s">
        <v>1095</v>
      </c>
      <c r="K587" s="68" t="s">
        <v>42</v>
      </c>
      <c r="L587" s="68" t="s">
        <v>756</v>
      </c>
      <c r="M587" s="68" t="s">
        <v>774</v>
      </c>
      <c r="N587" s="396"/>
      <c r="O587" s="396"/>
      <c r="P587" s="68" t="s">
        <v>757</v>
      </c>
      <c r="R587" s="486"/>
      <c r="S587" s="487"/>
      <c r="T587" s="101"/>
      <c r="U587" s="97"/>
      <c r="V587" s="68" t="s">
        <v>1126</v>
      </c>
      <c r="W587" s="482"/>
    </row>
    <row r="588" spans="1:23" s="68" customFormat="1" ht="14.25" customHeight="1">
      <c r="A588" s="484" t="s">
        <v>36</v>
      </c>
      <c r="B588" s="484" t="s">
        <v>195</v>
      </c>
      <c r="C588" s="484" t="s">
        <v>1127</v>
      </c>
      <c r="D588" s="433" t="s">
        <v>1656</v>
      </c>
      <c r="E588" s="484"/>
      <c r="F588" s="484"/>
      <c r="G588" s="484"/>
      <c r="H588" s="484"/>
      <c r="I588" s="484"/>
      <c r="J588" s="484" t="s">
        <v>1095</v>
      </c>
      <c r="K588" s="484" t="s">
        <v>42</v>
      </c>
      <c r="L588" s="484" t="s">
        <v>756</v>
      </c>
      <c r="M588" s="484" t="s">
        <v>774</v>
      </c>
      <c r="N588" s="484"/>
      <c r="O588" s="484"/>
      <c r="P588" s="68" t="s">
        <v>757</v>
      </c>
      <c r="Q588" s="484"/>
      <c r="R588" s="490"/>
      <c r="S588" s="491"/>
      <c r="T588" s="507"/>
      <c r="U588" s="492"/>
      <c r="V588" s="484" t="s">
        <v>1127</v>
      </c>
      <c r="W588" s="482"/>
    </row>
    <row r="589" spans="1:23" s="68" customFormat="1" ht="14.25" customHeight="1">
      <c r="A589" s="396" t="s">
        <v>36</v>
      </c>
      <c r="B589" s="396" t="s">
        <v>195</v>
      </c>
      <c r="C589" s="396" t="s">
        <v>1128</v>
      </c>
      <c r="D589" s="431" t="s">
        <v>1656</v>
      </c>
      <c r="E589" s="396"/>
      <c r="F589" s="396"/>
      <c r="G589" s="396"/>
      <c r="H589" s="396"/>
      <c r="I589" s="482"/>
      <c r="J589" s="68" t="s">
        <v>794</v>
      </c>
      <c r="K589" s="396" t="s">
        <v>794</v>
      </c>
      <c r="L589" s="396" t="s">
        <v>794</v>
      </c>
      <c r="M589" s="68" t="s">
        <v>774</v>
      </c>
      <c r="N589" s="396"/>
      <c r="O589" s="396"/>
      <c r="P589" s="482" t="s">
        <v>795</v>
      </c>
      <c r="R589" s="399"/>
      <c r="S589" s="487"/>
      <c r="T589" s="101"/>
      <c r="U589" s="401"/>
      <c r="V589" s="396" t="s">
        <v>1128</v>
      </c>
      <c r="W589" s="482"/>
    </row>
    <row r="590" spans="1:23" s="68" customFormat="1" ht="14.25" customHeight="1">
      <c r="A590" s="482" t="s">
        <v>36</v>
      </c>
      <c r="B590" s="482" t="s">
        <v>195</v>
      </c>
      <c r="C590" s="482" t="s">
        <v>1129</v>
      </c>
      <c r="D590" s="431" t="s">
        <v>1656</v>
      </c>
      <c r="E590" s="482"/>
      <c r="F590" s="396"/>
      <c r="J590" s="68" t="s">
        <v>1095</v>
      </c>
      <c r="K590" s="396" t="s">
        <v>42</v>
      </c>
      <c r="L590" s="396" t="s">
        <v>756</v>
      </c>
      <c r="M590" s="68" t="s">
        <v>774</v>
      </c>
      <c r="N590" s="396"/>
      <c r="O590" s="396"/>
      <c r="P590" s="68" t="s">
        <v>757</v>
      </c>
      <c r="R590" s="399"/>
      <c r="S590" s="487"/>
      <c r="T590" s="101"/>
      <c r="U590" s="97"/>
      <c r="V590" s="68" t="s">
        <v>1129</v>
      </c>
      <c r="W590" s="482"/>
    </row>
    <row r="591" spans="1:23" s="68" customFormat="1" ht="14.25" customHeight="1">
      <c r="A591" s="482" t="s">
        <v>36</v>
      </c>
      <c r="B591" s="482" t="s">
        <v>195</v>
      </c>
      <c r="C591" s="482" t="s">
        <v>1019</v>
      </c>
      <c r="D591" s="431" t="s">
        <v>1657</v>
      </c>
      <c r="E591" s="68" t="s">
        <v>1509</v>
      </c>
      <c r="F591" s="68" t="s">
        <v>1707</v>
      </c>
      <c r="G591" s="68" t="s">
        <v>1708</v>
      </c>
      <c r="I591" s="68">
        <v>0</v>
      </c>
      <c r="J591" s="68" t="s">
        <v>42</v>
      </c>
      <c r="K591" s="482" t="s">
        <v>42</v>
      </c>
      <c r="L591" s="482" t="s">
        <v>756</v>
      </c>
      <c r="M591" s="68" t="s">
        <v>43</v>
      </c>
      <c r="N591" s="68">
        <v>24.630859999999998</v>
      </c>
      <c r="O591" s="396">
        <v>97.429860000000005</v>
      </c>
      <c r="P591" s="68" t="s">
        <v>769</v>
      </c>
      <c r="Q591" s="68" t="s">
        <v>758</v>
      </c>
      <c r="R591" s="486"/>
      <c r="S591" s="487"/>
      <c r="T591" s="101">
        <v>42983</v>
      </c>
      <c r="U591" s="97" t="s">
        <v>1020</v>
      </c>
      <c r="V591" s="68" t="s">
        <v>1019</v>
      </c>
      <c r="W591" s="391" t="s">
        <v>2155</v>
      </c>
    </row>
    <row r="592" spans="1:23" s="68" customFormat="1" ht="14.25" customHeight="1">
      <c r="A592" s="396" t="s">
        <v>36</v>
      </c>
      <c r="B592" s="484" t="s">
        <v>195</v>
      </c>
      <c r="C592" s="484" t="s">
        <v>276</v>
      </c>
      <c r="D592" s="431" t="s">
        <v>2817</v>
      </c>
      <c r="E592" s="68" t="s">
        <v>1480</v>
      </c>
      <c r="F592" s="68" t="s">
        <v>1776</v>
      </c>
      <c r="G592" s="68" t="s">
        <v>1779</v>
      </c>
      <c r="H592" s="68" t="s">
        <v>40</v>
      </c>
      <c r="I592" s="68" t="s">
        <v>131</v>
      </c>
      <c r="J592" s="68" t="s">
        <v>42</v>
      </c>
      <c r="K592" s="68" t="s">
        <v>42</v>
      </c>
      <c r="L592" s="68" t="s">
        <v>42</v>
      </c>
      <c r="M592" s="68" t="s">
        <v>43</v>
      </c>
      <c r="N592" s="68">
        <v>24.207332999999998</v>
      </c>
      <c r="O592" s="68">
        <v>97.710864000000001</v>
      </c>
      <c r="P592" s="68" t="s">
        <v>757</v>
      </c>
      <c r="Q592" s="68" t="s">
        <v>776</v>
      </c>
      <c r="R592" s="95">
        <v>44</v>
      </c>
      <c r="S592" s="486">
        <v>276</v>
      </c>
      <c r="T592" s="101"/>
      <c r="U592" s="97"/>
      <c r="V592" s="68" t="s">
        <v>276</v>
      </c>
      <c r="W592" s="482"/>
    </row>
    <row r="593" spans="1:23" s="68" customFormat="1" ht="14.25" customHeight="1">
      <c r="A593" s="482" t="s">
        <v>36</v>
      </c>
      <c r="B593" s="484" t="s">
        <v>195</v>
      </c>
      <c r="C593" s="484" t="s">
        <v>1016</v>
      </c>
      <c r="D593" s="431" t="s">
        <v>1657</v>
      </c>
      <c r="E593" s="68" t="s">
        <v>1507</v>
      </c>
      <c r="F593" s="68" t="s">
        <v>1704</v>
      </c>
      <c r="G593" s="68" t="s">
        <v>1704</v>
      </c>
      <c r="I593" s="482">
        <v>0</v>
      </c>
      <c r="J593" s="68" t="s">
        <v>42</v>
      </c>
      <c r="K593" s="482" t="s">
        <v>42</v>
      </c>
      <c r="L593" s="482" t="s">
        <v>756</v>
      </c>
      <c r="M593" s="68" t="s">
        <v>43</v>
      </c>
      <c r="N593" s="68">
        <v>24.492493</v>
      </c>
      <c r="O593" s="68">
        <v>97.416826999999998</v>
      </c>
      <c r="P593" s="482" t="s">
        <v>769</v>
      </c>
      <c r="Q593" s="68" t="s">
        <v>758</v>
      </c>
      <c r="R593" s="399"/>
      <c r="S593" s="487"/>
      <c r="T593" s="101">
        <v>42983</v>
      </c>
      <c r="U593" s="97" t="s">
        <v>1013</v>
      </c>
      <c r="V593" s="68" t="s">
        <v>1016</v>
      </c>
      <c r="W593" s="391" t="s">
        <v>2156</v>
      </c>
    </row>
    <row r="594" spans="1:23" s="68" customFormat="1" ht="14.25" customHeight="1">
      <c r="A594" s="482" t="s">
        <v>36</v>
      </c>
      <c r="B594" s="482" t="s">
        <v>149</v>
      </c>
      <c r="C594" s="482" t="s">
        <v>1084</v>
      </c>
      <c r="D594" s="431" t="s">
        <v>1657</v>
      </c>
      <c r="E594" s="68" t="s">
        <v>1958</v>
      </c>
      <c r="F594" s="68" t="s">
        <v>1717</v>
      </c>
      <c r="G594" s="68" t="s">
        <v>1732</v>
      </c>
      <c r="I594" s="68" t="s">
        <v>2116</v>
      </c>
      <c r="J594" s="68" t="s">
        <v>42</v>
      </c>
      <c r="K594" s="482" t="s">
        <v>42</v>
      </c>
      <c r="L594" s="482" t="s">
        <v>756</v>
      </c>
      <c r="M594" s="68" t="s">
        <v>43</v>
      </c>
      <c r="N594" s="396"/>
      <c r="O594" s="396"/>
      <c r="P594" s="482" t="s">
        <v>757</v>
      </c>
      <c r="Q594" s="68" t="s">
        <v>922</v>
      </c>
      <c r="R594" s="486"/>
      <c r="S594" s="487"/>
      <c r="T594" s="101"/>
      <c r="U594" s="97" t="s">
        <v>1085</v>
      </c>
      <c r="W594" s="482" t="s">
        <v>2157</v>
      </c>
    </row>
    <row r="595" spans="1:23" s="68" customFormat="1" ht="14.25" customHeight="1">
      <c r="A595" s="487" t="s">
        <v>36</v>
      </c>
      <c r="B595" s="490" t="s">
        <v>149</v>
      </c>
      <c r="C595" s="491" t="s">
        <v>2017</v>
      </c>
      <c r="D595" s="485"/>
      <c r="E595" s="396"/>
      <c r="F595" s="396"/>
      <c r="G595" s="396"/>
      <c r="H595" s="396"/>
      <c r="I595" s="396"/>
      <c r="J595" s="396" t="s">
        <v>1460</v>
      </c>
      <c r="K595" s="484" t="s">
        <v>42</v>
      </c>
      <c r="L595" s="484" t="s">
        <v>772</v>
      </c>
      <c r="M595" s="396" t="s">
        <v>774</v>
      </c>
      <c r="N595" s="396"/>
      <c r="O595" s="396"/>
      <c r="P595" s="396" t="s">
        <v>757</v>
      </c>
      <c r="Q595" s="396"/>
      <c r="R595" s="494"/>
      <c r="S595" s="487"/>
      <c r="T595" s="412">
        <v>43298</v>
      </c>
      <c r="U595" s="401"/>
      <c r="V595" s="396"/>
      <c r="W595" s="396"/>
    </row>
    <row r="596" spans="1:23" s="68" customFormat="1" ht="14.25" customHeight="1">
      <c r="A596" s="396" t="s">
        <v>36</v>
      </c>
      <c r="B596" s="482" t="s">
        <v>149</v>
      </c>
      <c r="C596" s="482" t="s">
        <v>150</v>
      </c>
      <c r="D596" s="431" t="s">
        <v>2817</v>
      </c>
      <c r="E596" s="68" t="s">
        <v>1553</v>
      </c>
      <c r="F596" s="68" t="s">
        <v>1717</v>
      </c>
      <c r="G596" s="68" t="s">
        <v>1819</v>
      </c>
      <c r="H596" s="68" t="s">
        <v>40</v>
      </c>
      <c r="I596" s="68" t="s">
        <v>131</v>
      </c>
      <c r="J596" s="68" t="s">
        <v>42</v>
      </c>
      <c r="K596" s="68" t="s">
        <v>42</v>
      </c>
      <c r="L596" s="68" t="s">
        <v>42</v>
      </c>
      <c r="M596" s="68" t="s">
        <v>43</v>
      </c>
      <c r="N596" s="68">
        <v>25.395974089999999</v>
      </c>
      <c r="O596" s="68">
        <v>97.382997579999994</v>
      </c>
      <c r="P596" s="68" t="s">
        <v>757</v>
      </c>
      <c r="Q596" s="68" t="s">
        <v>776</v>
      </c>
      <c r="R596" s="95">
        <v>44</v>
      </c>
      <c r="S596" s="399">
        <v>197</v>
      </c>
      <c r="T596" s="101">
        <v>42983</v>
      </c>
      <c r="U596" s="97" t="s">
        <v>1047</v>
      </c>
      <c r="V596" s="68" t="s">
        <v>1048</v>
      </c>
    </row>
    <row r="597" spans="1:23" s="68" customFormat="1" ht="14.25" customHeight="1">
      <c r="A597" s="482" t="s">
        <v>36</v>
      </c>
      <c r="B597" s="482" t="s">
        <v>149</v>
      </c>
      <c r="C597" s="482" t="s">
        <v>1050</v>
      </c>
      <c r="D597" s="431" t="s">
        <v>1656</v>
      </c>
      <c r="E597" s="396" t="s">
        <v>1555</v>
      </c>
      <c r="F597" s="396"/>
      <c r="G597" s="396"/>
      <c r="H597" s="396"/>
      <c r="I597" s="396"/>
      <c r="J597" s="396" t="s">
        <v>42</v>
      </c>
      <c r="K597" s="482" t="s">
        <v>42</v>
      </c>
      <c r="L597" s="482" t="s">
        <v>756</v>
      </c>
      <c r="M597" s="396" t="s">
        <v>43</v>
      </c>
      <c r="N597" s="396">
        <v>25.400270190000001</v>
      </c>
      <c r="O597" s="396">
        <v>97.384729629999995</v>
      </c>
      <c r="P597" s="482" t="s">
        <v>757</v>
      </c>
      <c r="Q597" s="396" t="s">
        <v>776</v>
      </c>
      <c r="R597" s="399"/>
      <c r="S597" s="487"/>
      <c r="T597" s="412"/>
      <c r="U597" s="401" t="s">
        <v>1047</v>
      </c>
      <c r="V597" s="396" t="s">
        <v>1050</v>
      </c>
      <c r="W597" s="482"/>
    </row>
    <row r="598" spans="1:23" s="68" customFormat="1" ht="14.25" customHeight="1">
      <c r="A598" s="482" t="s">
        <v>36</v>
      </c>
      <c r="B598" s="482" t="s">
        <v>149</v>
      </c>
      <c r="C598" s="482" t="s">
        <v>1048</v>
      </c>
      <c r="D598" s="431" t="s">
        <v>1656</v>
      </c>
      <c r="E598" s="396"/>
      <c r="F598" s="396"/>
      <c r="G598" s="396"/>
      <c r="H598" s="396"/>
      <c r="I598" s="396"/>
      <c r="J598" s="396" t="s">
        <v>42</v>
      </c>
      <c r="K598" s="396" t="s">
        <v>42</v>
      </c>
      <c r="L598" s="396" t="s">
        <v>756</v>
      </c>
      <c r="M598" s="396" t="s">
        <v>43</v>
      </c>
      <c r="N598" s="396">
        <v>25.395974089999999</v>
      </c>
      <c r="O598" s="396">
        <v>97.382997579999994</v>
      </c>
      <c r="P598" s="482" t="s">
        <v>757</v>
      </c>
      <c r="Q598" s="396" t="s">
        <v>776</v>
      </c>
      <c r="R598" s="399"/>
      <c r="S598" s="487"/>
      <c r="T598" s="412"/>
      <c r="U598" s="401"/>
      <c r="V598" s="396" t="s">
        <v>1048</v>
      </c>
      <c r="W598" s="482"/>
    </row>
    <row r="599" spans="1:23" s="68" customFormat="1" ht="14.25" customHeight="1">
      <c r="A599" s="396" t="s">
        <v>36</v>
      </c>
      <c r="B599" s="482" t="s">
        <v>149</v>
      </c>
      <c r="C599" s="482" t="s">
        <v>1049</v>
      </c>
      <c r="D599" s="431" t="s">
        <v>1656</v>
      </c>
      <c r="E599" s="68" t="s">
        <v>1554</v>
      </c>
      <c r="J599" s="68" t="s">
        <v>42</v>
      </c>
      <c r="K599" s="68" t="s">
        <v>42</v>
      </c>
      <c r="L599" s="68" t="s">
        <v>756</v>
      </c>
      <c r="M599" s="68" t="s">
        <v>43</v>
      </c>
      <c r="N599" s="68">
        <v>25.396492500000001</v>
      </c>
      <c r="O599" s="68">
        <v>97.381325000000004</v>
      </c>
      <c r="P599" s="68" t="s">
        <v>757</v>
      </c>
      <c r="Q599" s="68" t="s">
        <v>776</v>
      </c>
      <c r="R599" s="399"/>
      <c r="S599" s="487"/>
      <c r="T599" s="101"/>
      <c r="U599" s="97" t="s">
        <v>1047</v>
      </c>
      <c r="V599" s="68" t="s">
        <v>1049</v>
      </c>
    </row>
    <row r="600" spans="1:23" s="68" customFormat="1" ht="14.25" customHeight="1">
      <c r="A600" s="716" t="s">
        <v>36</v>
      </c>
      <c r="B600" s="720" t="s">
        <v>149</v>
      </c>
      <c r="C600" s="722" t="s">
        <v>3183</v>
      </c>
      <c r="D600" s="485"/>
      <c r="E600" s="717"/>
      <c r="F600" s="717"/>
      <c r="G600" s="717"/>
      <c r="H600" s="717"/>
      <c r="I600" s="717"/>
      <c r="J600" s="659" t="s">
        <v>794</v>
      </c>
      <c r="K600" s="659" t="s">
        <v>794</v>
      </c>
      <c r="L600" s="659" t="s">
        <v>794</v>
      </c>
      <c r="M600" s="717"/>
      <c r="N600" s="717"/>
      <c r="O600" s="717"/>
      <c r="P600" s="717" t="s">
        <v>795</v>
      </c>
      <c r="Q600" s="717" t="s">
        <v>3197</v>
      </c>
      <c r="R600" s="718"/>
      <c r="S600" s="716"/>
      <c r="T600" s="719">
        <v>43936</v>
      </c>
      <c r="U600" s="718"/>
      <c r="V600" s="717"/>
      <c r="W600" s="486"/>
    </row>
    <row r="601" spans="1:23" s="68" customFormat="1" ht="14.25" customHeight="1">
      <c r="A601" s="482" t="s">
        <v>36</v>
      </c>
      <c r="B601" s="482" t="s">
        <v>149</v>
      </c>
      <c r="C601" s="482" t="s">
        <v>151</v>
      </c>
      <c r="D601" s="431" t="s">
        <v>2817</v>
      </c>
      <c r="E601" s="68" t="s">
        <v>1557</v>
      </c>
      <c r="F601" s="68" t="s">
        <v>1717</v>
      </c>
      <c r="G601" s="68" t="s">
        <v>1820</v>
      </c>
      <c r="H601" s="68" t="s">
        <v>40</v>
      </c>
      <c r="I601" s="68" t="s">
        <v>131</v>
      </c>
      <c r="J601" s="68" t="s">
        <v>42</v>
      </c>
      <c r="K601" s="482" t="s">
        <v>42</v>
      </c>
      <c r="L601" s="482" t="s">
        <v>42</v>
      </c>
      <c r="M601" s="68" t="s">
        <v>43</v>
      </c>
      <c r="N601" s="68">
        <v>25.403476999999999</v>
      </c>
      <c r="O601" s="68">
        <v>97.373361000000003</v>
      </c>
      <c r="P601" s="482" t="s">
        <v>757</v>
      </c>
      <c r="Q601" s="68" t="s">
        <v>776</v>
      </c>
      <c r="R601" s="486">
        <v>199</v>
      </c>
      <c r="S601" s="486">
        <v>1131</v>
      </c>
      <c r="T601" s="101"/>
      <c r="U601" s="97"/>
      <c r="V601" s="68" t="s">
        <v>151</v>
      </c>
      <c r="W601" s="482"/>
    </row>
    <row r="602" spans="1:23" s="68" customFormat="1" ht="14.25" customHeight="1">
      <c r="A602" s="482" t="s">
        <v>36</v>
      </c>
      <c r="B602" s="482" t="s">
        <v>149</v>
      </c>
      <c r="C602" s="482" t="s">
        <v>223</v>
      </c>
      <c r="D602" s="431" t="s">
        <v>2817</v>
      </c>
      <c r="E602" s="68" t="s">
        <v>1556</v>
      </c>
      <c r="F602" s="68" t="s">
        <v>1717</v>
      </c>
      <c r="G602" s="68" t="s">
        <v>1820</v>
      </c>
      <c r="H602" s="68" t="s">
        <v>40</v>
      </c>
      <c r="I602" s="482" t="s">
        <v>1325</v>
      </c>
      <c r="J602" s="68" t="s">
        <v>42</v>
      </c>
      <c r="K602" s="482" t="s">
        <v>42</v>
      </c>
      <c r="L602" s="482" t="s">
        <v>42</v>
      </c>
      <c r="M602" s="68" t="s">
        <v>43</v>
      </c>
      <c r="N602" s="396">
        <v>25.401061110000001</v>
      </c>
      <c r="O602" s="396">
        <v>97.379594999999995</v>
      </c>
      <c r="P602" s="482" t="s">
        <v>757</v>
      </c>
      <c r="Q602" s="68" t="s">
        <v>776</v>
      </c>
      <c r="R602" s="399">
        <v>100</v>
      </c>
      <c r="S602" s="486">
        <v>485</v>
      </c>
      <c r="T602" s="101"/>
      <c r="U602" s="97"/>
      <c r="V602" s="68" t="s">
        <v>223</v>
      </c>
      <c r="W602" s="482"/>
    </row>
    <row r="603" spans="1:23" s="68" customFormat="1" ht="14.25" customHeight="1">
      <c r="A603" s="491" t="s">
        <v>36</v>
      </c>
      <c r="B603" s="490" t="s">
        <v>149</v>
      </c>
      <c r="C603" s="484" t="s">
        <v>2101</v>
      </c>
      <c r="D603" s="431" t="s">
        <v>2817</v>
      </c>
      <c r="E603" s="68" t="s">
        <v>1955</v>
      </c>
      <c r="I603" s="68" t="s">
        <v>131</v>
      </c>
      <c r="J603" s="68" t="s">
        <v>42</v>
      </c>
      <c r="K603" s="68" t="s">
        <v>42</v>
      </c>
      <c r="L603" s="68" t="s">
        <v>42</v>
      </c>
      <c r="M603" s="68" t="s">
        <v>43</v>
      </c>
      <c r="P603" s="484" t="s">
        <v>757</v>
      </c>
      <c r="Q603" s="68" t="s">
        <v>1930</v>
      </c>
      <c r="R603" s="486">
        <v>140</v>
      </c>
      <c r="S603" s="486">
        <v>620</v>
      </c>
      <c r="T603" s="101">
        <v>43276</v>
      </c>
      <c r="U603" s="97" t="s">
        <v>1979</v>
      </c>
      <c r="W603" s="391" t="s">
        <v>2255</v>
      </c>
    </row>
    <row r="604" spans="1:23" s="68" customFormat="1" ht="14.25" customHeight="1">
      <c r="A604" s="491" t="s">
        <v>36</v>
      </c>
      <c r="B604" s="490" t="s">
        <v>149</v>
      </c>
      <c r="C604" s="484" t="s">
        <v>1937</v>
      </c>
      <c r="D604" s="485"/>
      <c r="E604" s="396"/>
      <c r="F604" s="396"/>
      <c r="G604" s="396"/>
      <c r="H604" s="396"/>
      <c r="I604" s="396"/>
      <c r="J604" s="396" t="s">
        <v>1460</v>
      </c>
      <c r="K604" s="396" t="s">
        <v>42</v>
      </c>
      <c r="L604" s="482" t="s">
        <v>42</v>
      </c>
      <c r="M604" s="396" t="s">
        <v>43</v>
      </c>
      <c r="N604" s="396"/>
      <c r="O604" s="396"/>
      <c r="P604" s="68" t="s">
        <v>757</v>
      </c>
      <c r="Q604" s="396" t="s">
        <v>1930</v>
      </c>
      <c r="R604" s="494"/>
      <c r="S604" s="487"/>
      <c r="T604" s="412">
        <v>43270</v>
      </c>
      <c r="U604" s="401"/>
      <c r="V604" s="396"/>
      <c r="W604" s="482"/>
    </row>
    <row r="605" spans="1:23" s="68" customFormat="1" ht="14.25" customHeight="1">
      <c r="A605" s="482" t="s">
        <v>36</v>
      </c>
      <c r="B605" s="482" t="s">
        <v>149</v>
      </c>
      <c r="C605" s="482" t="s">
        <v>1098</v>
      </c>
      <c r="D605" s="431" t="s">
        <v>2817</v>
      </c>
      <c r="E605" s="482" t="s">
        <v>1943</v>
      </c>
      <c r="F605" s="482" t="s">
        <v>1717</v>
      </c>
      <c r="G605" s="482" t="s">
        <v>1873</v>
      </c>
      <c r="H605" s="482"/>
      <c r="I605" s="482" t="s">
        <v>1325</v>
      </c>
      <c r="J605" s="68" t="s">
        <v>42</v>
      </c>
      <c r="K605" s="68" t="s">
        <v>42</v>
      </c>
      <c r="L605" s="484" t="s">
        <v>42</v>
      </c>
      <c r="M605" s="68" t="s">
        <v>43</v>
      </c>
      <c r="P605" s="482" t="s">
        <v>757</v>
      </c>
      <c r="Q605" s="68" t="s">
        <v>922</v>
      </c>
      <c r="R605" s="486">
        <v>14</v>
      </c>
      <c r="S605" s="486">
        <v>40</v>
      </c>
      <c r="T605" s="101">
        <v>42983</v>
      </c>
      <c r="U605" s="488" t="s">
        <v>1099</v>
      </c>
      <c r="V605" s="482"/>
      <c r="W605" s="391" t="s">
        <v>2256</v>
      </c>
    </row>
    <row r="606" spans="1:23" s="68" customFormat="1" ht="14.25" customHeight="1">
      <c r="A606" s="482" t="s">
        <v>36</v>
      </c>
      <c r="B606" s="482" t="s">
        <v>149</v>
      </c>
      <c r="C606" s="482" t="s">
        <v>152</v>
      </c>
      <c r="D606" s="431" t="s">
        <v>2657</v>
      </c>
      <c r="E606" s="482" t="s">
        <v>1548</v>
      </c>
      <c r="F606" s="482" t="s">
        <v>1717</v>
      </c>
      <c r="G606" s="482" t="s">
        <v>1817</v>
      </c>
      <c r="H606" s="482" t="s">
        <v>40</v>
      </c>
      <c r="I606" s="482" t="s">
        <v>131</v>
      </c>
      <c r="J606" s="68" t="s">
        <v>42</v>
      </c>
      <c r="K606" s="68" t="s">
        <v>42</v>
      </c>
      <c r="L606" s="482" t="s">
        <v>756</v>
      </c>
      <c r="M606" s="68" t="s">
        <v>43</v>
      </c>
      <c r="N606" s="68">
        <v>25.36600361</v>
      </c>
      <c r="O606" s="68">
        <v>97.405202779999996</v>
      </c>
      <c r="P606" s="482" t="s">
        <v>757</v>
      </c>
      <c r="Q606" s="68" t="s">
        <v>776</v>
      </c>
      <c r="R606" s="399"/>
      <c r="S606" s="399"/>
      <c r="T606" s="101"/>
      <c r="U606" s="488"/>
      <c r="V606" s="482" t="s">
        <v>152</v>
      </c>
      <c r="W606" s="482"/>
    </row>
    <row r="607" spans="1:23" s="68" customFormat="1" ht="14.25" customHeight="1">
      <c r="A607" s="491" t="s">
        <v>36</v>
      </c>
      <c r="B607" s="490" t="s">
        <v>149</v>
      </c>
      <c r="C607" s="491" t="s">
        <v>767</v>
      </c>
      <c r="D607" s="431" t="s">
        <v>2817</v>
      </c>
      <c r="E607" s="516" t="s">
        <v>1328</v>
      </c>
      <c r="H607" s="482"/>
      <c r="I607" s="482" t="s">
        <v>2116</v>
      </c>
      <c r="J607" s="482" t="s">
        <v>42</v>
      </c>
      <c r="K607" s="482" t="s">
        <v>42</v>
      </c>
      <c r="L607" s="482" t="s">
        <v>756</v>
      </c>
      <c r="M607" s="482" t="s">
        <v>43</v>
      </c>
      <c r="N607" s="482">
        <v>0</v>
      </c>
      <c r="O607" s="482">
        <v>0</v>
      </c>
      <c r="P607" s="482" t="s">
        <v>757</v>
      </c>
      <c r="Q607" s="482" t="s">
        <v>2104</v>
      </c>
      <c r="R607" s="486"/>
      <c r="S607" s="486"/>
      <c r="T607" s="506">
        <v>43360</v>
      </c>
      <c r="U607" s="488" t="s">
        <v>2106</v>
      </c>
      <c r="W607" s="482"/>
    </row>
    <row r="608" spans="1:23" s="68" customFormat="1" ht="14.25" customHeight="1">
      <c r="A608" s="487" t="s">
        <v>36</v>
      </c>
      <c r="B608" s="490" t="s">
        <v>149</v>
      </c>
      <c r="C608" s="491" t="s">
        <v>2021</v>
      </c>
      <c r="D608" s="485"/>
      <c r="E608" s="482"/>
      <c r="F608" s="482"/>
      <c r="G608" s="482"/>
      <c r="H608" s="482"/>
      <c r="I608" s="482"/>
      <c r="J608" s="482" t="s">
        <v>1460</v>
      </c>
      <c r="K608" s="484" t="s">
        <v>42</v>
      </c>
      <c r="L608" s="484" t="s">
        <v>772</v>
      </c>
      <c r="M608" s="482" t="s">
        <v>774</v>
      </c>
      <c r="N608" s="482"/>
      <c r="O608" s="482"/>
      <c r="P608" s="482" t="s">
        <v>757</v>
      </c>
      <c r="Q608" s="482"/>
      <c r="R608" s="494"/>
      <c r="S608" s="487"/>
      <c r="T608" s="506">
        <v>43298</v>
      </c>
      <c r="U608" s="488"/>
      <c r="V608" s="482"/>
      <c r="W608" s="482"/>
    </row>
    <row r="609" spans="1:23" s="68" customFormat="1" ht="14.25" customHeight="1">
      <c r="A609" s="482" t="s">
        <v>36</v>
      </c>
      <c r="B609" s="482" t="s">
        <v>149</v>
      </c>
      <c r="C609" s="482" t="s">
        <v>153</v>
      </c>
      <c r="D609" s="431" t="s">
        <v>2817</v>
      </c>
      <c r="E609" s="482" t="s">
        <v>1547</v>
      </c>
      <c r="F609" s="482" t="s">
        <v>1717</v>
      </c>
      <c r="G609" s="482" t="s">
        <v>1811</v>
      </c>
      <c r="H609" s="482" t="s">
        <v>40</v>
      </c>
      <c r="I609" s="482" t="s">
        <v>2661</v>
      </c>
      <c r="J609" s="68" t="s">
        <v>42</v>
      </c>
      <c r="K609" s="482" t="s">
        <v>42</v>
      </c>
      <c r="L609" s="482" t="s">
        <v>42</v>
      </c>
      <c r="M609" s="68" t="s">
        <v>43</v>
      </c>
      <c r="N609" s="68">
        <v>25.362420757575801</v>
      </c>
      <c r="O609" s="68">
        <v>97.409035000000003</v>
      </c>
      <c r="P609" s="482" t="s">
        <v>757</v>
      </c>
      <c r="Q609" s="68" t="s">
        <v>776</v>
      </c>
      <c r="R609" s="486">
        <v>152</v>
      </c>
      <c r="S609" s="486">
        <v>770</v>
      </c>
      <c r="T609" s="101"/>
      <c r="U609" s="488"/>
      <c r="V609" s="482" t="s">
        <v>153</v>
      </c>
      <c r="W609" s="391" t="s">
        <v>2257</v>
      </c>
    </row>
    <row r="610" spans="1:23" s="68" customFormat="1" ht="14.25" customHeight="1">
      <c r="A610" s="482" t="s">
        <v>36</v>
      </c>
      <c r="B610" s="482" t="s">
        <v>149</v>
      </c>
      <c r="C610" s="482" t="s">
        <v>154</v>
      </c>
      <c r="D610" s="431" t="s">
        <v>2817</v>
      </c>
      <c r="E610" s="68" t="s">
        <v>1539</v>
      </c>
      <c r="F610" s="68" t="s">
        <v>1717</v>
      </c>
      <c r="G610" s="68" t="s">
        <v>1811</v>
      </c>
      <c r="H610" s="68" t="s">
        <v>40</v>
      </c>
      <c r="I610" s="482" t="s">
        <v>2661</v>
      </c>
      <c r="J610" s="68" t="s">
        <v>42</v>
      </c>
      <c r="K610" s="68" t="s">
        <v>42</v>
      </c>
      <c r="L610" s="482" t="s">
        <v>42</v>
      </c>
      <c r="M610" s="68" t="s">
        <v>43</v>
      </c>
      <c r="N610" s="396">
        <v>25.3510167948718</v>
      </c>
      <c r="O610" s="396">
        <v>97.403402307692303</v>
      </c>
      <c r="P610" s="482" t="s">
        <v>757</v>
      </c>
      <c r="Q610" s="68" t="s">
        <v>776</v>
      </c>
      <c r="R610" s="399">
        <v>138</v>
      </c>
      <c r="S610" s="486">
        <v>709</v>
      </c>
      <c r="T610" s="101"/>
      <c r="U610" s="488"/>
      <c r="V610" s="68" t="s">
        <v>154</v>
      </c>
      <c r="W610" s="482"/>
    </row>
    <row r="611" spans="1:23" s="68" customFormat="1" ht="14.25" customHeight="1">
      <c r="A611" s="482" t="s">
        <v>36</v>
      </c>
      <c r="B611" s="482" t="s">
        <v>149</v>
      </c>
      <c r="C611" s="482" t="s">
        <v>155</v>
      </c>
      <c r="D611" s="431" t="s">
        <v>2817</v>
      </c>
      <c r="E611" s="68" t="s">
        <v>1546</v>
      </c>
      <c r="F611" s="68" t="s">
        <v>1717</v>
      </c>
      <c r="G611" s="68" t="s">
        <v>1816</v>
      </c>
      <c r="H611" s="68" t="s">
        <v>40</v>
      </c>
      <c r="I611" s="482" t="s">
        <v>2661</v>
      </c>
      <c r="J611" s="68" t="s">
        <v>42</v>
      </c>
      <c r="K611" s="68" t="s">
        <v>42</v>
      </c>
      <c r="L611" s="68" t="s">
        <v>42</v>
      </c>
      <c r="M611" s="68" t="s">
        <v>43</v>
      </c>
      <c r="N611" s="68">
        <v>25.360463124999999</v>
      </c>
      <c r="O611" s="68">
        <v>97.4113064583333</v>
      </c>
      <c r="P611" s="17" t="s">
        <v>757</v>
      </c>
      <c r="Q611" s="68" t="s">
        <v>776</v>
      </c>
      <c r="R611" s="486">
        <v>61</v>
      </c>
      <c r="S611" s="486">
        <v>312</v>
      </c>
      <c r="T611" s="101"/>
      <c r="U611" s="97"/>
      <c r="V611" s="68" t="s">
        <v>155</v>
      </c>
      <c r="W611" s="396"/>
    </row>
    <row r="612" spans="1:23" s="68" customFormat="1" ht="14.25" customHeight="1">
      <c r="A612" s="396" t="s">
        <v>36</v>
      </c>
      <c r="B612" s="482" t="s">
        <v>149</v>
      </c>
      <c r="C612" s="482" t="s">
        <v>156</v>
      </c>
      <c r="D612" s="431" t="s">
        <v>2817</v>
      </c>
      <c r="E612" s="68" t="s">
        <v>1572</v>
      </c>
      <c r="F612" s="68" t="s">
        <v>1717</v>
      </c>
      <c r="G612" s="68" t="s">
        <v>1828</v>
      </c>
      <c r="H612" s="68" t="s">
        <v>40</v>
      </c>
      <c r="I612" s="68" t="s">
        <v>2661</v>
      </c>
      <c r="J612" s="68" t="s">
        <v>42</v>
      </c>
      <c r="K612" s="396" t="s">
        <v>42</v>
      </c>
      <c r="L612" s="482" t="s">
        <v>42</v>
      </c>
      <c r="M612" s="68" t="s">
        <v>43</v>
      </c>
      <c r="N612" s="68">
        <v>25.428910999999999</v>
      </c>
      <c r="O612" s="68">
        <v>97.418694000000002</v>
      </c>
      <c r="P612" s="68" t="s">
        <v>757</v>
      </c>
      <c r="Q612" s="68" t="s">
        <v>776</v>
      </c>
      <c r="R612" s="399">
        <v>103</v>
      </c>
      <c r="S612" s="486">
        <v>586</v>
      </c>
      <c r="T612" s="101"/>
      <c r="U612" s="97"/>
      <c r="V612" s="68" t="s">
        <v>156</v>
      </c>
      <c r="W612" s="482"/>
    </row>
    <row r="613" spans="1:23" s="68" customFormat="1" ht="14.25" customHeight="1">
      <c r="A613" s="482" t="s">
        <v>36</v>
      </c>
      <c r="B613" s="482" t="s">
        <v>149</v>
      </c>
      <c r="C613" s="482" t="s">
        <v>253</v>
      </c>
      <c r="D613" s="431" t="s">
        <v>2817</v>
      </c>
      <c r="E613" s="68" t="s">
        <v>1550</v>
      </c>
      <c r="F613" s="68" t="s">
        <v>1818</v>
      </c>
      <c r="G613" s="68" t="s">
        <v>1818</v>
      </c>
      <c r="H613" s="68" t="s">
        <v>40</v>
      </c>
      <c r="I613" s="68" t="s">
        <v>232</v>
      </c>
      <c r="J613" s="68" t="s">
        <v>42</v>
      </c>
      <c r="K613" s="68" t="s">
        <v>42</v>
      </c>
      <c r="L613" s="68" t="s">
        <v>42</v>
      </c>
      <c r="M613" s="68" t="s">
        <v>43</v>
      </c>
      <c r="N613" s="68">
        <v>25.374343974359</v>
      </c>
      <c r="O613" s="68">
        <v>97.2843958974359</v>
      </c>
      <c r="P613" s="68" t="s">
        <v>757</v>
      </c>
      <c r="Q613" s="68" t="s">
        <v>776</v>
      </c>
      <c r="R613" s="486">
        <v>22</v>
      </c>
      <c r="S613" s="486">
        <v>92</v>
      </c>
      <c r="T613" s="101"/>
      <c r="U613" s="97"/>
      <c r="V613" s="68" t="s">
        <v>253</v>
      </c>
      <c r="W613" s="482"/>
    </row>
    <row r="614" spans="1:23" s="68" customFormat="1" ht="14.25" customHeight="1">
      <c r="A614" s="482" t="s">
        <v>36</v>
      </c>
      <c r="B614" s="482" t="s">
        <v>149</v>
      </c>
      <c r="C614" s="482" t="s">
        <v>254</v>
      </c>
      <c r="D614" s="431" t="s">
        <v>2817</v>
      </c>
      <c r="E614" s="482" t="s">
        <v>1549</v>
      </c>
      <c r="F614" s="482" t="s">
        <v>1818</v>
      </c>
      <c r="G614" s="482" t="s">
        <v>1818</v>
      </c>
      <c r="H614" s="482" t="s">
        <v>40</v>
      </c>
      <c r="I614" s="482" t="s">
        <v>232</v>
      </c>
      <c r="J614" s="68" t="s">
        <v>42</v>
      </c>
      <c r="K614" s="68" t="s">
        <v>42</v>
      </c>
      <c r="L614" s="482" t="s">
        <v>42</v>
      </c>
      <c r="M614" s="68" t="s">
        <v>43</v>
      </c>
      <c r="N614" s="68">
        <v>25.371049444444399</v>
      </c>
      <c r="O614" s="68">
        <v>97.290952037037002</v>
      </c>
      <c r="P614" s="482" t="s">
        <v>757</v>
      </c>
      <c r="Q614" s="68" t="s">
        <v>776</v>
      </c>
      <c r="R614" s="486">
        <v>21</v>
      </c>
      <c r="S614" s="486">
        <v>123</v>
      </c>
      <c r="T614" s="101"/>
      <c r="U614" s="488"/>
      <c r="V614" s="482" t="s">
        <v>254</v>
      </c>
      <c r="W614" s="482"/>
    </row>
    <row r="615" spans="1:23" s="68" customFormat="1" ht="14.25" customHeight="1">
      <c r="A615" s="482" t="s">
        <v>36</v>
      </c>
      <c r="B615" s="482" t="s">
        <v>149</v>
      </c>
      <c r="C615" s="482" t="s">
        <v>1045</v>
      </c>
      <c r="D615" s="431" t="s">
        <v>1657</v>
      </c>
      <c r="E615" s="396" t="s">
        <v>1552</v>
      </c>
      <c r="F615" s="396" t="s">
        <v>1717</v>
      </c>
      <c r="G615" s="396" t="s">
        <v>1719</v>
      </c>
      <c r="H615" s="396" t="s">
        <v>40</v>
      </c>
      <c r="I615" s="482" t="s">
        <v>232</v>
      </c>
      <c r="J615" s="396" t="s">
        <v>42</v>
      </c>
      <c r="K615" s="482" t="s">
        <v>42</v>
      </c>
      <c r="L615" s="482" t="s">
        <v>756</v>
      </c>
      <c r="M615" s="396" t="s">
        <v>43</v>
      </c>
      <c r="N615" s="396">
        <v>25.387862999999999</v>
      </c>
      <c r="O615" s="396">
        <v>97.376671999999999</v>
      </c>
      <c r="P615" s="482" t="s">
        <v>757</v>
      </c>
      <c r="Q615" s="396"/>
      <c r="R615" s="486"/>
      <c r="S615" s="487"/>
      <c r="T615" s="412"/>
      <c r="U615" s="401"/>
      <c r="V615" s="396" t="s">
        <v>1045</v>
      </c>
      <c r="W615" s="391" t="s">
        <v>2158</v>
      </c>
    </row>
    <row r="616" spans="1:23" s="68" customFormat="1" ht="14.25" customHeight="1">
      <c r="A616" s="482" t="s">
        <v>36</v>
      </c>
      <c r="B616" s="482" t="s">
        <v>149</v>
      </c>
      <c r="C616" s="482" t="s">
        <v>224</v>
      </c>
      <c r="D616" s="431" t="s">
        <v>2817</v>
      </c>
      <c r="E616" s="68" t="s">
        <v>1561</v>
      </c>
      <c r="F616" s="68" t="s">
        <v>1823</v>
      </c>
      <c r="G616" s="68" t="s">
        <v>1823</v>
      </c>
      <c r="H616" s="68" t="s">
        <v>40</v>
      </c>
      <c r="I616" s="68" t="s">
        <v>1325</v>
      </c>
      <c r="J616" s="68" t="s">
        <v>42</v>
      </c>
      <c r="K616" s="482" t="s">
        <v>42</v>
      </c>
      <c r="L616" s="482" t="s">
        <v>42</v>
      </c>
      <c r="M616" s="68" t="s">
        <v>43</v>
      </c>
      <c r="N616" s="396">
        <v>25.410569299999999</v>
      </c>
      <c r="O616" s="396">
        <v>97.359320179999997</v>
      </c>
      <c r="P616" s="68" t="s">
        <v>757</v>
      </c>
      <c r="Q616" s="68" t="s">
        <v>776</v>
      </c>
      <c r="R616" s="486">
        <v>60</v>
      </c>
      <c r="S616" s="486">
        <v>316</v>
      </c>
      <c r="T616" s="101"/>
      <c r="U616" s="97"/>
      <c r="V616" s="68" t="s">
        <v>224</v>
      </c>
      <c r="W616" s="482"/>
    </row>
    <row r="617" spans="1:23" s="68" customFormat="1" ht="14.25" customHeight="1">
      <c r="A617" s="482" t="s">
        <v>36</v>
      </c>
      <c r="B617" s="482" t="s">
        <v>149</v>
      </c>
      <c r="C617" s="482" t="s">
        <v>157</v>
      </c>
      <c r="D617" s="431" t="s">
        <v>2817</v>
      </c>
      <c r="E617" s="68" t="s">
        <v>1568</v>
      </c>
      <c r="F617" s="396" t="s">
        <v>1717</v>
      </c>
      <c r="G617" s="68" t="s">
        <v>1827</v>
      </c>
      <c r="H617" s="68" t="s">
        <v>40</v>
      </c>
      <c r="I617" s="68" t="s">
        <v>2661</v>
      </c>
      <c r="J617" s="68" t="s">
        <v>42</v>
      </c>
      <c r="K617" s="482" t="s">
        <v>42</v>
      </c>
      <c r="L617" s="482" t="s">
        <v>42</v>
      </c>
      <c r="M617" s="68" t="s">
        <v>43</v>
      </c>
      <c r="N617" s="68">
        <v>25.422194000000001</v>
      </c>
      <c r="O617" s="68">
        <v>97.394547000000003</v>
      </c>
      <c r="P617" s="68" t="s">
        <v>757</v>
      </c>
      <c r="Q617" s="68" t="s">
        <v>776</v>
      </c>
      <c r="R617" s="486">
        <v>67</v>
      </c>
      <c r="S617" s="486">
        <v>291</v>
      </c>
      <c r="T617" s="101"/>
      <c r="U617" s="97"/>
      <c r="V617" s="68" t="s">
        <v>157</v>
      </c>
      <c r="W617" s="396"/>
    </row>
    <row r="618" spans="1:23" s="68" customFormat="1" ht="14.25" customHeight="1">
      <c r="A618" s="482" t="s">
        <v>36</v>
      </c>
      <c r="B618" s="482" t="s">
        <v>149</v>
      </c>
      <c r="C618" s="482" t="s">
        <v>225</v>
      </c>
      <c r="D618" s="431" t="s">
        <v>2817</v>
      </c>
      <c r="E618" s="68" t="s">
        <v>1574</v>
      </c>
      <c r="F618" s="68" t="s">
        <v>1830</v>
      </c>
      <c r="G618" s="68" t="s">
        <v>1831</v>
      </c>
      <c r="H618" s="68" t="s">
        <v>40</v>
      </c>
      <c r="I618" s="482" t="s">
        <v>1325</v>
      </c>
      <c r="J618" s="68" t="s">
        <v>42</v>
      </c>
      <c r="K618" s="482" t="s">
        <v>42</v>
      </c>
      <c r="L618" s="482" t="s">
        <v>42</v>
      </c>
      <c r="M618" s="68" t="s">
        <v>43</v>
      </c>
      <c r="N618" s="68">
        <v>25.493819999999999</v>
      </c>
      <c r="O618" s="68">
        <v>97.4345</v>
      </c>
      <c r="P618" s="482" t="s">
        <v>757</v>
      </c>
      <c r="Q618" s="68" t="s">
        <v>776</v>
      </c>
      <c r="R618" s="399">
        <v>149</v>
      </c>
      <c r="S618" s="486">
        <v>885</v>
      </c>
      <c r="T618" s="101"/>
      <c r="U618" s="97"/>
      <c r="V618" s="68" t="s">
        <v>225</v>
      </c>
      <c r="W618" s="482"/>
    </row>
    <row r="619" spans="1:23" s="68" customFormat="1" ht="14.25" customHeight="1">
      <c r="A619" s="491" t="s">
        <v>36</v>
      </c>
      <c r="B619" s="490" t="s">
        <v>149</v>
      </c>
      <c r="C619" s="491" t="s">
        <v>2102</v>
      </c>
      <c r="D619" s="431" t="s">
        <v>2817</v>
      </c>
      <c r="E619" s="68" t="s">
        <v>2103</v>
      </c>
      <c r="H619" s="68" t="s">
        <v>40</v>
      </c>
      <c r="I619" s="482" t="s">
        <v>1325</v>
      </c>
      <c r="J619" s="68" t="s">
        <v>42</v>
      </c>
      <c r="K619" s="484" t="s">
        <v>42</v>
      </c>
      <c r="L619" s="484" t="s">
        <v>42</v>
      </c>
      <c r="M619" s="68" t="s">
        <v>43</v>
      </c>
      <c r="N619" s="68">
        <v>25.493819999999999</v>
      </c>
      <c r="O619" s="68">
        <v>97.4345</v>
      </c>
      <c r="P619" s="484" t="s">
        <v>757</v>
      </c>
      <c r="Q619" s="68" t="s">
        <v>2104</v>
      </c>
      <c r="R619" s="486">
        <v>255</v>
      </c>
      <c r="S619" s="486">
        <v>1373</v>
      </c>
      <c r="T619" s="101">
        <v>43360</v>
      </c>
      <c r="U619" s="97" t="s">
        <v>2105</v>
      </c>
      <c r="W619" s="391" t="s">
        <v>2258</v>
      </c>
    </row>
    <row r="620" spans="1:23" s="68" customFormat="1" ht="14.25" customHeight="1">
      <c r="A620" s="482" t="s">
        <v>36</v>
      </c>
      <c r="B620" s="482" t="s">
        <v>149</v>
      </c>
      <c r="C620" s="484" t="s">
        <v>158</v>
      </c>
      <c r="D620" s="431" t="s">
        <v>2817</v>
      </c>
      <c r="E620" s="68" t="s">
        <v>1563</v>
      </c>
      <c r="F620" s="68" t="s">
        <v>1717</v>
      </c>
      <c r="G620" s="68" t="s">
        <v>1824</v>
      </c>
      <c r="H620" s="68" t="s">
        <v>40</v>
      </c>
      <c r="I620" s="68" t="s">
        <v>2661</v>
      </c>
      <c r="J620" s="68" t="s">
        <v>42</v>
      </c>
      <c r="K620" s="482" t="s">
        <v>42</v>
      </c>
      <c r="L620" s="482" t="s">
        <v>42</v>
      </c>
      <c r="M620" s="68" t="s">
        <v>43</v>
      </c>
      <c r="N620" s="396">
        <v>25.412313000000001</v>
      </c>
      <c r="O620" s="396">
        <v>97.399628000000007</v>
      </c>
      <c r="P620" s="68" t="s">
        <v>757</v>
      </c>
      <c r="Q620" s="68" t="s">
        <v>776</v>
      </c>
      <c r="R620" s="486">
        <v>124</v>
      </c>
      <c r="S620" s="486">
        <v>609</v>
      </c>
      <c r="T620" s="101"/>
      <c r="U620" s="97"/>
      <c r="V620" s="68" t="s">
        <v>158</v>
      </c>
      <c r="W620" s="396"/>
    </row>
    <row r="621" spans="1:23" s="68" customFormat="1" ht="14.25" customHeight="1">
      <c r="A621" s="482" t="s">
        <v>36</v>
      </c>
      <c r="B621" s="482" t="s">
        <v>149</v>
      </c>
      <c r="C621" s="484" t="s">
        <v>255</v>
      </c>
      <c r="D621" s="431" t="s">
        <v>2817</v>
      </c>
      <c r="E621" s="68" t="s">
        <v>1570</v>
      </c>
      <c r="F621" s="396" t="s">
        <v>1717</v>
      </c>
      <c r="G621" s="68" t="s">
        <v>1824</v>
      </c>
      <c r="H621" s="68" t="s">
        <v>40</v>
      </c>
      <c r="I621" s="482" t="s">
        <v>232</v>
      </c>
      <c r="J621" s="68" t="s">
        <v>42</v>
      </c>
      <c r="K621" s="482" t="s">
        <v>42</v>
      </c>
      <c r="L621" s="482" t="s">
        <v>42</v>
      </c>
      <c r="M621" s="68" t="s">
        <v>43</v>
      </c>
      <c r="N621" s="396">
        <v>25.423817</v>
      </c>
      <c r="O621" s="396">
        <v>97.418004999999994</v>
      </c>
      <c r="P621" s="68" t="s">
        <v>757</v>
      </c>
      <c r="Q621" s="68" t="s">
        <v>776</v>
      </c>
      <c r="R621" s="486">
        <v>24</v>
      </c>
      <c r="S621" s="486">
        <v>111</v>
      </c>
      <c r="T621" s="101"/>
      <c r="U621" s="97"/>
      <c r="V621" s="68" t="s">
        <v>255</v>
      </c>
      <c r="W621" s="482"/>
    </row>
    <row r="622" spans="1:23" s="68" customFormat="1" ht="14.25" customHeight="1">
      <c r="A622" s="482" t="s">
        <v>36</v>
      </c>
      <c r="B622" s="484" t="s">
        <v>149</v>
      </c>
      <c r="C622" s="484" t="s">
        <v>159</v>
      </c>
      <c r="D622" s="431" t="s">
        <v>2817</v>
      </c>
      <c r="E622" s="68" t="s">
        <v>1573</v>
      </c>
      <c r="F622" s="68" t="s">
        <v>1717</v>
      </c>
      <c r="G622" s="68" t="s">
        <v>1829</v>
      </c>
      <c r="H622" s="68" t="s">
        <v>40</v>
      </c>
      <c r="I622" s="68" t="s">
        <v>2661</v>
      </c>
      <c r="J622" s="68" t="s">
        <v>42</v>
      </c>
      <c r="K622" s="482" t="s">
        <v>42</v>
      </c>
      <c r="L622" s="482" t="s">
        <v>42</v>
      </c>
      <c r="M622" s="68" t="s">
        <v>43</v>
      </c>
      <c r="N622" s="396">
        <v>25.440928</v>
      </c>
      <c r="O622" s="396">
        <v>97.419403000000003</v>
      </c>
      <c r="P622" s="482" t="s">
        <v>757</v>
      </c>
      <c r="Q622" s="68" t="s">
        <v>776</v>
      </c>
      <c r="R622" s="486">
        <v>95</v>
      </c>
      <c r="S622" s="486">
        <v>549</v>
      </c>
      <c r="T622" s="101"/>
      <c r="U622" s="97"/>
      <c r="V622" s="396" t="s">
        <v>159</v>
      </c>
      <c r="W622" s="482"/>
    </row>
    <row r="623" spans="1:23" s="68" customFormat="1" ht="14.25" customHeight="1">
      <c r="A623" s="491" t="s">
        <v>36</v>
      </c>
      <c r="B623" s="490" t="s">
        <v>149</v>
      </c>
      <c r="C623" s="484" t="s">
        <v>1947</v>
      </c>
      <c r="D623" s="431" t="s">
        <v>2657</v>
      </c>
      <c r="E623" s="396" t="s">
        <v>1954</v>
      </c>
      <c r="F623" s="396"/>
      <c r="G623" s="396"/>
      <c r="H623" s="396"/>
      <c r="I623" s="482" t="s">
        <v>2116</v>
      </c>
      <c r="J623" s="68" t="s">
        <v>42</v>
      </c>
      <c r="K623" s="482" t="s">
        <v>42</v>
      </c>
      <c r="L623" s="482" t="s">
        <v>756</v>
      </c>
      <c r="M623" s="396" t="s">
        <v>43</v>
      </c>
      <c r="N623" s="396">
        <v>97.49136</v>
      </c>
      <c r="O623" s="396">
        <v>25.717300000000002</v>
      </c>
      <c r="P623" s="484" t="s">
        <v>757</v>
      </c>
      <c r="Q623" s="396" t="s">
        <v>1930</v>
      </c>
      <c r="R623" s="486"/>
      <c r="S623" s="486"/>
      <c r="T623" s="412">
        <v>43276</v>
      </c>
      <c r="U623" s="401" t="s">
        <v>1978</v>
      </c>
      <c r="V623" s="396"/>
      <c r="W623" s="391" t="s">
        <v>2259</v>
      </c>
    </row>
    <row r="624" spans="1:23" s="68" customFormat="1" ht="14.25" customHeight="1">
      <c r="A624" s="482" t="s">
        <v>36</v>
      </c>
      <c r="B624" s="484" t="s">
        <v>149</v>
      </c>
      <c r="C624" s="484" t="s">
        <v>1140</v>
      </c>
      <c r="D624" s="431" t="s">
        <v>1656</v>
      </c>
      <c r="E624" s="396"/>
      <c r="F624" s="396"/>
      <c r="G624" s="396"/>
      <c r="H624" s="396"/>
      <c r="I624" s="482"/>
      <c r="J624" s="396" t="s">
        <v>42</v>
      </c>
      <c r="K624" s="482" t="s">
        <v>42</v>
      </c>
      <c r="L624" s="482" t="s">
        <v>1083</v>
      </c>
      <c r="M624" s="396" t="s">
        <v>43</v>
      </c>
      <c r="N624" s="396"/>
      <c r="O624" s="396"/>
      <c r="P624" s="482" t="s">
        <v>757</v>
      </c>
      <c r="Q624" s="396"/>
      <c r="R624" s="486"/>
      <c r="S624" s="487"/>
      <c r="T624" s="412"/>
      <c r="U624" s="401"/>
      <c r="V624" s="396" t="s">
        <v>1140</v>
      </c>
      <c r="W624" s="396"/>
    </row>
    <row r="625" spans="1:23" s="68" customFormat="1" ht="14.25" customHeight="1">
      <c r="A625" s="482" t="s">
        <v>36</v>
      </c>
      <c r="B625" s="484" t="s">
        <v>149</v>
      </c>
      <c r="C625" s="484" t="s">
        <v>160</v>
      </c>
      <c r="D625" s="431" t="s">
        <v>2817</v>
      </c>
      <c r="E625" s="68" t="s">
        <v>1564</v>
      </c>
      <c r="F625" s="68" t="s">
        <v>1717</v>
      </c>
      <c r="G625" s="68" t="s">
        <v>1821</v>
      </c>
      <c r="H625" s="68" t="s">
        <v>40</v>
      </c>
      <c r="I625" s="68" t="s">
        <v>2661</v>
      </c>
      <c r="J625" s="68" t="s">
        <v>42</v>
      </c>
      <c r="K625" s="482" t="s">
        <v>42</v>
      </c>
      <c r="L625" s="482" t="s">
        <v>42</v>
      </c>
      <c r="M625" s="68" t="s">
        <v>43</v>
      </c>
      <c r="N625" s="396">
        <v>25.415482000000001</v>
      </c>
      <c r="O625" s="396">
        <v>97.386718999999999</v>
      </c>
      <c r="P625" s="482" t="s">
        <v>757</v>
      </c>
      <c r="Q625" s="68" t="s">
        <v>776</v>
      </c>
      <c r="R625" s="486">
        <v>78</v>
      </c>
      <c r="S625" s="486">
        <v>424</v>
      </c>
      <c r="T625" s="101"/>
      <c r="U625" s="97"/>
      <c r="V625" s="68" t="s">
        <v>160</v>
      </c>
    </row>
    <row r="626" spans="1:23" s="68" customFormat="1" ht="14.25" customHeight="1">
      <c r="A626" s="482" t="s">
        <v>36</v>
      </c>
      <c r="B626" s="484" t="s">
        <v>149</v>
      </c>
      <c r="C626" s="484" t="s">
        <v>256</v>
      </c>
      <c r="D626" s="431" t="s">
        <v>2817</v>
      </c>
      <c r="E626" s="68" t="s">
        <v>1569</v>
      </c>
      <c r="F626" s="68" t="s">
        <v>1717</v>
      </c>
      <c r="G626" s="68" t="s">
        <v>1821</v>
      </c>
      <c r="H626" s="68" t="s">
        <v>40</v>
      </c>
      <c r="I626" s="68" t="s">
        <v>232</v>
      </c>
      <c r="J626" s="68" t="s">
        <v>42</v>
      </c>
      <c r="K626" s="482" t="s">
        <v>42</v>
      </c>
      <c r="L626" s="482" t="s">
        <v>42</v>
      </c>
      <c r="M626" s="68" t="s">
        <v>43</v>
      </c>
      <c r="N626" s="396">
        <v>25.423209</v>
      </c>
      <c r="O626" s="396">
        <v>97.379987</v>
      </c>
      <c r="P626" s="482" t="s">
        <v>757</v>
      </c>
      <c r="Q626" s="68" t="s">
        <v>776</v>
      </c>
      <c r="R626" s="486">
        <v>54</v>
      </c>
      <c r="S626" s="486">
        <v>250</v>
      </c>
      <c r="T626" s="101"/>
      <c r="U626" s="97"/>
      <c r="V626" s="68" t="s">
        <v>1051</v>
      </c>
      <c r="W626" s="396"/>
    </row>
    <row r="627" spans="1:23" s="68" customFormat="1" ht="14.25" customHeight="1">
      <c r="A627" s="396" t="s">
        <v>36</v>
      </c>
      <c r="B627" s="484" t="s">
        <v>149</v>
      </c>
      <c r="C627" s="484" t="s">
        <v>257</v>
      </c>
      <c r="D627" s="431" t="s">
        <v>2817</v>
      </c>
      <c r="E627" s="489" t="s">
        <v>1566</v>
      </c>
      <c r="F627" s="396" t="s">
        <v>1717</v>
      </c>
      <c r="G627" s="68" t="s">
        <v>1821</v>
      </c>
      <c r="H627" s="68" t="s">
        <v>40</v>
      </c>
      <c r="I627" s="482" t="s">
        <v>232</v>
      </c>
      <c r="J627" s="68" t="s">
        <v>42</v>
      </c>
      <c r="K627" s="68" t="s">
        <v>42</v>
      </c>
      <c r="L627" s="482" t="s">
        <v>42</v>
      </c>
      <c r="M627" s="68" t="s">
        <v>43</v>
      </c>
      <c r="N627" s="396">
        <v>25.417733999999999</v>
      </c>
      <c r="O627" s="396">
        <v>97.389778000000007</v>
      </c>
      <c r="P627" s="482" t="s">
        <v>757</v>
      </c>
      <c r="Q627" s="68" t="s">
        <v>776</v>
      </c>
      <c r="R627" s="399">
        <v>17</v>
      </c>
      <c r="S627" s="399">
        <v>83</v>
      </c>
      <c r="T627" s="101"/>
      <c r="U627" s="97"/>
      <c r="V627" s="68" t="s">
        <v>257</v>
      </c>
    </row>
    <row r="628" spans="1:23" s="68" customFormat="1" ht="14.25" customHeight="1">
      <c r="A628" s="482" t="s">
        <v>36</v>
      </c>
      <c r="B628" s="484" t="s">
        <v>149</v>
      </c>
      <c r="C628" s="484" t="s">
        <v>161</v>
      </c>
      <c r="D628" s="431" t="s">
        <v>2817</v>
      </c>
      <c r="E628" s="484" t="s">
        <v>1559</v>
      </c>
      <c r="F628" s="68" t="s">
        <v>1717</v>
      </c>
      <c r="G628" s="68" t="s">
        <v>1821</v>
      </c>
      <c r="H628" s="482" t="s">
        <v>40</v>
      </c>
      <c r="I628" s="482" t="s">
        <v>2661</v>
      </c>
      <c r="J628" s="482" t="s">
        <v>42</v>
      </c>
      <c r="K628" s="482" t="s">
        <v>42</v>
      </c>
      <c r="L628" s="482" t="s">
        <v>42</v>
      </c>
      <c r="M628" s="482" t="s">
        <v>43</v>
      </c>
      <c r="N628" s="482">
        <v>25.404752999999999</v>
      </c>
      <c r="O628" s="482">
        <v>97.377662999999998</v>
      </c>
      <c r="P628" s="482" t="s">
        <v>757</v>
      </c>
      <c r="Q628" s="482" t="s">
        <v>776</v>
      </c>
      <c r="R628" s="486">
        <v>33</v>
      </c>
      <c r="S628" s="486">
        <v>184</v>
      </c>
      <c r="T628" s="506"/>
      <c r="U628" s="488"/>
      <c r="V628" s="396" t="s">
        <v>161</v>
      </c>
      <c r="W628" s="482"/>
    </row>
    <row r="629" spans="1:23" s="68" customFormat="1" ht="14.25" customHeight="1">
      <c r="A629" s="482" t="s">
        <v>36</v>
      </c>
      <c r="B629" s="484" t="s">
        <v>149</v>
      </c>
      <c r="C629" s="484" t="s">
        <v>162</v>
      </c>
      <c r="D629" s="431" t="s">
        <v>2817</v>
      </c>
      <c r="E629" s="482" t="s">
        <v>1558</v>
      </c>
      <c r="F629" s="482" t="s">
        <v>1717</v>
      </c>
      <c r="G629" s="482" t="s">
        <v>1821</v>
      </c>
      <c r="H629" s="482" t="s">
        <v>40</v>
      </c>
      <c r="I629" s="482" t="s">
        <v>2661</v>
      </c>
      <c r="J629" s="482" t="s">
        <v>42</v>
      </c>
      <c r="K629" s="482" t="s">
        <v>42</v>
      </c>
      <c r="L629" s="482" t="s">
        <v>42</v>
      </c>
      <c r="M629" s="482" t="s">
        <v>43</v>
      </c>
      <c r="N629" s="482">
        <v>25.404015000000001</v>
      </c>
      <c r="O629" s="482">
        <v>97.382192000000003</v>
      </c>
      <c r="P629" s="482" t="s">
        <v>757</v>
      </c>
      <c r="Q629" s="482" t="s">
        <v>776</v>
      </c>
      <c r="R629" s="486">
        <v>46</v>
      </c>
      <c r="S629" s="486">
        <v>242</v>
      </c>
      <c r="T629" s="506"/>
      <c r="U629" s="488"/>
      <c r="V629" s="482" t="s">
        <v>162</v>
      </c>
      <c r="W629" s="482"/>
    </row>
    <row r="630" spans="1:23" s="68" customFormat="1" ht="14.25" customHeight="1">
      <c r="A630" s="491" t="s">
        <v>36</v>
      </c>
      <c r="B630" s="490" t="s">
        <v>149</v>
      </c>
      <c r="C630" s="484" t="s">
        <v>1935</v>
      </c>
      <c r="D630" s="485"/>
      <c r="E630" s="482"/>
      <c r="F630" s="482"/>
      <c r="G630" s="482"/>
      <c r="H630" s="482"/>
      <c r="I630" s="482"/>
      <c r="J630" s="482" t="s">
        <v>1460</v>
      </c>
      <c r="K630" s="482" t="s">
        <v>42</v>
      </c>
      <c r="L630" s="482" t="s">
        <v>42</v>
      </c>
      <c r="M630" s="482" t="s">
        <v>43</v>
      </c>
      <c r="N630" s="482"/>
      <c r="O630" s="482"/>
      <c r="P630" s="482" t="s">
        <v>757</v>
      </c>
      <c r="Q630" s="482" t="s">
        <v>1930</v>
      </c>
      <c r="R630" s="494"/>
      <c r="S630" s="487"/>
      <c r="T630" s="506">
        <v>43270</v>
      </c>
      <c r="U630" s="488"/>
      <c r="V630" s="482"/>
      <c r="W630" s="482"/>
    </row>
    <row r="631" spans="1:23" s="68" customFormat="1" ht="14.25" customHeight="1">
      <c r="A631" s="491" t="s">
        <v>36</v>
      </c>
      <c r="B631" s="490" t="s">
        <v>149</v>
      </c>
      <c r="C631" s="484" t="s">
        <v>1948</v>
      </c>
      <c r="D631" s="431" t="s">
        <v>2817</v>
      </c>
      <c r="E631" s="484" t="s">
        <v>1956</v>
      </c>
      <c r="F631" s="484"/>
      <c r="G631" s="484"/>
      <c r="H631" s="484"/>
      <c r="I631" s="484" t="s">
        <v>2116</v>
      </c>
      <c r="J631" s="68" t="s">
        <v>42</v>
      </c>
      <c r="K631" s="482" t="s">
        <v>42</v>
      </c>
      <c r="L631" s="484" t="s">
        <v>772</v>
      </c>
      <c r="M631" s="68" t="s">
        <v>43</v>
      </c>
      <c r="N631" s="396">
        <v>0</v>
      </c>
      <c r="O631" s="396">
        <v>0</v>
      </c>
      <c r="P631" s="17" t="s">
        <v>757</v>
      </c>
      <c r="Q631" s="68" t="s">
        <v>1930</v>
      </c>
      <c r="R631" s="486">
        <v>8</v>
      </c>
      <c r="S631" s="486">
        <v>32</v>
      </c>
      <c r="T631" s="101">
        <v>43276</v>
      </c>
      <c r="U631" s="492" t="s">
        <v>1979</v>
      </c>
      <c r="V631" s="484"/>
      <c r="W631" s="391" t="s">
        <v>2127</v>
      </c>
    </row>
    <row r="632" spans="1:23" s="68" customFormat="1" ht="14.25" customHeight="1">
      <c r="A632" s="491" t="s">
        <v>36</v>
      </c>
      <c r="B632" s="490" t="s">
        <v>149</v>
      </c>
      <c r="C632" s="484" t="s">
        <v>2111</v>
      </c>
      <c r="D632" s="431" t="s">
        <v>2817</v>
      </c>
      <c r="E632" s="482" t="s">
        <v>1953</v>
      </c>
      <c r="H632" s="482" t="s">
        <v>40</v>
      </c>
      <c r="I632" s="482" t="s">
        <v>2661</v>
      </c>
      <c r="J632" s="482" t="s">
        <v>42</v>
      </c>
      <c r="K632" s="482" t="s">
        <v>42</v>
      </c>
      <c r="L632" s="482" t="s">
        <v>42</v>
      </c>
      <c r="M632" s="482" t="s">
        <v>43</v>
      </c>
      <c r="N632" s="482">
        <v>25.480989999999998</v>
      </c>
      <c r="O632" s="482">
        <v>97.431079999999994</v>
      </c>
      <c r="P632" s="484" t="s">
        <v>757</v>
      </c>
      <c r="Q632" s="482" t="s">
        <v>1930</v>
      </c>
      <c r="R632" s="486">
        <v>205</v>
      </c>
      <c r="S632" s="486">
        <v>960</v>
      </c>
      <c r="T632" s="506">
        <v>43276</v>
      </c>
      <c r="U632" s="488" t="s">
        <v>1978</v>
      </c>
      <c r="W632" s="391" t="s">
        <v>2260</v>
      </c>
    </row>
    <row r="633" spans="1:23" s="68" customFormat="1" ht="14.25" customHeight="1">
      <c r="A633" s="491" t="s">
        <v>36</v>
      </c>
      <c r="B633" s="490" t="s">
        <v>149</v>
      </c>
      <c r="C633" s="484" t="s">
        <v>1936</v>
      </c>
      <c r="D633" s="485"/>
      <c r="E633" s="482"/>
      <c r="F633" s="482"/>
      <c r="G633" s="482"/>
      <c r="H633" s="482"/>
      <c r="I633" s="482"/>
      <c r="J633" s="482" t="s">
        <v>1460</v>
      </c>
      <c r="K633" s="482" t="s">
        <v>42</v>
      </c>
      <c r="L633" s="482" t="s">
        <v>42</v>
      </c>
      <c r="M633" s="482" t="s">
        <v>43</v>
      </c>
      <c r="N633" s="482"/>
      <c r="O633" s="482"/>
      <c r="P633" s="482" t="s">
        <v>757</v>
      </c>
      <c r="Q633" s="482" t="s">
        <v>1930</v>
      </c>
      <c r="R633" s="494"/>
      <c r="S633" s="487"/>
      <c r="T633" s="506">
        <v>43270</v>
      </c>
      <c r="U633" s="488"/>
      <c r="V633" s="482"/>
      <c r="W633" s="482"/>
    </row>
    <row r="634" spans="1:23" s="68" customFormat="1" ht="14.25" customHeight="1">
      <c r="A634" s="482" t="s">
        <v>36</v>
      </c>
      <c r="B634" s="484" t="s">
        <v>149</v>
      </c>
      <c r="C634" s="484" t="s">
        <v>1043</v>
      </c>
      <c r="D634" s="431" t="s">
        <v>1657</v>
      </c>
      <c r="E634" s="68" t="s">
        <v>1551</v>
      </c>
      <c r="F634" s="68" t="s">
        <v>1717</v>
      </c>
      <c r="G634" s="68" t="s">
        <v>1718</v>
      </c>
      <c r="H634" s="68" t="s">
        <v>40</v>
      </c>
      <c r="I634" s="68" t="s">
        <v>232</v>
      </c>
      <c r="J634" s="68" t="s">
        <v>42</v>
      </c>
      <c r="K634" s="482" t="s">
        <v>42</v>
      </c>
      <c r="L634" s="482" t="s">
        <v>756</v>
      </c>
      <c r="M634" s="68" t="s">
        <v>43</v>
      </c>
      <c r="N634" s="68">
        <v>25.377038169999999</v>
      </c>
      <c r="O634" s="68">
        <v>97.403878500000005</v>
      </c>
      <c r="P634" s="68" t="s">
        <v>757</v>
      </c>
      <c r="Q634" s="68" t="s">
        <v>776</v>
      </c>
      <c r="R634" s="486"/>
      <c r="S634" s="487"/>
      <c r="T634" s="101">
        <v>42983</v>
      </c>
      <c r="U634" s="488" t="s">
        <v>1044</v>
      </c>
      <c r="V634" s="68" t="s">
        <v>1043</v>
      </c>
      <c r="W634" s="482" t="s">
        <v>2159</v>
      </c>
    </row>
    <row r="635" spans="1:23" s="68" customFormat="1" ht="14.25" customHeight="1">
      <c r="A635" s="482" t="s">
        <v>36</v>
      </c>
      <c r="B635" s="482" t="s">
        <v>163</v>
      </c>
      <c r="C635" s="482" t="s">
        <v>1096</v>
      </c>
      <c r="D635" s="431" t="s">
        <v>1656</v>
      </c>
      <c r="E635" s="482"/>
      <c r="I635" s="482"/>
      <c r="J635" s="68" t="s">
        <v>42</v>
      </c>
      <c r="K635" s="68" t="s">
        <v>42</v>
      </c>
      <c r="L635" s="482" t="s">
        <v>1083</v>
      </c>
      <c r="M635" s="68" t="s">
        <v>43</v>
      </c>
      <c r="P635" s="482" t="s">
        <v>757</v>
      </c>
      <c r="R635" s="486"/>
      <c r="S635" s="487"/>
      <c r="T635" s="101"/>
      <c r="U635" s="488"/>
      <c r="V635" s="68" t="s">
        <v>1096</v>
      </c>
      <c r="W635" s="482"/>
    </row>
    <row r="636" spans="1:23" s="68" customFormat="1" ht="14.25" customHeight="1">
      <c r="A636" s="482" t="s">
        <v>36</v>
      </c>
      <c r="B636" s="482" t="s">
        <v>163</v>
      </c>
      <c r="C636" s="482" t="s">
        <v>1070</v>
      </c>
      <c r="D636" s="431" t="s">
        <v>2817</v>
      </c>
      <c r="E636" s="482" t="s">
        <v>1615</v>
      </c>
      <c r="F636" s="68" t="s">
        <v>1730</v>
      </c>
      <c r="G636" s="68" t="s">
        <v>1871</v>
      </c>
      <c r="I636" s="484" t="s">
        <v>2116</v>
      </c>
      <c r="J636" s="68" t="s">
        <v>42</v>
      </c>
      <c r="K636" s="68" t="s">
        <v>42</v>
      </c>
      <c r="L636" s="68" t="s">
        <v>768</v>
      </c>
      <c r="M636" s="68" t="s">
        <v>43</v>
      </c>
      <c r="N636" s="396">
        <v>27.248964999999998</v>
      </c>
      <c r="O636" s="396">
        <v>97.561105999999995</v>
      </c>
      <c r="P636" s="68" t="s">
        <v>769</v>
      </c>
      <c r="Q636" s="68" t="s">
        <v>758</v>
      </c>
      <c r="R636" s="486">
        <v>10</v>
      </c>
      <c r="S636" s="486">
        <v>56</v>
      </c>
      <c r="T636" s="101"/>
      <c r="U636" s="97" t="s">
        <v>1071</v>
      </c>
      <c r="W636" s="482"/>
    </row>
    <row r="637" spans="1:23" s="68" customFormat="1" ht="14.25" customHeight="1">
      <c r="A637" s="482" t="s">
        <v>36</v>
      </c>
      <c r="B637" s="482" t="s">
        <v>163</v>
      </c>
      <c r="C637" s="482" t="s">
        <v>164</v>
      </c>
      <c r="D637" s="431" t="s">
        <v>2817</v>
      </c>
      <c r="E637" s="482" t="s">
        <v>1619</v>
      </c>
      <c r="F637" s="396" t="s">
        <v>1846</v>
      </c>
      <c r="G637" s="68" t="s">
        <v>1847</v>
      </c>
      <c r="H637" s="482" t="s">
        <v>40</v>
      </c>
      <c r="I637" s="482" t="s">
        <v>2661</v>
      </c>
      <c r="J637" s="482" t="s">
        <v>42</v>
      </c>
      <c r="K637" s="482" t="s">
        <v>42</v>
      </c>
      <c r="L637" s="482" t="s">
        <v>42</v>
      </c>
      <c r="M637" s="482" t="s">
        <v>43</v>
      </c>
      <c r="N637" s="482">
        <v>27.337499999999999</v>
      </c>
      <c r="O637" s="482">
        <v>97.416121000000004</v>
      </c>
      <c r="P637" s="482" t="s">
        <v>757</v>
      </c>
      <c r="Q637" s="482" t="s">
        <v>776</v>
      </c>
      <c r="R637" s="486">
        <v>61</v>
      </c>
      <c r="S637" s="486">
        <v>281</v>
      </c>
      <c r="T637" s="506"/>
      <c r="U637" s="488"/>
      <c r="V637" s="482" t="s">
        <v>1078</v>
      </c>
      <c r="W637" s="482"/>
    </row>
    <row r="638" spans="1:23" s="68" customFormat="1" ht="14.25" customHeight="1">
      <c r="A638" s="482" t="s">
        <v>36</v>
      </c>
      <c r="B638" s="482" t="s">
        <v>163</v>
      </c>
      <c r="C638" s="482" t="s">
        <v>1072</v>
      </c>
      <c r="D638" s="431" t="s">
        <v>1657</v>
      </c>
      <c r="E638" s="482" t="s">
        <v>1616</v>
      </c>
      <c r="F638" s="482" t="s">
        <v>1730</v>
      </c>
      <c r="G638" s="482" t="s">
        <v>1731</v>
      </c>
      <c r="H638" s="482"/>
      <c r="I638" s="482">
        <v>0</v>
      </c>
      <c r="J638" s="482" t="s">
        <v>42</v>
      </c>
      <c r="K638" s="482" t="s">
        <v>42</v>
      </c>
      <c r="L638" s="482" t="s">
        <v>756</v>
      </c>
      <c r="M638" s="482" t="s">
        <v>43</v>
      </c>
      <c r="N638" s="482">
        <v>27.270199999999999</v>
      </c>
      <c r="O638" s="482">
        <v>97.58184</v>
      </c>
      <c r="P638" s="482" t="s">
        <v>757</v>
      </c>
      <c r="Q638" s="482"/>
      <c r="R638" s="486"/>
      <c r="S638" s="487"/>
      <c r="T638" s="506"/>
      <c r="U638" s="488"/>
      <c r="V638" s="482" t="s">
        <v>1072</v>
      </c>
      <c r="W638" s="391" t="s">
        <v>2160</v>
      </c>
    </row>
    <row r="639" spans="1:23" s="68" customFormat="1" ht="14.25" customHeight="1">
      <c r="A639" s="482" t="s">
        <v>36</v>
      </c>
      <c r="B639" s="482" t="s">
        <v>163</v>
      </c>
      <c r="C639" s="482" t="s">
        <v>1121</v>
      </c>
      <c r="D639" s="431" t="s">
        <v>1656</v>
      </c>
      <c r="E639" s="396"/>
      <c r="F639" s="482"/>
      <c r="G639" s="396"/>
      <c r="H639" s="396"/>
      <c r="I639" s="482"/>
      <c r="J639" s="68" t="s">
        <v>42</v>
      </c>
      <c r="K639" s="482" t="s">
        <v>42</v>
      </c>
      <c r="L639" s="482" t="s">
        <v>1083</v>
      </c>
      <c r="M639" s="396" t="s">
        <v>43</v>
      </c>
      <c r="N639" s="396"/>
      <c r="O639" s="396"/>
      <c r="P639" s="68" t="s">
        <v>757</v>
      </c>
      <c r="Q639" s="396"/>
      <c r="R639" s="486"/>
      <c r="S639" s="487"/>
      <c r="T639" s="412"/>
      <c r="U639" s="488"/>
      <c r="V639" s="396" t="s">
        <v>1121</v>
      </c>
      <c r="W639" s="482"/>
    </row>
    <row r="640" spans="1:23" s="68" customFormat="1" ht="14.25" customHeight="1">
      <c r="A640" s="482" t="s">
        <v>36</v>
      </c>
      <c r="B640" s="484" t="s">
        <v>163</v>
      </c>
      <c r="C640" s="484" t="s">
        <v>1076</v>
      </c>
      <c r="D640" s="431" t="s">
        <v>2817</v>
      </c>
      <c r="E640" s="396" t="s">
        <v>1618</v>
      </c>
      <c r="F640" s="396" t="s">
        <v>1846</v>
      </c>
      <c r="G640" s="396" t="s">
        <v>1872</v>
      </c>
      <c r="H640" s="396"/>
      <c r="I640" s="484" t="s">
        <v>2116</v>
      </c>
      <c r="J640" s="396" t="s">
        <v>42</v>
      </c>
      <c r="K640" s="482" t="s">
        <v>42</v>
      </c>
      <c r="L640" s="482" t="s">
        <v>768</v>
      </c>
      <c r="M640" s="396" t="s">
        <v>43</v>
      </c>
      <c r="N640" s="396">
        <v>27.311699999999998</v>
      </c>
      <c r="O640" s="396">
        <v>97.415289999999999</v>
      </c>
      <c r="P640" s="396" t="s">
        <v>769</v>
      </c>
      <c r="Q640" s="396" t="s">
        <v>758</v>
      </c>
      <c r="R640" s="486">
        <v>17</v>
      </c>
      <c r="S640" s="486">
        <v>92</v>
      </c>
      <c r="T640" s="412"/>
      <c r="U640" s="488" t="s">
        <v>1077</v>
      </c>
      <c r="V640" s="396" t="s">
        <v>1076</v>
      </c>
      <c r="W640" s="482"/>
    </row>
    <row r="641" spans="1:23" s="68" customFormat="1" ht="14.25" customHeight="1">
      <c r="A641" s="487" t="s">
        <v>36</v>
      </c>
      <c r="B641" s="490" t="s">
        <v>204</v>
      </c>
      <c r="C641" s="491" t="s">
        <v>2019</v>
      </c>
      <c r="D641" s="485"/>
      <c r="E641" s="482"/>
      <c r="F641" s="482"/>
      <c r="G641" s="482"/>
      <c r="J641" s="68" t="s">
        <v>1460</v>
      </c>
      <c r="K641" s="484" t="s">
        <v>42</v>
      </c>
      <c r="L641" s="484" t="s">
        <v>772</v>
      </c>
      <c r="M641" s="68" t="s">
        <v>774</v>
      </c>
      <c r="P641" s="482" t="s">
        <v>757</v>
      </c>
      <c r="R641" s="494"/>
      <c r="S641" s="487"/>
      <c r="T641" s="101">
        <v>43298</v>
      </c>
      <c r="U641" s="488"/>
      <c r="V641" s="482"/>
      <c r="W641" s="482"/>
    </row>
    <row r="642" spans="1:23" s="68" customFormat="1" ht="14.25" customHeight="1">
      <c r="A642" s="487" t="s">
        <v>36</v>
      </c>
      <c r="B642" s="490" t="s">
        <v>204</v>
      </c>
      <c r="C642" s="413" t="s">
        <v>2011</v>
      </c>
      <c r="D642" s="485" t="s">
        <v>2817</v>
      </c>
      <c r="E642" s="68" t="s">
        <v>2818</v>
      </c>
      <c r="I642" s="482"/>
      <c r="J642" s="68" t="s">
        <v>42</v>
      </c>
      <c r="K642" s="484" t="s">
        <v>42</v>
      </c>
      <c r="L642" s="484" t="s">
        <v>772</v>
      </c>
      <c r="M642" s="68" t="s">
        <v>774</v>
      </c>
      <c r="P642" s="68" t="s">
        <v>757</v>
      </c>
      <c r="R642" s="494">
        <v>361</v>
      </c>
      <c r="S642" s="487">
        <v>1397</v>
      </c>
      <c r="T642" s="101">
        <v>43628</v>
      </c>
      <c r="U642" s="97"/>
      <c r="W642" s="482" t="s">
        <v>2819</v>
      </c>
    </row>
    <row r="643" spans="1:23" s="68" customFormat="1" ht="14.25" customHeight="1">
      <c r="A643" s="396" t="s">
        <v>36</v>
      </c>
      <c r="B643" s="484" t="s">
        <v>204</v>
      </c>
      <c r="C643" s="484" t="s">
        <v>205</v>
      </c>
      <c r="D643" s="431" t="s">
        <v>2817</v>
      </c>
      <c r="E643" s="482" t="s">
        <v>1473</v>
      </c>
      <c r="F643" s="396" t="s">
        <v>1775</v>
      </c>
      <c r="G643" s="396" t="s">
        <v>1775</v>
      </c>
      <c r="H643" s="396" t="s">
        <v>40</v>
      </c>
      <c r="I643" s="482" t="s">
        <v>2660</v>
      </c>
      <c r="J643" s="396" t="s">
        <v>42</v>
      </c>
      <c r="K643" s="396" t="s">
        <v>42</v>
      </c>
      <c r="L643" s="396" t="s">
        <v>42</v>
      </c>
      <c r="M643" s="396" t="s">
        <v>43</v>
      </c>
      <c r="N643" s="396">
        <v>24.200361000000001</v>
      </c>
      <c r="O643" s="396">
        <v>96.807353000000006</v>
      </c>
      <c r="P643" s="396" t="s">
        <v>757</v>
      </c>
      <c r="Q643" s="396" t="s">
        <v>776</v>
      </c>
      <c r="R643" s="399">
        <v>47</v>
      </c>
      <c r="S643" s="486">
        <v>276</v>
      </c>
      <c r="T643" s="412"/>
      <c r="U643" s="401"/>
      <c r="V643" s="396" t="s">
        <v>205</v>
      </c>
      <c r="W643" s="482"/>
    </row>
    <row r="644" spans="1:23" s="68" customFormat="1" ht="14.25" customHeight="1">
      <c r="A644" s="482" t="s">
        <v>36</v>
      </c>
      <c r="B644" s="484" t="s">
        <v>204</v>
      </c>
      <c r="C644" s="484" t="s">
        <v>206</v>
      </c>
      <c r="D644" s="431" t="s">
        <v>2817</v>
      </c>
      <c r="E644" s="484" t="s">
        <v>1474</v>
      </c>
      <c r="F644" s="482" t="s">
        <v>1775</v>
      </c>
      <c r="G644" s="482" t="s">
        <v>1775</v>
      </c>
      <c r="H644" s="482" t="s">
        <v>40</v>
      </c>
      <c r="I644" s="482" t="s">
        <v>41</v>
      </c>
      <c r="J644" s="68" t="s">
        <v>42</v>
      </c>
      <c r="K644" s="68" t="s">
        <v>42</v>
      </c>
      <c r="L644" s="68" t="s">
        <v>42</v>
      </c>
      <c r="M644" s="68" t="s">
        <v>43</v>
      </c>
      <c r="N644" s="482">
        <v>24.200367</v>
      </c>
      <c r="O644" s="482">
        <v>96.807353000000006</v>
      </c>
      <c r="P644" s="68" t="s">
        <v>757</v>
      </c>
      <c r="Q644" s="68" t="s">
        <v>776</v>
      </c>
      <c r="R644" s="486">
        <v>47</v>
      </c>
      <c r="S644" s="486">
        <v>194</v>
      </c>
      <c r="T644" s="101"/>
      <c r="U644" s="488"/>
      <c r="V644" s="482" t="s">
        <v>206</v>
      </c>
      <c r="W644" s="482"/>
    </row>
    <row r="645" spans="1:23" s="68" customFormat="1" ht="14.25" customHeight="1">
      <c r="A645" s="396" t="s">
        <v>36</v>
      </c>
      <c r="B645" s="484" t="s">
        <v>204</v>
      </c>
      <c r="C645" s="484" t="s">
        <v>1134</v>
      </c>
      <c r="D645" s="431" t="s">
        <v>1656</v>
      </c>
      <c r="E645" s="396"/>
      <c r="F645" s="396"/>
      <c r="G645" s="396"/>
      <c r="H645" s="396"/>
      <c r="I645" s="396"/>
      <c r="J645" s="68" t="s">
        <v>1083</v>
      </c>
      <c r="K645" s="68" t="s">
        <v>42</v>
      </c>
      <c r="L645" s="68" t="s">
        <v>756</v>
      </c>
      <c r="M645" s="396" t="s">
        <v>43</v>
      </c>
      <c r="N645" s="396"/>
      <c r="O645" s="396"/>
      <c r="P645" s="68" t="s">
        <v>757</v>
      </c>
      <c r="Q645" s="396"/>
      <c r="R645" s="399"/>
      <c r="S645" s="487"/>
      <c r="T645" s="412"/>
      <c r="U645" s="401"/>
      <c r="V645" s="396" t="s">
        <v>1134</v>
      </c>
      <c r="W645" s="482"/>
    </row>
    <row r="646" spans="1:23" s="68" customFormat="1" ht="14.25" customHeight="1">
      <c r="A646" s="482" t="s">
        <v>36</v>
      </c>
      <c r="B646" s="484" t="s">
        <v>204</v>
      </c>
      <c r="C646" s="484" t="s">
        <v>998</v>
      </c>
      <c r="D646" s="431" t="s">
        <v>1656</v>
      </c>
      <c r="E646" s="396" t="s">
        <v>1482</v>
      </c>
      <c r="F646" s="396"/>
      <c r="G646" s="396"/>
      <c r="H646" s="396"/>
      <c r="I646" s="482">
        <v>0</v>
      </c>
      <c r="J646" s="68" t="s">
        <v>42</v>
      </c>
      <c r="K646" s="482" t="s">
        <v>42</v>
      </c>
      <c r="L646" s="482" t="s">
        <v>756</v>
      </c>
      <c r="M646" s="396" t="s">
        <v>43</v>
      </c>
      <c r="N646" s="396">
        <v>24.224830999999998</v>
      </c>
      <c r="O646" s="396">
        <v>96.793177</v>
      </c>
      <c r="P646" s="482" t="s">
        <v>757</v>
      </c>
      <c r="Q646" s="396" t="s">
        <v>758</v>
      </c>
      <c r="R646" s="486"/>
      <c r="S646" s="487"/>
      <c r="T646" s="412">
        <v>42983</v>
      </c>
      <c r="U646" s="401" t="s">
        <v>999</v>
      </c>
      <c r="V646" s="396"/>
      <c r="W646" s="68" t="s">
        <v>2161</v>
      </c>
    </row>
    <row r="647" spans="1:23" s="68" customFormat="1" ht="14.25" customHeight="1">
      <c r="A647" s="487" t="s">
        <v>36</v>
      </c>
      <c r="B647" s="490" t="s">
        <v>204</v>
      </c>
      <c r="C647" s="491" t="s">
        <v>2018</v>
      </c>
      <c r="D647" s="485"/>
      <c r="J647" s="68" t="s">
        <v>1460</v>
      </c>
      <c r="K647" s="484" t="s">
        <v>42</v>
      </c>
      <c r="L647" s="484" t="s">
        <v>772</v>
      </c>
      <c r="M647" s="68" t="s">
        <v>774</v>
      </c>
      <c r="P647" s="482" t="s">
        <v>757</v>
      </c>
      <c r="R647" s="494"/>
      <c r="S647" s="487"/>
      <c r="T647" s="101">
        <v>43298</v>
      </c>
      <c r="U647" s="97"/>
      <c r="W647" s="482"/>
    </row>
    <row r="648" spans="1:23" s="68" customFormat="1" ht="14.25" customHeight="1">
      <c r="A648" s="487" t="s">
        <v>36</v>
      </c>
      <c r="B648" s="490" t="s">
        <v>204</v>
      </c>
      <c r="C648" s="491" t="s">
        <v>2016</v>
      </c>
      <c r="D648" s="485"/>
      <c r="E648" s="482"/>
      <c r="I648" s="482"/>
      <c r="J648" s="482" t="s">
        <v>1460</v>
      </c>
      <c r="K648" s="484" t="s">
        <v>42</v>
      </c>
      <c r="L648" s="484" t="s">
        <v>772</v>
      </c>
      <c r="M648" s="68" t="s">
        <v>774</v>
      </c>
      <c r="P648" s="68" t="s">
        <v>757</v>
      </c>
      <c r="R648" s="494"/>
      <c r="S648" s="487"/>
      <c r="T648" s="101">
        <v>43298</v>
      </c>
      <c r="U648" s="488"/>
      <c r="W648" s="482"/>
    </row>
    <row r="649" spans="1:23" s="68" customFormat="1" ht="14.25" customHeight="1">
      <c r="A649" s="487" t="s">
        <v>36</v>
      </c>
      <c r="B649" s="490" t="s">
        <v>174</v>
      </c>
      <c r="C649" s="491" t="s">
        <v>3121</v>
      </c>
      <c r="D649" s="485"/>
      <c r="E649" s="482"/>
      <c r="F649" s="396"/>
      <c r="G649" s="396"/>
      <c r="H649" s="396"/>
      <c r="I649" s="396"/>
      <c r="J649" s="659" t="s">
        <v>794</v>
      </c>
      <c r="K649" s="659" t="s">
        <v>794</v>
      </c>
      <c r="L649" s="396" t="s">
        <v>1095</v>
      </c>
      <c r="M649" s="396" t="s">
        <v>774</v>
      </c>
      <c r="N649" s="396"/>
      <c r="O649" s="396"/>
      <c r="P649" s="482"/>
      <c r="Q649" s="396" t="s">
        <v>3102</v>
      </c>
      <c r="R649" s="494"/>
      <c r="S649" s="487"/>
      <c r="T649" s="412">
        <v>43851</v>
      </c>
      <c r="U649" s="494"/>
      <c r="V649" s="396"/>
      <c r="W649" s="486"/>
    </row>
    <row r="650" spans="1:23" s="68" customFormat="1" ht="14.25" customHeight="1">
      <c r="A650" s="487" t="s">
        <v>36</v>
      </c>
      <c r="B650" s="490" t="s">
        <v>174</v>
      </c>
      <c r="C650" s="491" t="s">
        <v>3119</v>
      </c>
      <c r="D650" s="485"/>
      <c r="E650" s="482"/>
      <c r="F650" s="482"/>
      <c r="G650" s="482"/>
      <c r="H650" s="482"/>
      <c r="I650" s="482"/>
      <c r="J650" s="659" t="s">
        <v>794</v>
      </c>
      <c r="K650" s="659" t="s">
        <v>794</v>
      </c>
      <c r="L650" s="482" t="s">
        <v>1095</v>
      </c>
      <c r="M650" s="482" t="s">
        <v>774</v>
      </c>
      <c r="N650" s="482"/>
      <c r="O650" s="482"/>
      <c r="P650" s="482"/>
      <c r="Q650" s="482" t="s">
        <v>3102</v>
      </c>
      <c r="R650" s="494"/>
      <c r="S650" s="487"/>
      <c r="T650" s="506">
        <v>43851</v>
      </c>
      <c r="U650" s="494"/>
      <c r="V650" s="482"/>
      <c r="W650" s="486"/>
    </row>
    <row r="651" spans="1:23" s="68" customFormat="1" ht="14.25" customHeight="1">
      <c r="A651" s="482" t="s">
        <v>36</v>
      </c>
      <c r="B651" s="482" t="s">
        <v>174</v>
      </c>
      <c r="C651" s="430" t="s">
        <v>2658</v>
      </c>
      <c r="D651" s="431" t="s">
        <v>2817</v>
      </c>
      <c r="E651" s="484" t="s">
        <v>2659</v>
      </c>
      <c r="F651" s="68">
        <v>0</v>
      </c>
      <c r="G651" s="68">
        <v>0</v>
      </c>
      <c r="I651" s="484" t="s">
        <v>2116</v>
      </c>
      <c r="J651" s="482" t="s">
        <v>42</v>
      </c>
      <c r="K651" s="482" t="s">
        <v>42</v>
      </c>
      <c r="L651" s="429" t="s">
        <v>772</v>
      </c>
      <c r="M651" s="68" t="s">
        <v>43</v>
      </c>
      <c r="N651" s="68">
        <v>25.415667500000001</v>
      </c>
      <c r="O651" s="68">
        <v>97.437782499999997</v>
      </c>
      <c r="P651" s="17" t="s">
        <v>757</v>
      </c>
      <c r="Q651" s="68" t="s">
        <v>2627</v>
      </c>
      <c r="R651" s="486">
        <v>29</v>
      </c>
      <c r="S651" s="486">
        <v>140</v>
      </c>
      <c r="T651" s="101">
        <v>43579</v>
      </c>
      <c r="U651" s="488"/>
      <c r="W651" s="482"/>
    </row>
    <row r="652" spans="1:23" s="68" customFormat="1" ht="14.25" customHeight="1">
      <c r="A652" s="487" t="s">
        <v>36</v>
      </c>
      <c r="B652" s="490" t="s">
        <v>174</v>
      </c>
      <c r="C652" s="491" t="s">
        <v>3122</v>
      </c>
      <c r="D652" s="485"/>
      <c r="E652" s="482"/>
      <c r="F652" s="482"/>
      <c r="G652" s="482"/>
      <c r="H652" s="482"/>
      <c r="I652" s="482"/>
      <c r="J652" s="659" t="s">
        <v>794</v>
      </c>
      <c r="K652" s="659" t="s">
        <v>794</v>
      </c>
      <c r="L652" s="68" t="s">
        <v>1095</v>
      </c>
      <c r="M652" s="482" t="s">
        <v>774</v>
      </c>
      <c r="N652" s="482"/>
      <c r="O652" s="482"/>
      <c r="P652" s="482"/>
      <c r="Q652" s="482" t="s">
        <v>3102</v>
      </c>
      <c r="R652" s="494"/>
      <c r="S652" s="487"/>
      <c r="T652" s="506">
        <v>43851</v>
      </c>
      <c r="U652" s="494"/>
      <c r="V652" s="482"/>
      <c r="W652" s="486"/>
    </row>
    <row r="653" spans="1:23" s="68" customFormat="1" ht="14.25" customHeight="1">
      <c r="A653" s="396" t="s">
        <v>36</v>
      </c>
      <c r="B653" s="396" t="s">
        <v>174</v>
      </c>
      <c r="C653" s="396" t="s">
        <v>175</v>
      </c>
      <c r="D653" s="431" t="s">
        <v>2817</v>
      </c>
      <c r="E653" s="68" t="s">
        <v>1613</v>
      </c>
      <c r="F653" s="68">
        <v>0</v>
      </c>
      <c r="G653" s="68">
        <v>0</v>
      </c>
      <c r="H653" s="68" t="s">
        <v>40</v>
      </c>
      <c r="I653" s="68" t="s">
        <v>2661</v>
      </c>
      <c r="J653" s="68" t="s">
        <v>42</v>
      </c>
      <c r="K653" s="68" t="s">
        <v>42</v>
      </c>
      <c r="L653" s="68" t="s">
        <v>42</v>
      </c>
      <c r="M653" s="68" t="s">
        <v>774</v>
      </c>
      <c r="N653" s="68">
        <v>26.569633</v>
      </c>
      <c r="O653" s="68">
        <v>97.745480999999998</v>
      </c>
      <c r="P653" s="17" t="s">
        <v>757</v>
      </c>
      <c r="Q653" s="68" t="s">
        <v>758</v>
      </c>
      <c r="R653" s="399">
        <v>111</v>
      </c>
      <c r="S653" s="486">
        <v>564</v>
      </c>
      <c r="T653" s="101"/>
      <c r="U653" s="97"/>
      <c r="V653" s="68" t="s">
        <v>1067</v>
      </c>
      <c r="W653" s="482"/>
    </row>
    <row r="654" spans="1:23" s="68" customFormat="1" ht="14.25" customHeight="1">
      <c r="A654" s="396" t="s">
        <v>36</v>
      </c>
      <c r="B654" s="482" t="s">
        <v>174</v>
      </c>
      <c r="C654" s="482" t="s">
        <v>1120</v>
      </c>
      <c r="D654" s="431" t="s">
        <v>1656</v>
      </c>
      <c r="E654" s="482"/>
      <c r="J654" s="68" t="s">
        <v>42</v>
      </c>
      <c r="K654" s="68" t="s">
        <v>42</v>
      </c>
      <c r="L654" s="68" t="s">
        <v>1083</v>
      </c>
      <c r="M654" s="68" t="s">
        <v>43</v>
      </c>
      <c r="N654" s="396"/>
      <c r="O654" s="396"/>
      <c r="P654" s="482" t="s">
        <v>757</v>
      </c>
      <c r="R654" s="95"/>
      <c r="S654" s="487"/>
      <c r="T654" s="101"/>
      <c r="U654" s="97"/>
      <c r="V654" s="68" t="s">
        <v>1120</v>
      </c>
      <c r="W654" s="482"/>
    </row>
    <row r="655" spans="1:23" s="68" customFormat="1" ht="14.25" customHeight="1">
      <c r="A655" s="482" t="s">
        <v>36</v>
      </c>
      <c r="B655" s="484" t="s">
        <v>174</v>
      </c>
      <c r="C655" s="484" t="s">
        <v>177</v>
      </c>
      <c r="D655" s="431" t="s">
        <v>2817</v>
      </c>
      <c r="E655" s="484" t="s">
        <v>1612</v>
      </c>
      <c r="F655" s="68">
        <v>0</v>
      </c>
      <c r="G655" s="68">
        <v>0</v>
      </c>
      <c r="H655" s="68" t="s">
        <v>40</v>
      </c>
      <c r="I655" s="482" t="s">
        <v>2661</v>
      </c>
      <c r="J655" s="68" t="s">
        <v>42</v>
      </c>
      <c r="K655" s="68" t="s">
        <v>42</v>
      </c>
      <c r="L655" s="68" t="s">
        <v>42</v>
      </c>
      <c r="M655" s="68" t="s">
        <v>774</v>
      </c>
      <c r="N655" s="482">
        <v>26.548506</v>
      </c>
      <c r="O655" s="482">
        <v>97.75609</v>
      </c>
      <c r="P655" s="17" t="s">
        <v>757</v>
      </c>
      <c r="Q655" s="68" t="s">
        <v>758</v>
      </c>
      <c r="R655" s="486">
        <v>67</v>
      </c>
      <c r="S655" s="486">
        <v>311</v>
      </c>
      <c r="T655" s="101">
        <v>42788</v>
      </c>
      <c r="U655" s="488"/>
      <c r="W655" s="482"/>
    </row>
    <row r="656" spans="1:23" s="68" customFormat="1" ht="14.25" customHeight="1">
      <c r="A656" s="482" t="s">
        <v>36</v>
      </c>
      <c r="B656" s="484" t="s">
        <v>174</v>
      </c>
      <c r="C656" s="484" t="s">
        <v>174</v>
      </c>
      <c r="D656" s="431" t="s">
        <v>2817</v>
      </c>
      <c r="E656" s="484" t="s">
        <v>1611</v>
      </c>
      <c r="F656" s="68" t="s">
        <v>1870</v>
      </c>
      <c r="G656" s="68">
        <v>0</v>
      </c>
      <c r="I656" s="484" t="s">
        <v>2116</v>
      </c>
      <c r="J656" s="482" t="s">
        <v>42</v>
      </c>
      <c r="K656" s="482" t="s">
        <v>42</v>
      </c>
      <c r="L656" s="68" t="s">
        <v>772</v>
      </c>
      <c r="M656" s="68" t="s">
        <v>43</v>
      </c>
      <c r="N656" s="482">
        <v>26.541930000000001</v>
      </c>
      <c r="O656" s="482">
        <v>97.568836000000005</v>
      </c>
      <c r="P656" s="68" t="s">
        <v>757</v>
      </c>
      <c r="Q656" s="68" t="s">
        <v>758</v>
      </c>
      <c r="R656" s="486">
        <v>5</v>
      </c>
      <c r="S656" s="486">
        <v>32</v>
      </c>
      <c r="T656" s="101"/>
      <c r="U656" s="488" t="s">
        <v>1066</v>
      </c>
      <c r="V656" s="68" t="s">
        <v>174</v>
      </c>
      <c r="W656" s="482"/>
    </row>
    <row r="657" spans="1:23" s="68" customFormat="1" ht="14.25" customHeight="1">
      <c r="A657" s="487" t="s">
        <v>36</v>
      </c>
      <c r="B657" s="490" t="s">
        <v>174</v>
      </c>
      <c r="C657" s="491" t="s">
        <v>3120</v>
      </c>
      <c r="D657" s="485"/>
      <c r="E657" s="482"/>
      <c r="H657" s="482"/>
      <c r="I657" s="482"/>
      <c r="J657" s="659" t="s">
        <v>794</v>
      </c>
      <c r="K657" s="659" t="s">
        <v>794</v>
      </c>
      <c r="L657" s="482" t="s">
        <v>1095</v>
      </c>
      <c r="M657" s="482" t="s">
        <v>774</v>
      </c>
      <c r="N657" s="482"/>
      <c r="O657" s="482"/>
      <c r="P657" s="482"/>
      <c r="Q657" s="482" t="s">
        <v>3102</v>
      </c>
      <c r="R657" s="494"/>
      <c r="S657" s="487"/>
      <c r="T657" s="506">
        <v>43851</v>
      </c>
      <c r="U657" s="494"/>
      <c r="W657" s="486"/>
    </row>
    <row r="658" spans="1:23" s="68" customFormat="1" ht="14.25" customHeight="1">
      <c r="A658" s="484" t="s">
        <v>36</v>
      </c>
      <c r="B658" s="484" t="s">
        <v>174</v>
      </c>
      <c r="C658" s="484" t="s">
        <v>1148</v>
      </c>
      <c r="D658" s="431" t="s">
        <v>1656</v>
      </c>
      <c r="E658" s="484"/>
      <c r="F658" s="482"/>
      <c r="G658" s="482"/>
      <c r="H658" s="484"/>
      <c r="I658" s="484"/>
      <c r="J658" s="484" t="s">
        <v>1460</v>
      </c>
      <c r="K658" s="484" t="s">
        <v>42</v>
      </c>
      <c r="L658" s="484" t="s">
        <v>756</v>
      </c>
      <c r="M658" s="484" t="s">
        <v>43</v>
      </c>
      <c r="N658" s="484"/>
      <c r="O658" s="484"/>
      <c r="P658" s="482" t="s">
        <v>757</v>
      </c>
      <c r="Q658" s="484" t="s">
        <v>758</v>
      </c>
      <c r="R658" s="490"/>
      <c r="S658" s="491"/>
      <c r="T658" s="507">
        <v>42788</v>
      </c>
      <c r="U658" s="492"/>
      <c r="V658" s="482"/>
      <c r="W658" s="482"/>
    </row>
    <row r="659" spans="1:23" s="68" customFormat="1" ht="14.25" customHeight="1">
      <c r="A659" s="491" t="s">
        <v>36</v>
      </c>
      <c r="B659" s="490" t="s">
        <v>1135</v>
      </c>
      <c r="C659" s="491" t="s">
        <v>1976</v>
      </c>
      <c r="D659" s="432"/>
      <c r="E659" s="484"/>
      <c r="F659" s="484"/>
      <c r="G659" s="484"/>
      <c r="H659" s="484"/>
      <c r="I659" s="484"/>
      <c r="J659" s="484" t="s">
        <v>1460</v>
      </c>
      <c r="K659" s="484" t="s">
        <v>42</v>
      </c>
      <c r="L659" s="484" t="s">
        <v>772</v>
      </c>
      <c r="M659" s="484"/>
      <c r="N659" s="484"/>
      <c r="O659" s="484"/>
      <c r="P659" s="484" t="s">
        <v>1974</v>
      </c>
      <c r="Q659" s="484" t="s">
        <v>1930</v>
      </c>
      <c r="R659" s="495"/>
      <c r="S659" s="491"/>
      <c r="T659" s="507">
        <v>43285</v>
      </c>
      <c r="U659" s="492" t="s">
        <v>1981</v>
      </c>
      <c r="V659" s="484"/>
      <c r="W659" s="482"/>
    </row>
    <row r="660" spans="1:23" s="68" customFormat="1" ht="14.25" customHeight="1">
      <c r="A660" s="491" t="s">
        <v>36</v>
      </c>
      <c r="B660" s="490" t="s">
        <v>1135</v>
      </c>
      <c r="C660" s="491" t="s">
        <v>1977</v>
      </c>
      <c r="D660" s="485"/>
      <c r="E660" s="396"/>
      <c r="F660" s="482"/>
      <c r="G660" s="396"/>
      <c r="H660" s="396"/>
      <c r="I660" s="396"/>
      <c r="J660" s="396" t="s">
        <v>1460</v>
      </c>
      <c r="K660" s="484" t="s">
        <v>42</v>
      </c>
      <c r="L660" s="484" t="s">
        <v>772</v>
      </c>
      <c r="M660" s="396"/>
      <c r="N660" s="482"/>
      <c r="O660" s="482"/>
      <c r="P660" s="482" t="s">
        <v>1974</v>
      </c>
      <c r="Q660" s="396" t="s">
        <v>1930</v>
      </c>
      <c r="R660" s="494"/>
      <c r="S660" s="487"/>
      <c r="T660" s="412">
        <v>43285</v>
      </c>
      <c r="U660" s="492" t="s">
        <v>1981</v>
      </c>
      <c r="V660" s="396"/>
      <c r="W660" s="482"/>
    </row>
    <row r="661" spans="1:23" s="68" customFormat="1" ht="14.25" customHeight="1">
      <c r="A661" s="482" t="s">
        <v>36</v>
      </c>
      <c r="B661" s="484" t="s">
        <v>1135</v>
      </c>
      <c r="C661" s="484" t="s">
        <v>2230</v>
      </c>
      <c r="D661" s="431" t="s">
        <v>2817</v>
      </c>
      <c r="E661" s="68" t="s">
        <v>1627</v>
      </c>
      <c r="F661" s="482" t="s">
        <v>1135</v>
      </c>
      <c r="G661" s="68">
        <v>0</v>
      </c>
      <c r="H661" s="68" t="s">
        <v>40</v>
      </c>
      <c r="I661" s="68" t="s">
        <v>1325</v>
      </c>
      <c r="J661" s="68" t="s">
        <v>42</v>
      </c>
      <c r="K661" s="68" t="s">
        <v>42</v>
      </c>
      <c r="L661" s="484" t="s">
        <v>42</v>
      </c>
      <c r="M661" s="68" t="s">
        <v>43</v>
      </c>
      <c r="N661" s="482">
        <v>0</v>
      </c>
      <c r="O661" s="482">
        <v>0</v>
      </c>
      <c r="P661" s="68" t="s">
        <v>757</v>
      </c>
      <c r="Q661" s="68" t="s">
        <v>922</v>
      </c>
      <c r="R661" s="486">
        <v>145</v>
      </c>
      <c r="S661" s="486">
        <v>644</v>
      </c>
      <c r="T661" s="101">
        <v>43444</v>
      </c>
      <c r="U661" s="169" t="s">
        <v>2229</v>
      </c>
      <c r="V661" s="68" t="s">
        <v>1139</v>
      </c>
      <c r="W661" s="391" t="s">
        <v>2229</v>
      </c>
    </row>
    <row r="662" spans="1:23" s="68" customFormat="1" ht="14.25" customHeight="1">
      <c r="A662" s="482" t="s">
        <v>36</v>
      </c>
      <c r="B662" s="484" t="s">
        <v>1135</v>
      </c>
      <c r="C662" s="484" t="s">
        <v>1967</v>
      </c>
      <c r="D662" s="431" t="s">
        <v>2232</v>
      </c>
      <c r="E662" s="482" t="s">
        <v>1624</v>
      </c>
      <c r="F662" s="482" t="s">
        <v>1135</v>
      </c>
      <c r="G662" s="482">
        <v>0</v>
      </c>
      <c r="H662" s="482"/>
      <c r="I662" s="482" t="s">
        <v>2116</v>
      </c>
      <c r="J662" s="68" t="s">
        <v>42</v>
      </c>
      <c r="K662" s="482" t="s">
        <v>42</v>
      </c>
      <c r="L662" s="482" t="s">
        <v>756</v>
      </c>
      <c r="M662" s="68" t="s">
        <v>43</v>
      </c>
      <c r="P662" s="482" t="s">
        <v>757</v>
      </c>
      <c r="Q662" s="68" t="s">
        <v>922</v>
      </c>
      <c r="R662" s="486"/>
      <c r="S662" s="486"/>
      <c r="T662" s="101">
        <v>43444</v>
      </c>
      <c r="U662" s="488" t="s">
        <v>2663</v>
      </c>
      <c r="V662" s="482"/>
      <c r="W662" s="482" t="s">
        <v>2231</v>
      </c>
    </row>
    <row r="663" spans="1:23" s="68" customFormat="1" ht="14.25" customHeight="1">
      <c r="A663" s="482" t="s">
        <v>36</v>
      </c>
      <c r="B663" s="484" t="s">
        <v>1135</v>
      </c>
      <c r="C663" s="484" t="s">
        <v>1137</v>
      </c>
      <c r="D663" s="431" t="s">
        <v>2817</v>
      </c>
      <c r="E663" s="482" t="s">
        <v>1625</v>
      </c>
      <c r="F663" s="482" t="s">
        <v>1135</v>
      </c>
      <c r="G663" s="482">
        <v>0</v>
      </c>
      <c r="H663" s="396" t="s">
        <v>40</v>
      </c>
      <c r="I663" s="396" t="s">
        <v>1325</v>
      </c>
      <c r="J663" s="396" t="s">
        <v>42</v>
      </c>
      <c r="K663" s="482" t="s">
        <v>42</v>
      </c>
      <c r="L663" s="484" t="s">
        <v>42</v>
      </c>
      <c r="M663" s="68" t="s">
        <v>43</v>
      </c>
      <c r="N663" s="396">
        <v>0</v>
      </c>
      <c r="O663" s="68">
        <v>0</v>
      </c>
      <c r="P663" s="482" t="s">
        <v>757</v>
      </c>
      <c r="Q663" s="396" t="s">
        <v>922</v>
      </c>
      <c r="R663" s="399">
        <v>34</v>
      </c>
      <c r="S663" s="486">
        <v>147</v>
      </c>
      <c r="T663" s="412">
        <v>42983</v>
      </c>
      <c r="U663" s="488" t="s">
        <v>1136</v>
      </c>
      <c r="V663" s="482"/>
      <c r="W663" s="391" t="s">
        <v>2261</v>
      </c>
    </row>
    <row r="664" spans="1:23" s="68" customFormat="1" ht="14.25" customHeight="1">
      <c r="A664" s="482" t="s">
        <v>36</v>
      </c>
      <c r="B664" s="484" t="s">
        <v>1135</v>
      </c>
      <c r="C664" s="484" t="s">
        <v>2112</v>
      </c>
      <c r="D664" s="431" t="s">
        <v>2817</v>
      </c>
      <c r="E664" s="396" t="s">
        <v>1626</v>
      </c>
      <c r="F664" s="482" t="s">
        <v>1135</v>
      </c>
      <c r="G664" s="396">
        <v>0</v>
      </c>
      <c r="H664" s="396" t="s">
        <v>40</v>
      </c>
      <c r="I664" s="396" t="s">
        <v>2661</v>
      </c>
      <c r="J664" s="396" t="s">
        <v>42</v>
      </c>
      <c r="K664" s="396" t="s">
        <v>42</v>
      </c>
      <c r="L664" s="396" t="s">
        <v>42</v>
      </c>
      <c r="M664" s="68" t="s">
        <v>43</v>
      </c>
      <c r="N664" s="396">
        <v>0</v>
      </c>
      <c r="O664" s="68">
        <v>0</v>
      </c>
      <c r="P664" s="68" t="s">
        <v>757</v>
      </c>
      <c r="Q664" s="396" t="s">
        <v>922</v>
      </c>
      <c r="R664" s="486">
        <v>97</v>
      </c>
      <c r="S664" s="486">
        <v>365</v>
      </c>
      <c r="T664" s="412">
        <v>42983</v>
      </c>
      <c r="U664" s="401" t="s">
        <v>1138</v>
      </c>
      <c r="W664" s="391" t="s">
        <v>2262</v>
      </c>
    </row>
    <row r="665" spans="1:23" s="68" customFormat="1" ht="14.25" customHeight="1">
      <c r="A665" s="491" t="s">
        <v>36</v>
      </c>
      <c r="B665" s="490" t="s">
        <v>1135</v>
      </c>
      <c r="C665" s="484" t="s">
        <v>1939</v>
      </c>
      <c r="D665" s="485"/>
      <c r="E665" s="482"/>
      <c r="F665" s="482"/>
      <c r="G665" s="482"/>
      <c r="H665" s="482"/>
      <c r="I665" s="482"/>
      <c r="J665" s="68" t="s">
        <v>1460</v>
      </c>
      <c r="K665" s="68" t="s">
        <v>42</v>
      </c>
      <c r="L665" s="396" t="s">
        <v>42</v>
      </c>
      <c r="M665" s="68" t="s">
        <v>43</v>
      </c>
      <c r="N665" s="482"/>
      <c r="O665" s="482"/>
      <c r="P665" s="68" t="s">
        <v>757</v>
      </c>
      <c r="Q665" s="68" t="s">
        <v>1930</v>
      </c>
      <c r="R665" s="494"/>
      <c r="S665" s="487"/>
      <c r="T665" s="101">
        <v>43270</v>
      </c>
      <c r="U665" s="488"/>
      <c r="V665" s="482"/>
      <c r="W665" s="482"/>
    </row>
    <row r="666" spans="1:23" s="68" customFormat="1" ht="14.25" customHeight="1">
      <c r="A666" s="482" t="s">
        <v>36</v>
      </c>
      <c r="B666" s="482" t="s">
        <v>132</v>
      </c>
      <c r="C666" s="482" t="s">
        <v>226</v>
      </c>
      <c r="D666" s="431" t="s">
        <v>2817</v>
      </c>
      <c r="E666" s="482" t="s">
        <v>1526</v>
      </c>
      <c r="F666" s="482" t="s">
        <v>1804</v>
      </c>
      <c r="G666" s="482" t="s">
        <v>1802</v>
      </c>
      <c r="H666" s="482" t="s">
        <v>40</v>
      </c>
      <c r="I666" s="482" t="s">
        <v>1325</v>
      </c>
      <c r="J666" s="68" t="s">
        <v>42</v>
      </c>
      <c r="K666" s="68" t="s">
        <v>42</v>
      </c>
      <c r="L666" s="68" t="s">
        <v>42</v>
      </c>
      <c r="M666" s="68" t="s">
        <v>774</v>
      </c>
      <c r="N666" s="482">
        <v>25.220278</v>
      </c>
      <c r="O666" s="482">
        <v>97.915833000000006</v>
      </c>
      <c r="P666" s="482" t="s">
        <v>757</v>
      </c>
      <c r="Q666" s="68" t="s">
        <v>776</v>
      </c>
      <c r="R666" s="486">
        <v>117</v>
      </c>
      <c r="S666" s="486">
        <v>421</v>
      </c>
      <c r="T666" s="101"/>
      <c r="U666" s="488"/>
      <c r="V666" s="482" t="s">
        <v>226</v>
      </c>
      <c r="W666" s="482"/>
    </row>
    <row r="667" spans="1:23" s="68" customFormat="1" ht="14.25" customHeight="1">
      <c r="A667" s="482" t="s">
        <v>36</v>
      </c>
      <c r="B667" s="482" t="s">
        <v>132</v>
      </c>
      <c r="C667" s="482" t="s">
        <v>209</v>
      </c>
      <c r="D667" s="431" t="s">
        <v>1656</v>
      </c>
      <c r="E667" s="482"/>
      <c r="H667" s="482"/>
      <c r="I667" s="482"/>
      <c r="J667" s="68" t="s">
        <v>1460</v>
      </c>
      <c r="K667" s="68" t="s">
        <v>42</v>
      </c>
      <c r="L667" s="482" t="s">
        <v>1023</v>
      </c>
      <c r="M667" s="68" t="s">
        <v>774</v>
      </c>
      <c r="P667" s="482" t="s">
        <v>757</v>
      </c>
      <c r="Q667" s="68" t="s">
        <v>776</v>
      </c>
      <c r="R667" s="399"/>
      <c r="S667" s="487"/>
      <c r="T667" s="101"/>
      <c r="U667" s="488" t="s">
        <v>1091</v>
      </c>
      <c r="V667" s="482" t="s">
        <v>209</v>
      </c>
      <c r="W667" s="482"/>
    </row>
    <row r="668" spans="1:23" s="68" customFormat="1" ht="14.25" customHeight="1">
      <c r="A668" s="716" t="s">
        <v>36</v>
      </c>
      <c r="B668" s="720" t="s">
        <v>132</v>
      </c>
      <c r="C668" s="722" t="s">
        <v>3187</v>
      </c>
      <c r="D668" s="485"/>
      <c r="E668" s="717"/>
      <c r="F668" s="717"/>
      <c r="G668" s="717"/>
      <c r="H668" s="717"/>
      <c r="I668" s="717"/>
      <c r="J668" s="659" t="s">
        <v>794</v>
      </c>
      <c r="K668" s="659" t="s">
        <v>794</v>
      </c>
      <c r="L668" s="659" t="s">
        <v>794</v>
      </c>
      <c r="M668" s="717"/>
      <c r="N668" s="717"/>
      <c r="O668" s="717"/>
      <c r="P668" s="717" t="s">
        <v>795</v>
      </c>
      <c r="Q668" s="717" t="s">
        <v>3197</v>
      </c>
      <c r="R668" s="718"/>
      <c r="S668" s="716"/>
      <c r="T668" s="719">
        <v>43936</v>
      </c>
      <c r="U668" s="718"/>
      <c r="V668" s="717"/>
      <c r="W668" s="486"/>
    </row>
    <row r="669" spans="1:23" s="68" customFormat="1" ht="14.25" customHeight="1">
      <c r="A669" s="716" t="s">
        <v>36</v>
      </c>
      <c r="B669" s="720" t="s">
        <v>132</v>
      </c>
      <c r="C669" s="722" t="s">
        <v>3195</v>
      </c>
      <c r="D669" s="485"/>
      <c r="E669" s="717"/>
      <c r="F669" s="717"/>
      <c r="G669" s="717"/>
      <c r="H669" s="717"/>
      <c r="I669" s="717"/>
      <c r="J669" s="659" t="s">
        <v>794</v>
      </c>
      <c r="K669" s="659" t="s">
        <v>794</v>
      </c>
      <c r="L669" s="659" t="s">
        <v>794</v>
      </c>
      <c r="M669" s="717"/>
      <c r="N669" s="717"/>
      <c r="O669" s="717"/>
      <c r="P669" s="717" t="s">
        <v>795</v>
      </c>
      <c r="Q669" s="717" t="s">
        <v>3197</v>
      </c>
      <c r="R669" s="718"/>
      <c r="S669" s="716"/>
      <c r="T669" s="719">
        <v>43936</v>
      </c>
      <c r="U669" s="718"/>
      <c r="V669" s="717"/>
      <c r="W669" s="486"/>
    </row>
    <row r="670" spans="1:23" s="68" customFormat="1" ht="14.25" customHeight="1">
      <c r="A670" s="396" t="s">
        <v>36</v>
      </c>
      <c r="B670" s="482" t="s">
        <v>132</v>
      </c>
      <c r="C670" s="482" t="s">
        <v>210</v>
      </c>
      <c r="D670" s="431" t="s">
        <v>1656</v>
      </c>
      <c r="J670" s="68" t="s">
        <v>1460</v>
      </c>
      <c r="K670" s="68" t="s">
        <v>42</v>
      </c>
      <c r="L670" s="68" t="s">
        <v>1023</v>
      </c>
      <c r="M670" s="68" t="s">
        <v>774</v>
      </c>
      <c r="P670" s="68" t="s">
        <v>757</v>
      </c>
      <c r="Q670" s="68" t="s">
        <v>776</v>
      </c>
      <c r="R670" s="399"/>
      <c r="S670" s="487"/>
      <c r="T670" s="101"/>
      <c r="U670" s="97" t="s">
        <v>1091</v>
      </c>
      <c r="V670" s="68" t="s">
        <v>210</v>
      </c>
      <c r="W670" s="482"/>
    </row>
    <row r="671" spans="1:23" s="68" customFormat="1" ht="14.25" customHeight="1">
      <c r="A671" s="482" t="s">
        <v>36</v>
      </c>
      <c r="B671" s="482" t="s">
        <v>132</v>
      </c>
      <c r="C671" s="482" t="s">
        <v>1039</v>
      </c>
      <c r="D671" s="431" t="s">
        <v>2817</v>
      </c>
      <c r="E671" s="482" t="s">
        <v>1533</v>
      </c>
      <c r="F671" s="482" t="s">
        <v>1868</v>
      </c>
      <c r="G671" s="482" t="s">
        <v>1869</v>
      </c>
      <c r="H671" s="482"/>
      <c r="I671" s="484" t="s">
        <v>2116</v>
      </c>
      <c r="J671" s="68" t="s">
        <v>42</v>
      </c>
      <c r="K671" s="68" t="s">
        <v>42</v>
      </c>
      <c r="L671" s="68" t="s">
        <v>772</v>
      </c>
      <c r="M671" s="482" t="s">
        <v>43</v>
      </c>
      <c r="N671" s="482">
        <v>25.305008999999998</v>
      </c>
      <c r="O671" s="482">
        <v>97.430321000000006</v>
      </c>
      <c r="P671" s="482" t="s">
        <v>757</v>
      </c>
      <c r="Q671" s="482" t="s">
        <v>798</v>
      </c>
      <c r="R671" s="486">
        <v>62</v>
      </c>
      <c r="S671" s="486">
        <v>410</v>
      </c>
      <c r="T671" s="506">
        <v>42916</v>
      </c>
      <c r="U671" s="488" t="s">
        <v>1040</v>
      </c>
      <c r="V671" s="482"/>
      <c r="W671" s="482"/>
    </row>
    <row r="672" spans="1:23" s="68" customFormat="1" ht="14.25" customHeight="1">
      <c r="A672" s="716" t="s">
        <v>36</v>
      </c>
      <c r="B672" s="720" t="s">
        <v>132</v>
      </c>
      <c r="C672" s="722" t="s">
        <v>3191</v>
      </c>
      <c r="D672" s="485"/>
      <c r="E672" s="717"/>
      <c r="F672" s="717"/>
      <c r="G672" s="717"/>
      <c r="H672" s="717"/>
      <c r="I672" s="717"/>
      <c r="J672" s="659" t="s">
        <v>794</v>
      </c>
      <c r="K672" s="659" t="s">
        <v>794</v>
      </c>
      <c r="L672" s="659" t="s">
        <v>794</v>
      </c>
      <c r="M672" s="717"/>
      <c r="N672" s="717"/>
      <c r="O672" s="717"/>
      <c r="P672" s="717" t="s">
        <v>795</v>
      </c>
      <c r="Q672" s="717" t="s">
        <v>3197</v>
      </c>
      <c r="R672" s="718"/>
      <c r="S672" s="716"/>
      <c r="T672" s="719">
        <v>43936</v>
      </c>
      <c r="U672" s="718"/>
      <c r="V672" s="717"/>
      <c r="W672" s="486"/>
    </row>
    <row r="673" spans="1:23" s="68" customFormat="1" ht="14.25" customHeight="1">
      <c r="A673" s="482" t="s">
        <v>36</v>
      </c>
      <c r="B673" s="482" t="s">
        <v>132</v>
      </c>
      <c r="C673" s="482" t="s">
        <v>258</v>
      </c>
      <c r="D673" s="431" t="s">
        <v>2817</v>
      </c>
      <c r="E673" s="482" t="s">
        <v>1535</v>
      </c>
      <c r="F673" s="482" t="s">
        <v>1809</v>
      </c>
      <c r="G673" s="482" t="s">
        <v>1809</v>
      </c>
      <c r="H673" s="482" t="s">
        <v>40</v>
      </c>
      <c r="I673" s="482" t="s">
        <v>232</v>
      </c>
      <c r="J673" s="68" t="s">
        <v>42</v>
      </c>
      <c r="K673" s="68" t="s">
        <v>42</v>
      </c>
      <c r="L673" s="68" t="s">
        <v>42</v>
      </c>
      <c r="M673" s="482" t="s">
        <v>43</v>
      </c>
      <c r="N673" s="482">
        <v>25.321710740740698</v>
      </c>
      <c r="O673" s="482">
        <v>97.404195925926004</v>
      </c>
      <c r="P673" s="482" t="s">
        <v>757</v>
      </c>
      <c r="Q673" s="482" t="s">
        <v>776</v>
      </c>
      <c r="R673" s="486">
        <v>92</v>
      </c>
      <c r="S673" s="486">
        <v>448</v>
      </c>
      <c r="T673" s="506"/>
      <c r="U673" s="488"/>
      <c r="V673" s="482" t="s">
        <v>258</v>
      </c>
      <c r="W673" s="482"/>
    </row>
    <row r="674" spans="1:23" s="68" customFormat="1" ht="14.25" customHeight="1">
      <c r="A674" s="482" t="s">
        <v>36</v>
      </c>
      <c r="B674" s="482" t="s">
        <v>132</v>
      </c>
      <c r="C674" s="482" t="s">
        <v>165</v>
      </c>
      <c r="D674" s="431" t="s">
        <v>2817</v>
      </c>
      <c r="E674" s="482" t="s">
        <v>1525</v>
      </c>
      <c r="F674" s="482" t="s">
        <v>1802</v>
      </c>
      <c r="G674" s="482" t="s">
        <v>1803</v>
      </c>
      <c r="H674" s="482" t="s">
        <v>40</v>
      </c>
      <c r="I674" s="482" t="s">
        <v>2661</v>
      </c>
      <c r="J674" s="396" t="s">
        <v>42</v>
      </c>
      <c r="K674" s="396" t="s">
        <v>42</v>
      </c>
      <c r="L674" s="396" t="s">
        <v>42</v>
      </c>
      <c r="M674" s="482" t="s">
        <v>774</v>
      </c>
      <c r="N674" s="482">
        <v>25.200333000000001</v>
      </c>
      <c r="O674" s="482">
        <v>97.807182999999995</v>
      </c>
      <c r="P674" s="396" t="s">
        <v>757</v>
      </c>
      <c r="Q674" s="396" t="s">
        <v>776</v>
      </c>
      <c r="R674" s="486">
        <v>136</v>
      </c>
      <c r="S674" s="486">
        <v>985</v>
      </c>
      <c r="T674" s="412"/>
      <c r="U674" s="488"/>
      <c r="V674" s="482" t="s">
        <v>165</v>
      </c>
      <c r="W674" s="482"/>
    </row>
    <row r="675" spans="1:23" s="68" customFormat="1" ht="14.25" customHeight="1">
      <c r="A675" s="716" t="s">
        <v>36</v>
      </c>
      <c r="B675" s="720" t="s">
        <v>132</v>
      </c>
      <c r="C675" s="722" t="s">
        <v>3181</v>
      </c>
      <c r="D675" s="485"/>
      <c r="E675" s="717"/>
      <c r="F675" s="717"/>
      <c r="G675" s="717"/>
      <c r="H675" s="717"/>
      <c r="I675" s="717"/>
      <c r="J675" s="659" t="s">
        <v>794</v>
      </c>
      <c r="K675" s="659" t="s">
        <v>794</v>
      </c>
      <c r="L675" s="659" t="s">
        <v>794</v>
      </c>
      <c r="M675" s="717"/>
      <c r="N675" s="717"/>
      <c r="O675" s="717"/>
      <c r="P675" s="717" t="s">
        <v>795</v>
      </c>
      <c r="Q675" s="717" t="s">
        <v>3197</v>
      </c>
      <c r="R675" s="718"/>
      <c r="S675" s="716"/>
      <c r="T675" s="719">
        <v>43936</v>
      </c>
      <c r="U675" s="718"/>
      <c r="V675" s="717"/>
      <c r="W675" s="486"/>
    </row>
    <row r="676" spans="1:23" s="68" customFormat="1" ht="14.25" customHeight="1">
      <c r="A676" s="482" t="s">
        <v>36</v>
      </c>
      <c r="B676" s="482" t="s">
        <v>132</v>
      </c>
      <c r="C676" s="482" t="s">
        <v>214</v>
      </c>
      <c r="D676" s="431" t="s">
        <v>2817</v>
      </c>
      <c r="E676" s="68" t="s">
        <v>1513</v>
      </c>
      <c r="F676" s="68" t="s">
        <v>1709</v>
      </c>
      <c r="G676" s="68">
        <v>0</v>
      </c>
      <c r="I676" s="484" t="s">
        <v>2116</v>
      </c>
      <c r="J676" s="68" t="s">
        <v>42</v>
      </c>
      <c r="K676" s="68" t="s">
        <v>42</v>
      </c>
      <c r="L676" s="68" t="s">
        <v>1023</v>
      </c>
      <c r="M676" s="68" t="s">
        <v>774</v>
      </c>
      <c r="N676" s="482">
        <v>24.752471</v>
      </c>
      <c r="O676" s="482">
        <v>97.541793999999996</v>
      </c>
      <c r="P676" s="68" t="s">
        <v>757</v>
      </c>
      <c r="Q676" s="68" t="s">
        <v>758</v>
      </c>
      <c r="R676" s="486">
        <v>0</v>
      </c>
      <c r="S676" s="486">
        <v>872</v>
      </c>
      <c r="T676" s="101"/>
      <c r="U676" s="488"/>
      <c r="V676" s="68" t="s">
        <v>214</v>
      </c>
      <c r="W676" s="482"/>
    </row>
    <row r="677" spans="1:23" s="68" customFormat="1" ht="14.25" customHeight="1">
      <c r="A677" s="716" t="s">
        <v>36</v>
      </c>
      <c r="B677" s="720" t="s">
        <v>132</v>
      </c>
      <c r="C677" s="722" t="s">
        <v>3182</v>
      </c>
      <c r="D677" s="485"/>
      <c r="E677" s="717"/>
      <c r="F677" s="717"/>
      <c r="G677" s="717"/>
      <c r="H677" s="717"/>
      <c r="I677" s="717"/>
      <c r="J677" s="659" t="s">
        <v>794</v>
      </c>
      <c r="K677" s="659" t="s">
        <v>794</v>
      </c>
      <c r="L677" s="659" t="s">
        <v>794</v>
      </c>
      <c r="M677" s="717"/>
      <c r="N677" s="717"/>
      <c r="O677" s="717"/>
      <c r="P677" s="717" t="s">
        <v>795</v>
      </c>
      <c r="Q677" s="717" t="s">
        <v>3197</v>
      </c>
      <c r="R677" s="718"/>
      <c r="S677" s="716"/>
      <c r="T677" s="719">
        <v>43936</v>
      </c>
      <c r="U677" s="718"/>
      <c r="V677" s="717"/>
      <c r="W677" s="486"/>
    </row>
    <row r="678" spans="1:23" s="68" customFormat="1" ht="14.25" customHeight="1">
      <c r="A678" s="716" t="s">
        <v>36</v>
      </c>
      <c r="B678" s="720" t="s">
        <v>132</v>
      </c>
      <c r="C678" s="722" t="s">
        <v>3184</v>
      </c>
      <c r="D678" s="485"/>
      <c r="E678" s="717"/>
      <c r="F678" s="717"/>
      <c r="G678" s="717"/>
      <c r="H678" s="717"/>
      <c r="I678" s="717"/>
      <c r="J678" s="659" t="s">
        <v>794</v>
      </c>
      <c r="K678" s="659" t="s">
        <v>794</v>
      </c>
      <c r="L678" s="659" t="s">
        <v>794</v>
      </c>
      <c r="M678" s="717"/>
      <c r="N678" s="717"/>
      <c r="O678" s="717"/>
      <c r="P678" s="717" t="s">
        <v>795</v>
      </c>
      <c r="Q678" s="717" t="s">
        <v>3197</v>
      </c>
      <c r="R678" s="718"/>
      <c r="S678" s="716"/>
      <c r="T678" s="719">
        <v>43936</v>
      </c>
      <c r="U678" s="718"/>
      <c r="V678" s="717"/>
      <c r="W678" s="486"/>
    </row>
    <row r="679" spans="1:23" s="68" customFormat="1" ht="14.25" customHeight="1">
      <c r="A679" s="716" t="s">
        <v>36</v>
      </c>
      <c r="B679" s="720" t="s">
        <v>132</v>
      </c>
      <c r="C679" s="722" t="s">
        <v>1869</v>
      </c>
      <c r="D679" s="485"/>
      <c r="E679" s="717"/>
      <c r="F679" s="717"/>
      <c r="G679" s="717"/>
      <c r="H679" s="717"/>
      <c r="I679" s="717"/>
      <c r="J679" s="659" t="s">
        <v>794</v>
      </c>
      <c r="K679" s="659" t="s">
        <v>794</v>
      </c>
      <c r="L679" s="659" t="s">
        <v>794</v>
      </c>
      <c r="M679" s="717"/>
      <c r="N679" s="717"/>
      <c r="O679" s="717"/>
      <c r="P679" s="717" t="s">
        <v>795</v>
      </c>
      <c r="Q679" s="717" t="s">
        <v>3197</v>
      </c>
      <c r="R679" s="718"/>
      <c r="S679" s="716"/>
      <c r="T679" s="719">
        <v>43936</v>
      </c>
      <c r="U679" s="718"/>
      <c r="V679" s="717"/>
      <c r="W679" s="486"/>
    </row>
    <row r="680" spans="1:23" s="68" customFormat="1" ht="14.25" customHeight="1">
      <c r="A680" s="716" t="s">
        <v>36</v>
      </c>
      <c r="B680" s="720" t="s">
        <v>132</v>
      </c>
      <c r="C680" s="722" t="s">
        <v>3190</v>
      </c>
      <c r="D680" s="485"/>
      <c r="E680" s="717"/>
      <c r="F680" s="717"/>
      <c r="G680" s="717"/>
      <c r="H680" s="717"/>
      <c r="I680" s="717"/>
      <c r="J680" s="659" t="s">
        <v>794</v>
      </c>
      <c r="K680" s="659" t="s">
        <v>794</v>
      </c>
      <c r="L680" s="659" t="s">
        <v>794</v>
      </c>
      <c r="M680" s="717"/>
      <c r="N680" s="717"/>
      <c r="O680" s="717"/>
      <c r="P680" s="717" t="s">
        <v>795</v>
      </c>
      <c r="Q680" s="717" t="s">
        <v>3197</v>
      </c>
      <c r="R680" s="718"/>
      <c r="S680" s="716"/>
      <c r="T680" s="719">
        <v>43936</v>
      </c>
      <c r="U680" s="718"/>
      <c r="V680" s="717"/>
      <c r="W680" s="486"/>
    </row>
    <row r="681" spans="1:23" s="68" customFormat="1" ht="14.25" customHeight="1">
      <c r="A681" s="482" t="s">
        <v>36</v>
      </c>
      <c r="B681" s="482" t="s">
        <v>132</v>
      </c>
      <c r="C681" s="482" t="s">
        <v>1021</v>
      </c>
      <c r="D681" s="431" t="s">
        <v>1657</v>
      </c>
      <c r="E681" s="396" t="s">
        <v>1512</v>
      </c>
      <c r="F681" s="396" t="s">
        <v>1709</v>
      </c>
      <c r="G681" s="396" t="s">
        <v>1709</v>
      </c>
      <c r="H681" s="396" t="s">
        <v>40</v>
      </c>
      <c r="I681" s="396" t="s">
        <v>1325</v>
      </c>
      <c r="J681" s="396" t="s">
        <v>42</v>
      </c>
      <c r="K681" s="396" t="s">
        <v>42</v>
      </c>
      <c r="L681" s="396" t="s">
        <v>756</v>
      </c>
      <c r="M681" s="396" t="s">
        <v>774</v>
      </c>
      <c r="N681" s="482">
        <v>24.747212999999999</v>
      </c>
      <c r="O681" s="482">
        <v>97.551507000000001</v>
      </c>
      <c r="P681" s="482" t="s">
        <v>757</v>
      </c>
      <c r="Q681" s="396"/>
      <c r="R681" s="486"/>
      <c r="S681" s="487"/>
      <c r="T681" s="412"/>
      <c r="U681" s="488"/>
      <c r="V681" s="396" t="s">
        <v>1022</v>
      </c>
      <c r="W681" s="391" t="s">
        <v>2162</v>
      </c>
    </row>
    <row r="682" spans="1:23" s="68" customFormat="1" ht="14.25" customHeight="1">
      <c r="A682" s="482" t="s">
        <v>36</v>
      </c>
      <c r="B682" s="482" t="s">
        <v>132</v>
      </c>
      <c r="C682" s="482" t="s">
        <v>1035</v>
      </c>
      <c r="D682" s="431" t="s">
        <v>1656</v>
      </c>
      <c r="E682" s="482" t="s">
        <v>1524</v>
      </c>
      <c r="F682" s="482"/>
      <c r="G682" s="396"/>
      <c r="H682" s="396"/>
      <c r="I682" s="396"/>
      <c r="J682" s="396" t="s">
        <v>42</v>
      </c>
      <c r="K682" s="396" t="s">
        <v>42</v>
      </c>
      <c r="L682" s="396" t="s">
        <v>756</v>
      </c>
      <c r="M682" s="482" t="s">
        <v>774</v>
      </c>
      <c r="N682" s="482">
        <v>25.108011999999999</v>
      </c>
      <c r="O682" s="482">
        <v>97.718008999999995</v>
      </c>
      <c r="P682" s="396" t="s">
        <v>757</v>
      </c>
      <c r="Q682" s="396"/>
      <c r="R682" s="486"/>
      <c r="S682" s="487"/>
      <c r="T682" s="412"/>
      <c r="U682" s="488"/>
      <c r="V682" s="396" t="s">
        <v>1035</v>
      </c>
      <c r="W682" s="482"/>
    </row>
    <row r="683" spans="1:23" s="68" customFormat="1" ht="14.25" customHeight="1">
      <c r="A683" s="716" t="s">
        <v>36</v>
      </c>
      <c r="B683" s="720" t="s">
        <v>132</v>
      </c>
      <c r="C683" s="722" t="s">
        <v>3189</v>
      </c>
      <c r="D683" s="485"/>
      <c r="E683" s="717"/>
      <c r="F683" s="717"/>
      <c r="G683" s="717"/>
      <c r="H683" s="717"/>
      <c r="I683" s="717"/>
      <c r="J683" s="659" t="s">
        <v>794</v>
      </c>
      <c r="K683" s="659" t="s">
        <v>794</v>
      </c>
      <c r="L683" s="659" t="s">
        <v>794</v>
      </c>
      <c r="M683" s="717"/>
      <c r="N683" s="717"/>
      <c r="O683" s="717"/>
      <c r="P683" s="717" t="s">
        <v>795</v>
      </c>
      <c r="Q683" s="717" t="s">
        <v>3197</v>
      </c>
      <c r="R683" s="718"/>
      <c r="S683" s="716"/>
      <c r="T683" s="719">
        <v>43936</v>
      </c>
      <c r="U683" s="718"/>
      <c r="V683" s="717"/>
      <c r="W683" s="486"/>
    </row>
    <row r="684" spans="1:23" s="68" customFormat="1" ht="14.25" customHeight="1">
      <c r="A684" s="482" t="s">
        <v>36</v>
      </c>
      <c r="B684" s="482" t="s">
        <v>132</v>
      </c>
      <c r="C684" s="482" t="s">
        <v>166</v>
      </c>
      <c r="D684" s="431" t="s">
        <v>2817</v>
      </c>
      <c r="E684" s="68" t="s">
        <v>1545</v>
      </c>
      <c r="F684" s="68" t="s">
        <v>1814</v>
      </c>
      <c r="G684" s="68" t="s">
        <v>1815</v>
      </c>
      <c r="H684" s="68" t="s">
        <v>40</v>
      </c>
      <c r="I684" s="68" t="s">
        <v>2661</v>
      </c>
      <c r="J684" s="68" t="s">
        <v>42</v>
      </c>
      <c r="K684" s="68" t="s">
        <v>42</v>
      </c>
      <c r="L684" s="68" t="s">
        <v>42</v>
      </c>
      <c r="M684" s="68" t="s">
        <v>43</v>
      </c>
      <c r="N684" s="68">
        <v>25.356632000000001</v>
      </c>
      <c r="O684" s="68">
        <v>97.451965000000001</v>
      </c>
      <c r="P684" s="68" t="s">
        <v>757</v>
      </c>
      <c r="Q684" s="68" t="s">
        <v>776</v>
      </c>
      <c r="R684" s="486">
        <v>32</v>
      </c>
      <c r="S684" s="486">
        <v>196</v>
      </c>
      <c r="T684" s="101"/>
      <c r="U684" s="488"/>
      <c r="V684" s="482" t="s">
        <v>166</v>
      </c>
      <c r="W684" s="482"/>
    </row>
    <row r="685" spans="1:23" s="482" customFormat="1" ht="14.25" customHeight="1">
      <c r="A685" s="482" t="s">
        <v>36</v>
      </c>
      <c r="B685" s="482" t="s">
        <v>132</v>
      </c>
      <c r="C685" s="482" t="s">
        <v>167</v>
      </c>
      <c r="D685" s="431" t="s">
        <v>2817</v>
      </c>
      <c r="E685" s="482" t="s">
        <v>1519</v>
      </c>
      <c r="F685" s="482" t="s">
        <v>1799</v>
      </c>
      <c r="G685" s="482" t="s">
        <v>1801</v>
      </c>
      <c r="H685" s="482" t="s">
        <v>40</v>
      </c>
      <c r="I685" s="482" t="s">
        <v>1325</v>
      </c>
      <c r="J685" s="482" t="s">
        <v>42</v>
      </c>
      <c r="K685" s="482" t="s">
        <v>964</v>
      </c>
      <c r="L685" s="482" t="s">
        <v>42</v>
      </c>
      <c r="M685" s="482" t="s">
        <v>774</v>
      </c>
      <c r="N685" s="482">
        <v>24.980250000000002</v>
      </c>
      <c r="O685" s="482">
        <v>97.715230000000005</v>
      </c>
      <c r="P685" s="17" t="s">
        <v>757</v>
      </c>
      <c r="Q685" s="482" t="s">
        <v>776</v>
      </c>
      <c r="R685" s="486">
        <v>407</v>
      </c>
      <c r="S685" s="486">
        <v>1731</v>
      </c>
      <c r="T685" s="506"/>
      <c r="U685" s="488" t="s">
        <v>1028</v>
      </c>
      <c r="V685" s="482" t="s">
        <v>167</v>
      </c>
    </row>
    <row r="686" spans="1:23" s="482" customFormat="1" ht="14.25" customHeight="1">
      <c r="A686" s="482" t="s">
        <v>36</v>
      </c>
      <c r="B686" s="482" t="s">
        <v>132</v>
      </c>
      <c r="C686" s="482" t="s">
        <v>259</v>
      </c>
      <c r="D686" s="431" t="s">
        <v>2817</v>
      </c>
      <c r="E686" s="482" t="s">
        <v>1571</v>
      </c>
      <c r="F686" s="482" t="s">
        <v>1822</v>
      </c>
      <c r="G686" s="482" t="s">
        <v>1822</v>
      </c>
      <c r="H686" s="482" t="s">
        <v>40</v>
      </c>
      <c r="I686" s="482" t="s">
        <v>232</v>
      </c>
      <c r="J686" s="482" t="s">
        <v>42</v>
      </c>
      <c r="K686" s="482" t="s">
        <v>42</v>
      </c>
      <c r="L686" s="482" t="s">
        <v>42</v>
      </c>
      <c r="M686" s="482" t="s">
        <v>43</v>
      </c>
      <c r="N686" s="482">
        <v>25.424529444444399</v>
      </c>
      <c r="O686" s="482">
        <v>97.433419259259296</v>
      </c>
      <c r="P686" s="482" t="s">
        <v>757</v>
      </c>
      <c r="Q686" s="482" t="s">
        <v>776</v>
      </c>
      <c r="R686" s="486">
        <v>346</v>
      </c>
      <c r="S686" s="486">
        <v>2059</v>
      </c>
      <c r="T686" s="506"/>
      <c r="U686" s="488"/>
      <c r="V686" s="482" t="s">
        <v>259</v>
      </c>
    </row>
    <row r="687" spans="1:23" s="482" customFormat="1" ht="14.25" customHeight="1">
      <c r="A687" s="482" t="s">
        <v>36</v>
      </c>
      <c r="B687" s="482" t="s">
        <v>132</v>
      </c>
      <c r="C687" s="482" t="s">
        <v>227</v>
      </c>
      <c r="D687" s="431" t="s">
        <v>2817</v>
      </c>
      <c r="E687" s="484" t="s">
        <v>1565</v>
      </c>
      <c r="F687" s="482" t="s">
        <v>1822</v>
      </c>
      <c r="G687" s="482" t="s">
        <v>1822</v>
      </c>
      <c r="H687" s="482" t="s">
        <v>40</v>
      </c>
      <c r="I687" s="482" t="s">
        <v>1325</v>
      </c>
      <c r="J687" s="482" t="s">
        <v>42</v>
      </c>
      <c r="K687" s="482" t="s">
        <v>42</v>
      </c>
      <c r="L687" s="482" t="s">
        <v>42</v>
      </c>
      <c r="M687" s="482" t="s">
        <v>43</v>
      </c>
      <c r="N687" s="482">
        <v>25.415667500000001</v>
      </c>
      <c r="O687" s="482">
        <v>97.437782499999997</v>
      </c>
      <c r="P687" s="482" t="s">
        <v>757</v>
      </c>
      <c r="Q687" s="482" t="s">
        <v>776</v>
      </c>
      <c r="R687" s="486">
        <v>327</v>
      </c>
      <c r="S687" s="486">
        <v>1785</v>
      </c>
      <c r="T687" s="506"/>
      <c r="U687" s="488"/>
      <c r="V687" s="482" t="s">
        <v>227</v>
      </c>
    </row>
    <row r="688" spans="1:23" s="482" customFormat="1" ht="14.25" customHeight="1">
      <c r="A688" s="482" t="s">
        <v>36</v>
      </c>
      <c r="B688" s="482" t="s">
        <v>132</v>
      </c>
      <c r="C688" s="482" t="s">
        <v>168</v>
      </c>
      <c r="D688" s="431" t="s">
        <v>2817</v>
      </c>
      <c r="E688" s="482" t="s">
        <v>1562</v>
      </c>
      <c r="F688" s="482" t="s">
        <v>1822</v>
      </c>
      <c r="G688" s="482" t="s">
        <v>1822</v>
      </c>
      <c r="H688" s="482" t="s">
        <v>40</v>
      </c>
      <c r="I688" s="482" t="s">
        <v>2661</v>
      </c>
      <c r="J688" s="482" t="s">
        <v>42</v>
      </c>
      <c r="K688" s="482" t="s">
        <v>42</v>
      </c>
      <c r="L688" s="482" t="s">
        <v>42</v>
      </c>
      <c r="M688" s="482" t="s">
        <v>43</v>
      </c>
      <c r="N688" s="482">
        <v>25.4118005797101</v>
      </c>
      <c r="O688" s="482">
        <v>97.434855869565197</v>
      </c>
      <c r="P688" s="482" t="s">
        <v>757</v>
      </c>
      <c r="Q688" s="482" t="s">
        <v>776</v>
      </c>
      <c r="R688" s="486">
        <v>515</v>
      </c>
      <c r="S688" s="486">
        <v>2775</v>
      </c>
      <c r="T688" s="506"/>
      <c r="U688" s="488"/>
      <c r="V688" s="482" t="s">
        <v>168</v>
      </c>
      <c r="W688" s="391" t="s">
        <v>2263</v>
      </c>
    </row>
    <row r="689" spans="1:23" s="68" customFormat="1" ht="14.25" customHeight="1">
      <c r="A689" s="482" t="s">
        <v>36</v>
      </c>
      <c r="B689" s="482" t="s">
        <v>132</v>
      </c>
      <c r="C689" s="482" t="s">
        <v>169</v>
      </c>
      <c r="D689" s="431" t="s">
        <v>2817</v>
      </c>
      <c r="E689" s="68" t="s">
        <v>1560</v>
      </c>
      <c r="F689" s="482" t="s">
        <v>1822</v>
      </c>
      <c r="G689" s="68" t="s">
        <v>1822</v>
      </c>
      <c r="H689" s="68" t="s">
        <v>40</v>
      </c>
      <c r="I689" s="68" t="s">
        <v>2661</v>
      </c>
      <c r="J689" s="68" t="s">
        <v>42</v>
      </c>
      <c r="K689" s="68" t="s">
        <v>42</v>
      </c>
      <c r="L689" s="68" t="s">
        <v>42</v>
      </c>
      <c r="M689" s="68" t="s">
        <v>43</v>
      </c>
      <c r="N689" s="68">
        <v>25.409612685185198</v>
      </c>
      <c r="O689" s="68">
        <v>97.426536944444507</v>
      </c>
      <c r="P689" s="68" t="s">
        <v>757</v>
      </c>
      <c r="Q689" s="482" t="s">
        <v>776</v>
      </c>
      <c r="R689" s="486">
        <v>55</v>
      </c>
      <c r="S689" s="486">
        <v>250</v>
      </c>
      <c r="T689" s="101"/>
      <c r="U689" s="488"/>
      <c r="V689" s="68" t="s">
        <v>169</v>
      </c>
      <c r="W689" s="391" t="s">
        <v>2264</v>
      </c>
    </row>
    <row r="690" spans="1:23" s="68" customFormat="1" ht="14.25" customHeight="1">
      <c r="A690" s="716" t="s">
        <v>36</v>
      </c>
      <c r="B690" s="720" t="s">
        <v>132</v>
      </c>
      <c r="C690" s="722" t="s">
        <v>3185</v>
      </c>
      <c r="D690" s="485"/>
      <c r="E690" s="717"/>
      <c r="F690" s="717"/>
      <c r="G690" s="717"/>
      <c r="H690" s="717"/>
      <c r="I690" s="717"/>
      <c r="J690" s="659" t="s">
        <v>794</v>
      </c>
      <c r="K690" s="659" t="s">
        <v>794</v>
      </c>
      <c r="L690" s="659" t="s">
        <v>794</v>
      </c>
      <c r="M690" s="717"/>
      <c r="N690" s="717"/>
      <c r="O690" s="717"/>
      <c r="P690" s="717" t="s">
        <v>795</v>
      </c>
      <c r="Q690" s="717" t="s">
        <v>3197</v>
      </c>
      <c r="R690" s="718"/>
      <c r="S690" s="716"/>
      <c r="T690" s="719">
        <v>43936</v>
      </c>
      <c r="U690" s="718"/>
      <c r="V690" s="717"/>
      <c r="W690" s="486"/>
    </row>
    <row r="691" spans="1:23" s="68" customFormat="1" ht="14.25" customHeight="1">
      <c r="A691" s="716" t="s">
        <v>36</v>
      </c>
      <c r="B691" s="720" t="s">
        <v>132</v>
      </c>
      <c r="C691" s="722" t="s">
        <v>3188</v>
      </c>
      <c r="D691" s="485"/>
      <c r="E691" s="717"/>
      <c r="F691" s="717"/>
      <c r="G691" s="717"/>
      <c r="H691" s="717"/>
      <c r="I691" s="717"/>
      <c r="J691" s="659" t="s">
        <v>794</v>
      </c>
      <c r="K691" s="659" t="s">
        <v>794</v>
      </c>
      <c r="L691" s="659" t="s">
        <v>794</v>
      </c>
      <c r="M691" s="717"/>
      <c r="N691" s="717"/>
      <c r="O691" s="717"/>
      <c r="P691" s="717" t="s">
        <v>795</v>
      </c>
      <c r="Q691" s="717" t="s">
        <v>3197</v>
      </c>
      <c r="R691" s="718"/>
      <c r="S691" s="716"/>
      <c r="T691" s="719">
        <v>43936</v>
      </c>
      <c r="U691" s="718"/>
      <c r="V691" s="717"/>
      <c r="W691" s="486"/>
    </row>
    <row r="692" spans="1:23" s="68" customFormat="1" ht="14.25" customHeight="1">
      <c r="A692" s="716" t="s">
        <v>36</v>
      </c>
      <c r="B692" s="720" t="s">
        <v>132</v>
      </c>
      <c r="C692" s="722" t="s">
        <v>3192</v>
      </c>
      <c r="D692" s="485"/>
      <c r="E692" s="717"/>
      <c r="F692" s="717"/>
      <c r="G692" s="717"/>
      <c r="H692" s="717"/>
      <c r="I692" s="717"/>
      <c r="J692" s="659" t="s">
        <v>794</v>
      </c>
      <c r="K692" s="659" t="s">
        <v>794</v>
      </c>
      <c r="L692" s="659" t="s">
        <v>794</v>
      </c>
      <c r="M692" s="717"/>
      <c r="N692" s="717"/>
      <c r="O692" s="717"/>
      <c r="P692" s="717" t="s">
        <v>795</v>
      </c>
      <c r="Q692" s="717" t="s">
        <v>3197</v>
      </c>
      <c r="R692" s="718"/>
      <c r="S692" s="716"/>
      <c r="T692" s="719">
        <v>43936</v>
      </c>
      <c r="U692" s="718"/>
      <c r="V692" s="717"/>
      <c r="W692" s="486"/>
    </row>
    <row r="693" spans="1:23" s="68" customFormat="1" ht="14.25" customHeight="1">
      <c r="A693" s="716" t="s">
        <v>36</v>
      </c>
      <c r="B693" s="720" t="s">
        <v>132</v>
      </c>
      <c r="C693" s="722" t="s">
        <v>3177</v>
      </c>
      <c r="D693" s="485"/>
      <c r="E693" s="717"/>
      <c r="F693" s="717"/>
      <c r="G693" s="717"/>
      <c r="H693" s="717"/>
      <c r="I693" s="717"/>
      <c r="J693" s="659" t="s">
        <v>794</v>
      </c>
      <c r="K693" s="659" t="s">
        <v>794</v>
      </c>
      <c r="L693" s="659" t="s">
        <v>794</v>
      </c>
      <c r="M693" s="717"/>
      <c r="N693" s="717"/>
      <c r="O693" s="717"/>
      <c r="P693" s="717" t="s">
        <v>795</v>
      </c>
      <c r="Q693" s="717" t="s">
        <v>3197</v>
      </c>
      <c r="R693" s="718"/>
      <c r="S693" s="716"/>
      <c r="T693" s="719">
        <v>43936</v>
      </c>
      <c r="U693" s="718"/>
      <c r="V693" s="717"/>
      <c r="W693" s="486"/>
    </row>
    <row r="694" spans="1:23" s="68" customFormat="1" ht="14.25" customHeight="1">
      <c r="A694" s="482" t="s">
        <v>36</v>
      </c>
      <c r="B694" s="482" t="s">
        <v>132</v>
      </c>
      <c r="C694" s="482" t="s">
        <v>260</v>
      </c>
      <c r="D694" s="431" t="s">
        <v>2817</v>
      </c>
      <c r="E694" s="482" t="s">
        <v>1542</v>
      </c>
      <c r="F694" s="482" t="s">
        <v>1812</v>
      </c>
      <c r="G694" s="482" t="s">
        <v>1813</v>
      </c>
      <c r="H694" s="482" t="s">
        <v>40</v>
      </c>
      <c r="I694" s="482" t="s">
        <v>232</v>
      </c>
      <c r="J694" s="68" t="s">
        <v>42</v>
      </c>
      <c r="K694" s="68" t="s">
        <v>42</v>
      </c>
      <c r="L694" s="68" t="s">
        <v>42</v>
      </c>
      <c r="M694" s="68" t="s">
        <v>43</v>
      </c>
      <c r="N694" s="482">
        <v>25.351965</v>
      </c>
      <c r="O694" s="482">
        <v>97.345039</v>
      </c>
      <c r="P694" s="68" t="s">
        <v>757</v>
      </c>
      <c r="Q694" s="68" t="s">
        <v>776</v>
      </c>
      <c r="R694" s="486">
        <v>19</v>
      </c>
      <c r="S694" s="486">
        <v>82</v>
      </c>
      <c r="T694" s="101"/>
      <c r="U694" s="488"/>
      <c r="V694" s="482" t="s">
        <v>260</v>
      </c>
      <c r="W694" s="482"/>
    </row>
    <row r="695" spans="1:23" s="68" customFormat="1" ht="14.25" customHeight="1">
      <c r="A695" s="716" t="s">
        <v>36</v>
      </c>
      <c r="B695" s="720" t="s">
        <v>132</v>
      </c>
      <c r="C695" s="722" t="s">
        <v>3180</v>
      </c>
      <c r="D695" s="485"/>
      <c r="E695" s="717"/>
      <c r="F695" s="717"/>
      <c r="G695" s="717"/>
      <c r="H695" s="717"/>
      <c r="I695" s="717"/>
      <c r="J695" s="659" t="s">
        <v>794</v>
      </c>
      <c r="K695" s="659" t="s">
        <v>794</v>
      </c>
      <c r="L695" s="659" t="s">
        <v>794</v>
      </c>
      <c r="M695" s="717"/>
      <c r="N695" s="717"/>
      <c r="O695" s="717"/>
      <c r="P695" s="717" t="s">
        <v>795</v>
      </c>
      <c r="Q695" s="717" t="s">
        <v>3197</v>
      </c>
      <c r="R695" s="718"/>
      <c r="S695" s="716"/>
      <c r="T695" s="719">
        <v>43936</v>
      </c>
      <c r="U695" s="718"/>
      <c r="V695" s="717"/>
      <c r="W695" s="486"/>
    </row>
    <row r="696" spans="1:23" s="68" customFormat="1" ht="14.25" customHeight="1">
      <c r="A696" s="716" t="s">
        <v>36</v>
      </c>
      <c r="B696" s="720" t="s">
        <v>132</v>
      </c>
      <c r="C696" s="722" t="s">
        <v>3193</v>
      </c>
      <c r="D696" s="485"/>
      <c r="E696" s="717"/>
      <c r="F696" s="717"/>
      <c r="G696" s="717"/>
      <c r="H696" s="717"/>
      <c r="I696" s="717"/>
      <c r="J696" s="659" t="s">
        <v>794</v>
      </c>
      <c r="K696" s="659" t="s">
        <v>794</v>
      </c>
      <c r="L696" s="659" t="s">
        <v>794</v>
      </c>
      <c r="M696" s="717"/>
      <c r="N696" s="717"/>
      <c r="O696" s="717"/>
      <c r="P696" s="717" t="s">
        <v>795</v>
      </c>
      <c r="Q696" s="717" t="s">
        <v>3197</v>
      </c>
      <c r="R696" s="718"/>
      <c r="S696" s="716"/>
      <c r="T696" s="719">
        <v>43936</v>
      </c>
      <c r="U696" s="718"/>
      <c r="V696" s="717"/>
      <c r="W696" s="486"/>
    </row>
    <row r="697" spans="1:23" s="68" customFormat="1" ht="14.25" customHeight="1">
      <c r="A697" s="716" t="s">
        <v>36</v>
      </c>
      <c r="B697" s="720" t="s">
        <v>132</v>
      </c>
      <c r="C697" s="722" t="s">
        <v>3178</v>
      </c>
      <c r="D697" s="485"/>
      <c r="E697" s="717"/>
      <c r="F697" s="717"/>
      <c r="G697" s="717"/>
      <c r="H697" s="717"/>
      <c r="I697" s="717"/>
      <c r="J697" s="659" t="s">
        <v>794</v>
      </c>
      <c r="K697" s="659" t="s">
        <v>794</v>
      </c>
      <c r="L697" s="659" t="s">
        <v>794</v>
      </c>
      <c r="M697" s="717"/>
      <c r="N697" s="717"/>
      <c r="O697" s="717"/>
      <c r="P697" s="717" t="s">
        <v>795</v>
      </c>
      <c r="Q697" s="717" t="s">
        <v>3197</v>
      </c>
      <c r="R697" s="718"/>
      <c r="S697" s="716"/>
      <c r="T697" s="719">
        <v>43936</v>
      </c>
      <c r="U697" s="718"/>
      <c r="V697" s="717"/>
      <c r="W697" s="486"/>
    </row>
    <row r="698" spans="1:23" s="68" customFormat="1" ht="14.25" customHeight="1">
      <c r="A698" s="482" t="s">
        <v>36</v>
      </c>
      <c r="B698" s="482" t="s">
        <v>132</v>
      </c>
      <c r="C698" s="482" t="s">
        <v>170</v>
      </c>
      <c r="D698" s="431" t="s">
        <v>2817</v>
      </c>
      <c r="E698" s="482" t="s">
        <v>1518</v>
      </c>
      <c r="F698" s="482" t="s">
        <v>1799</v>
      </c>
      <c r="G698" s="482" t="s">
        <v>1800</v>
      </c>
      <c r="H698" s="482" t="s">
        <v>40</v>
      </c>
      <c r="I698" s="482" t="s">
        <v>2661</v>
      </c>
      <c r="J698" s="396" t="s">
        <v>42</v>
      </c>
      <c r="K698" s="396" t="s">
        <v>964</v>
      </c>
      <c r="L698" s="396" t="s">
        <v>42</v>
      </c>
      <c r="M698" s="482" t="s">
        <v>774</v>
      </c>
      <c r="N698" s="482">
        <v>24.831944</v>
      </c>
      <c r="O698" s="482">
        <v>97.751389000000003</v>
      </c>
      <c r="P698" s="482" t="s">
        <v>757</v>
      </c>
      <c r="Q698" s="482" t="s">
        <v>776</v>
      </c>
      <c r="R698" s="486">
        <v>185</v>
      </c>
      <c r="S698" s="486">
        <v>943</v>
      </c>
      <c r="T698" s="506"/>
      <c r="U698" s="488" t="s">
        <v>1028</v>
      </c>
      <c r="V698" s="482" t="s">
        <v>1029</v>
      </c>
      <c r="W698" s="482"/>
    </row>
    <row r="699" spans="1:23" s="68" customFormat="1" ht="14.25" customHeight="1">
      <c r="A699" s="396" t="s">
        <v>36</v>
      </c>
      <c r="B699" s="396" t="s">
        <v>132</v>
      </c>
      <c r="C699" s="396" t="s">
        <v>228</v>
      </c>
      <c r="D699" s="431" t="s">
        <v>2817</v>
      </c>
      <c r="E699" s="396" t="s">
        <v>1529</v>
      </c>
      <c r="F699" s="396" t="s">
        <v>1802</v>
      </c>
      <c r="G699" s="396" t="s">
        <v>1802</v>
      </c>
      <c r="H699" s="396" t="s">
        <v>40</v>
      </c>
      <c r="I699" s="396" t="s">
        <v>1325</v>
      </c>
      <c r="J699" s="396" t="s">
        <v>42</v>
      </c>
      <c r="K699" s="396" t="s">
        <v>42</v>
      </c>
      <c r="L699" s="396" t="s">
        <v>42</v>
      </c>
      <c r="M699" s="396" t="s">
        <v>774</v>
      </c>
      <c r="N699" s="396">
        <v>25.265277999999999</v>
      </c>
      <c r="O699" s="396">
        <v>97.990555999999998</v>
      </c>
      <c r="P699" s="396" t="s">
        <v>757</v>
      </c>
      <c r="Q699" s="396" t="s">
        <v>776</v>
      </c>
      <c r="R699" s="399">
        <v>79</v>
      </c>
      <c r="S699" s="486">
        <v>527</v>
      </c>
      <c r="T699" s="412"/>
      <c r="U699" s="401"/>
      <c r="V699" s="396" t="s">
        <v>228</v>
      </c>
      <c r="W699" s="396"/>
    </row>
    <row r="700" spans="1:23" s="71" customFormat="1" ht="14.25" customHeight="1">
      <c r="A700" s="482" t="s">
        <v>36</v>
      </c>
      <c r="B700" s="482" t="s">
        <v>132</v>
      </c>
      <c r="C700" s="482" t="s">
        <v>261</v>
      </c>
      <c r="D700" s="431" t="s">
        <v>2817</v>
      </c>
      <c r="E700" s="482" t="s">
        <v>1543</v>
      </c>
      <c r="F700" s="482" t="s">
        <v>1716</v>
      </c>
      <c r="G700" s="482" t="s">
        <v>1706</v>
      </c>
      <c r="H700" s="482" t="s">
        <v>40</v>
      </c>
      <c r="I700" s="482" t="s">
        <v>232</v>
      </c>
      <c r="J700" s="396" t="s">
        <v>42</v>
      </c>
      <c r="K700" s="396" t="s">
        <v>42</v>
      </c>
      <c r="L700" s="396" t="s">
        <v>42</v>
      </c>
      <c r="M700" s="482" t="s">
        <v>43</v>
      </c>
      <c r="N700" s="482">
        <v>25.3540362037037</v>
      </c>
      <c r="O700" s="482">
        <v>97.441166388888902</v>
      </c>
      <c r="P700" s="482" t="s">
        <v>757</v>
      </c>
      <c r="Q700" s="482" t="s">
        <v>776</v>
      </c>
      <c r="R700" s="486">
        <v>115</v>
      </c>
      <c r="S700" s="486">
        <v>493</v>
      </c>
      <c r="T700" s="506"/>
      <c r="U700" s="488"/>
      <c r="V700" s="482" t="s">
        <v>261</v>
      </c>
      <c r="W700" s="482"/>
    </row>
    <row r="701" spans="1:23" s="68" customFormat="1" ht="14.25" customHeight="1">
      <c r="A701" s="396" t="s">
        <v>36</v>
      </c>
      <c r="B701" s="482" t="s">
        <v>132</v>
      </c>
      <c r="C701" s="482" t="s">
        <v>171</v>
      </c>
      <c r="D701" s="431" t="s">
        <v>2817</v>
      </c>
      <c r="E701" s="396" t="s">
        <v>1541</v>
      </c>
      <c r="F701" s="396" t="s">
        <v>1716</v>
      </c>
      <c r="G701" s="396" t="s">
        <v>1706</v>
      </c>
      <c r="H701" s="396" t="s">
        <v>40</v>
      </c>
      <c r="I701" s="396" t="s">
        <v>2661</v>
      </c>
      <c r="J701" s="68" t="s">
        <v>42</v>
      </c>
      <c r="K701" s="68" t="s">
        <v>42</v>
      </c>
      <c r="L701" s="68" t="s">
        <v>42</v>
      </c>
      <c r="M701" s="396" t="s">
        <v>43</v>
      </c>
      <c r="N701" s="396">
        <v>25.351724999999998</v>
      </c>
      <c r="O701" s="396">
        <v>97.438432380952406</v>
      </c>
      <c r="P701" s="68" t="s">
        <v>757</v>
      </c>
      <c r="Q701" s="396" t="s">
        <v>776</v>
      </c>
      <c r="R701" s="399">
        <v>67</v>
      </c>
      <c r="S701" s="486">
        <v>341</v>
      </c>
      <c r="T701" s="412"/>
      <c r="U701" s="401"/>
      <c r="V701" s="396" t="s">
        <v>171</v>
      </c>
      <c r="W701" s="396"/>
    </row>
    <row r="702" spans="1:23" s="68" customFormat="1" ht="14.25" customHeight="1">
      <c r="A702" s="396" t="s">
        <v>36</v>
      </c>
      <c r="B702" s="482" t="s">
        <v>132</v>
      </c>
      <c r="C702" s="482" t="s">
        <v>262</v>
      </c>
      <c r="D702" s="431" t="s">
        <v>2817</v>
      </c>
      <c r="E702" s="68" t="s">
        <v>1537</v>
      </c>
      <c r="F702" s="482" t="s">
        <v>1716</v>
      </c>
      <c r="G702" s="68" t="s">
        <v>1764</v>
      </c>
      <c r="H702" s="68" t="s">
        <v>40</v>
      </c>
      <c r="I702" s="68" t="s">
        <v>232</v>
      </c>
      <c r="J702" s="68" t="s">
        <v>42</v>
      </c>
      <c r="K702" s="68" t="s">
        <v>42</v>
      </c>
      <c r="L702" s="68" t="s">
        <v>42</v>
      </c>
      <c r="M702" s="482" t="s">
        <v>43</v>
      </c>
      <c r="N702" s="396">
        <v>25.345918166666699</v>
      </c>
      <c r="O702" s="396">
        <v>97.437472666666693</v>
      </c>
      <c r="P702" s="68" t="s">
        <v>757</v>
      </c>
      <c r="Q702" s="68" t="s">
        <v>776</v>
      </c>
      <c r="R702" s="486">
        <v>36</v>
      </c>
      <c r="S702" s="486">
        <v>189</v>
      </c>
      <c r="T702" s="101"/>
      <c r="U702" s="488"/>
      <c r="V702" s="68" t="s">
        <v>262</v>
      </c>
      <c r="W702" s="482"/>
    </row>
    <row r="703" spans="1:23" s="68" customFormat="1" ht="14.25" customHeight="1">
      <c r="A703" s="396" t="s">
        <v>36</v>
      </c>
      <c r="B703" s="482" t="s">
        <v>132</v>
      </c>
      <c r="C703" s="482" t="s">
        <v>263</v>
      </c>
      <c r="D703" s="431" t="s">
        <v>2107</v>
      </c>
      <c r="E703" s="68" t="s">
        <v>1538</v>
      </c>
      <c r="F703" s="68" t="s">
        <v>1716</v>
      </c>
      <c r="G703" s="68" t="s">
        <v>1810</v>
      </c>
      <c r="H703" s="68" t="s">
        <v>40</v>
      </c>
      <c r="I703" s="68" t="s">
        <v>232</v>
      </c>
      <c r="J703" s="396" t="s">
        <v>42</v>
      </c>
      <c r="K703" s="396" t="s">
        <v>42</v>
      </c>
      <c r="L703" s="68" t="s">
        <v>756</v>
      </c>
      <c r="M703" s="68" t="s">
        <v>43</v>
      </c>
      <c r="N703" s="68">
        <v>25.350809000000002</v>
      </c>
      <c r="O703" s="68">
        <v>97.432495000000003</v>
      </c>
      <c r="P703" s="68" t="s">
        <v>757</v>
      </c>
      <c r="Q703" s="68" t="s">
        <v>776</v>
      </c>
      <c r="R703" s="486"/>
      <c r="S703" s="486"/>
      <c r="T703" s="101"/>
      <c r="U703" s="97"/>
      <c r="V703" s="68" t="s">
        <v>263</v>
      </c>
      <c r="W703" s="391" t="s">
        <v>2163</v>
      </c>
    </row>
    <row r="704" spans="1:23" s="68" customFormat="1" ht="14.25" customHeight="1">
      <c r="A704" s="491" t="s">
        <v>36</v>
      </c>
      <c r="B704" s="490" t="s">
        <v>132</v>
      </c>
      <c r="C704" s="484" t="s">
        <v>1046</v>
      </c>
      <c r="D704" s="431" t="s">
        <v>2817</v>
      </c>
      <c r="E704" s="484" t="s">
        <v>1960</v>
      </c>
      <c r="F704" s="482" t="s">
        <v>1046</v>
      </c>
      <c r="G704" s="482" t="s">
        <v>1046</v>
      </c>
      <c r="H704" s="484"/>
      <c r="I704" s="484" t="s">
        <v>2116</v>
      </c>
      <c r="J704" s="396" t="s">
        <v>42</v>
      </c>
      <c r="K704" s="396" t="s">
        <v>42</v>
      </c>
      <c r="L704" s="484" t="s">
        <v>772</v>
      </c>
      <c r="M704" s="482" t="s">
        <v>43</v>
      </c>
      <c r="N704" s="482">
        <v>0</v>
      </c>
      <c r="O704" s="482">
        <v>0</v>
      </c>
      <c r="P704" s="17" t="s">
        <v>757</v>
      </c>
      <c r="Q704" s="482" t="s">
        <v>1930</v>
      </c>
      <c r="R704" s="486">
        <v>85</v>
      </c>
      <c r="S704" s="486">
        <v>455</v>
      </c>
      <c r="T704" s="506">
        <v>43276</v>
      </c>
      <c r="U704" s="492"/>
      <c r="V704" s="484"/>
      <c r="W704" s="68" t="s">
        <v>2164</v>
      </c>
    </row>
    <row r="705" spans="1:23" s="68" customFormat="1" ht="14.25" customHeight="1">
      <c r="A705" s="482" t="s">
        <v>36</v>
      </c>
      <c r="B705" s="484" t="s">
        <v>132</v>
      </c>
      <c r="C705" s="484" t="s">
        <v>133</v>
      </c>
      <c r="D705" s="431" t="s">
        <v>2817</v>
      </c>
      <c r="E705" s="482" t="s">
        <v>1623</v>
      </c>
      <c r="F705" s="482" t="s">
        <v>1799</v>
      </c>
      <c r="G705" s="482" t="s">
        <v>1800</v>
      </c>
      <c r="H705" s="482" t="s">
        <v>40</v>
      </c>
      <c r="I705" s="482" t="s">
        <v>2661</v>
      </c>
      <c r="J705" s="396" t="s">
        <v>42</v>
      </c>
      <c r="K705" s="484" t="s">
        <v>42</v>
      </c>
      <c r="L705" s="484" t="s">
        <v>42</v>
      </c>
      <c r="M705" s="482" t="s">
        <v>774</v>
      </c>
      <c r="N705" s="482">
        <v>0</v>
      </c>
      <c r="O705" s="482">
        <v>0</v>
      </c>
      <c r="P705" s="17" t="s">
        <v>757</v>
      </c>
      <c r="Q705" s="482" t="s">
        <v>798</v>
      </c>
      <c r="R705" s="486">
        <v>398</v>
      </c>
      <c r="S705" s="486">
        <v>1834</v>
      </c>
      <c r="T705" s="506">
        <v>42916</v>
      </c>
      <c r="U705" s="488" t="s">
        <v>1132</v>
      </c>
      <c r="V705" s="482"/>
      <c r="W705" s="391" t="s">
        <v>2265</v>
      </c>
    </row>
    <row r="706" spans="1:23" s="68" customFormat="1" ht="14.25" customHeight="1">
      <c r="A706" s="716" t="s">
        <v>36</v>
      </c>
      <c r="B706" s="720" t="s">
        <v>132</v>
      </c>
      <c r="C706" s="722" t="s">
        <v>3196</v>
      </c>
      <c r="D706" s="485"/>
      <c r="E706" s="717"/>
      <c r="F706" s="717"/>
      <c r="G706" s="717"/>
      <c r="H706" s="717"/>
      <c r="I706" s="717"/>
      <c r="J706" s="659" t="s">
        <v>794</v>
      </c>
      <c r="K706" s="659" t="s">
        <v>794</v>
      </c>
      <c r="L706" s="659" t="s">
        <v>794</v>
      </c>
      <c r="M706" s="717"/>
      <c r="N706" s="717"/>
      <c r="O706" s="717"/>
      <c r="P706" s="717" t="s">
        <v>795</v>
      </c>
      <c r="Q706" s="717" t="s">
        <v>3197</v>
      </c>
      <c r="R706" s="718"/>
      <c r="S706" s="716"/>
      <c r="T706" s="719">
        <v>43936</v>
      </c>
      <c r="U706" s="718"/>
      <c r="V706" s="717"/>
      <c r="W706" s="486"/>
    </row>
    <row r="707" spans="1:23" s="68" customFormat="1" ht="14.25" customHeight="1">
      <c r="A707" s="482" t="s">
        <v>36</v>
      </c>
      <c r="B707" s="484" t="s">
        <v>132</v>
      </c>
      <c r="C707" s="484" t="s">
        <v>172</v>
      </c>
      <c r="D707" s="431" t="s">
        <v>2817</v>
      </c>
      <c r="E707" s="482" t="s">
        <v>1567</v>
      </c>
      <c r="F707" s="484" t="s">
        <v>1825</v>
      </c>
      <c r="G707" s="482" t="s">
        <v>1826</v>
      </c>
      <c r="H707" s="482" t="s">
        <v>40</v>
      </c>
      <c r="I707" s="482" t="s">
        <v>2661</v>
      </c>
      <c r="J707" s="396" t="s">
        <v>42</v>
      </c>
      <c r="K707" s="396" t="s">
        <v>42</v>
      </c>
      <c r="L707" s="68" t="s">
        <v>42</v>
      </c>
      <c r="M707" s="482" t="s">
        <v>43</v>
      </c>
      <c r="N707" s="482">
        <v>25.418084</v>
      </c>
      <c r="O707" s="482">
        <v>98.025662999999994</v>
      </c>
      <c r="P707" s="482" t="s">
        <v>757</v>
      </c>
      <c r="Q707" s="482" t="s">
        <v>776</v>
      </c>
      <c r="R707" s="486">
        <v>183</v>
      </c>
      <c r="S707" s="486">
        <v>1041</v>
      </c>
      <c r="T707" s="506"/>
      <c r="U707" s="488"/>
      <c r="V707" s="482" t="s">
        <v>172</v>
      </c>
      <c r="W707" s="391" t="s">
        <v>2266</v>
      </c>
    </row>
    <row r="708" spans="1:23" s="68" customFormat="1" ht="14.25" customHeight="1">
      <c r="A708" s="716" t="s">
        <v>36</v>
      </c>
      <c r="B708" s="720" t="s">
        <v>132</v>
      </c>
      <c r="C708" s="722" t="s">
        <v>3179</v>
      </c>
      <c r="D708" s="485"/>
      <c r="E708" s="717"/>
      <c r="F708" s="717"/>
      <c r="G708" s="717"/>
      <c r="H708" s="717"/>
      <c r="I708" s="717"/>
      <c r="J708" s="659" t="s">
        <v>794</v>
      </c>
      <c r="K708" s="659" t="s">
        <v>794</v>
      </c>
      <c r="L708" s="659" t="s">
        <v>794</v>
      </c>
      <c r="M708" s="717"/>
      <c r="N708" s="717"/>
      <c r="O708" s="717"/>
      <c r="P708" s="717" t="s">
        <v>795</v>
      </c>
      <c r="Q708" s="717" t="s">
        <v>3197</v>
      </c>
      <c r="R708" s="718"/>
      <c r="S708" s="716"/>
      <c r="T708" s="719">
        <v>43936</v>
      </c>
      <c r="U708" s="718"/>
      <c r="V708" s="717"/>
      <c r="W708" s="486"/>
    </row>
    <row r="709" spans="1:23" s="68" customFormat="1" ht="14.25" customHeight="1">
      <c r="A709" s="482" t="s">
        <v>36</v>
      </c>
      <c r="B709" s="484" t="s">
        <v>132</v>
      </c>
      <c r="C709" s="484" t="s">
        <v>264</v>
      </c>
      <c r="D709" s="431" t="s">
        <v>2817</v>
      </c>
      <c r="E709" s="482" t="s">
        <v>1536</v>
      </c>
      <c r="F709" s="482" t="s">
        <v>1716</v>
      </c>
      <c r="G709" s="482" t="s">
        <v>1810</v>
      </c>
      <c r="H709" s="482" t="s">
        <v>40</v>
      </c>
      <c r="I709" s="482" t="s">
        <v>232</v>
      </c>
      <c r="J709" s="482" t="s">
        <v>42</v>
      </c>
      <c r="K709" s="482" t="s">
        <v>42</v>
      </c>
      <c r="L709" s="482" t="s">
        <v>42</v>
      </c>
      <c r="M709" s="482" t="s">
        <v>43</v>
      </c>
      <c r="N709" s="482">
        <v>25.333683333333301</v>
      </c>
      <c r="O709" s="482">
        <v>97.428251153846105</v>
      </c>
      <c r="P709" s="482" t="s">
        <v>757</v>
      </c>
      <c r="Q709" s="482" t="s">
        <v>776</v>
      </c>
      <c r="R709" s="486">
        <v>46</v>
      </c>
      <c r="S709" s="486">
        <v>190</v>
      </c>
      <c r="T709" s="506"/>
      <c r="U709" s="488"/>
      <c r="V709" s="482" t="s">
        <v>264</v>
      </c>
      <c r="W709" s="482"/>
    </row>
    <row r="710" spans="1:23" s="68" customFormat="1" ht="14.25" customHeight="1">
      <c r="A710" s="491" t="s">
        <v>36</v>
      </c>
      <c r="B710" s="490" t="s">
        <v>132</v>
      </c>
      <c r="C710" s="484" t="s">
        <v>2108</v>
      </c>
      <c r="D710" s="431" t="s">
        <v>2817</v>
      </c>
      <c r="E710" s="484" t="s">
        <v>1957</v>
      </c>
      <c r="F710" s="484"/>
      <c r="G710" s="484"/>
      <c r="H710" s="482" t="s">
        <v>40</v>
      </c>
      <c r="I710" s="482" t="s">
        <v>2661</v>
      </c>
      <c r="J710" s="482" t="s">
        <v>42</v>
      </c>
      <c r="K710" s="482" t="s">
        <v>42</v>
      </c>
      <c r="L710" s="482" t="s">
        <v>42</v>
      </c>
      <c r="M710" s="482" t="s">
        <v>43</v>
      </c>
      <c r="N710" s="482">
        <v>0</v>
      </c>
      <c r="O710" s="482">
        <v>0</v>
      </c>
      <c r="P710" s="484" t="s">
        <v>757</v>
      </c>
      <c r="Q710" s="482" t="s">
        <v>1930</v>
      </c>
      <c r="R710" s="486">
        <v>79</v>
      </c>
      <c r="S710" s="486">
        <v>350</v>
      </c>
      <c r="T710" s="506">
        <v>43276</v>
      </c>
      <c r="U710" s="492" t="s">
        <v>1979</v>
      </c>
      <c r="V710" s="484"/>
      <c r="W710" s="391" t="s">
        <v>2267</v>
      </c>
    </row>
    <row r="711" spans="1:23" s="68" customFormat="1" ht="14.25" customHeight="1">
      <c r="A711" s="396" t="s">
        <v>36</v>
      </c>
      <c r="B711" s="500" t="s">
        <v>132</v>
      </c>
      <c r="C711" s="499" t="s">
        <v>265</v>
      </c>
      <c r="D711" s="431" t="s">
        <v>2817</v>
      </c>
      <c r="E711" s="396" t="s">
        <v>1540</v>
      </c>
      <c r="F711" s="500" t="s">
        <v>1716</v>
      </c>
      <c r="G711" s="396" t="s">
        <v>1764</v>
      </c>
      <c r="H711" s="396" t="s">
        <v>40</v>
      </c>
      <c r="I711" s="396" t="s">
        <v>232</v>
      </c>
      <c r="J711" s="396" t="s">
        <v>42</v>
      </c>
      <c r="K711" s="396" t="s">
        <v>42</v>
      </c>
      <c r="L711" s="396" t="s">
        <v>42</v>
      </c>
      <c r="M711" s="68" t="s">
        <v>43</v>
      </c>
      <c r="N711" s="68">
        <v>25.351250396825399</v>
      </c>
      <c r="O711" s="68">
        <v>97.444283730158702</v>
      </c>
      <c r="P711" s="482" t="s">
        <v>757</v>
      </c>
      <c r="Q711" s="396" t="s">
        <v>776</v>
      </c>
      <c r="R711" s="501">
        <v>67</v>
      </c>
      <c r="S711" s="501">
        <v>283</v>
      </c>
      <c r="T711" s="412"/>
      <c r="U711" s="401"/>
      <c r="V711" s="482" t="s">
        <v>265</v>
      </c>
      <c r="W711" s="396"/>
    </row>
    <row r="712" spans="1:23" s="68" customFormat="1" ht="14.25" customHeight="1">
      <c r="A712" s="396" t="s">
        <v>36</v>
      </c>
      <c r="B712" s="500" t="s">
        <v>132</v>
      </c>
      <c r="C712" s="499" t="s">
        <v>1041</v>
      </c>
      <c r="D712" s="431" t="s">
        <v>1657</v>
      </c>
      <c r="E712" s="396" t="s">
        <v>1544</v>
      </c>
      <c r="F712" s="482" t="s">
        <v>1716</v>
      </c>
      <c r="G712" s="396" t="s">
        <v>1706</v>
      </c>
      <c r="H712" s="396" t="s">
        <v>40</v>
      </c>
      <c r="I712" s="396" t="s">
        <v>131</v>
      </c>
      <c r="J712" s="396" t="s">
        <v>42</v>
      </c>
      <c r="K712" s="396" t="s">
        <v>42</v>
      </c>
      <c r="L712" s="68" t="s">
        <v>756</v>
      </c>
      <c r="M712" s="396" t="s">
        <v>43</v>
      </c>
      <c r="N712" s="396">
        <v>25.355841999999999</v>
      </c>
      <c r="O712" s="396">
        <v>97.438259000000002</v>
      </c>
      <c r="P712" s="68" t="s">
        <v>757</v>
      </c>
      <c r="Q712" s="396" t="s">
        <v>776</v>
      </c>
      <c r="R712" s="501"/>
      <c r="S712" s="502"/>
      <c r="T712" s="412"/>
      <c r="U712" s="488" t="s">
        <v>1042</v>
      </c>
      <c r="V712" s="396" t="s">
        <v>1041</v>
      </c>
      <c r="W712" s="391" t="s">
        <v>2165</v>
      </c>
    </row>
    <row r="713" spans="1:23" s="68" customFormat="1" ht="14.25" customHeight="1">
      <c r="A713" s="491" t="s">
        <v>36</v>
      </c>
      <c r="B713" s="501" t="s">
        <v>132</v>
      </c>
      <c r="C713" s="499" t="s">
        <v>1940</v>
      </c>
      <c r="D713" s="432"/>
      <c r="E713" s="484"/>
      <c r="F713" s="484"/>
      <c r="G713" s="484"/>
      <c r="H713" s="484"/>
      <c r="I713" s="484"/>
      <c r="J713" s="68" t="s">
        <v>1460</v>
      </c>
      <c r="K713" s="68" t="s">
        <v>42</v>
      </c>
      <c r="L713" s="68" t="s">
        <v>42</v>
      </c>
      <c r="M713" s="68" t="s">
        <v>43</v>
      </c>
      <c r="N713" s="484"/>
      <c r="O713" s="484"/>
      <c r="P713" s="68" t="s">
        <v>757</v>
      </c>
      <c r="Q713" s="68" t="s">
        <v>1930</v>
      </c>
      <c r="R713" s="702"/>
      <c r="S713" s="502"/>
      <c r="T713" s="101">
        <v>43270</v>
      </c>
      <c r="U713" s="492"/>
      <c r="V713" s="484"/>
    </row>
    <row r="714" spans="1:23" s="68" customFormat="1" ht="14.25" customHeight="1">
      <c r="A714" s="482" t="s">
        <v>36</v>
      </c>
      <c r="B714" s="500" t="s">
        <v>132</v>
      </c>
      <c r="C714" s="499" t="s">
        <v>211</v>
      </c>
      <c r="D714" s="431" t="s">
        <v>2817</v>
      </c>
      <c r="E714" s="68" t="s">
        <v>1514</v>
      </c>
      <c r="F714" s="482" t="s">
        <v>1709</v>
      </c>
      <c r="G714" s="68" t="s">
        <v>1709</v>
      </c>
      <c r="H714" s="68" t="s">
        <v>40</v>
      </c>
      <c r="I714" s="68" t="s">
        <v>1325</v>
      </c>
      <c r="J714" s="68" t="s">
        <v>42</v>
      </c>
      <c r="K714" s="68" t="s">
        <v>42</v>
      </c>
      <c r="L714" s="68" t="s">
        <v>42</v>
      </c>
      <c r="M714" s="68" t="s">
        <v>774</v>
      </c>
      <c r="N714" s="396">
        <v>24.755253</v>
      </c>
      <c r="O714" s="396">
        <v>97.546893999999995</v>
      </c>
      <c r="P714" s="68" t="s">
        <v>757</v>
      </c>
      <c r="Q714" s="396" t="s">
        <v>776</v>
      </c>
      <c r="R714" s="501">
        <v>1403</v>
      </c>
      <c r="S714" s="501">
        <v>7165</v>
      </c>
      <c r="T714" s="412"/>
      <c r="U714" s="488"/>
      <c r="V714" s="482" t="s">
        <v>211</v>
      </c>
      <c r="W714" s="391" t="s">
        <v>2268</v>
      </c>
    </row>
    <row r="715" spans="1:23" s="68" customFormat="1" ht="14.25" customHeight="1">
      <c r="A715" s="482" t="s">
        <v>36</v>
      </c>
      <c r="B715" s="500" t="s">
        <v>132</v>
      </c>
      <c r="C715" s="499" t="s">
        <v>213</v>
      </c>
      <c r="D715" s="431" t="s">
        <v>1656</v>
      </c>
      <c r="E715" s="482"/>
      <c r="F715" s="482"/>
      <c r="G715" s="482"/>
      <c r="H715" s="482"/>
      <c r="I715" s="482"/>
      <c r="J715" s="68" t="s">
        <v>1460</v>
      </c>
      <c r="K715" s="68" t="s">
        <v>42</v>
      </c>
      <c r="L715" s="68" t="s">
        <v>1147</v>
      </c>
      <c r="M715" s="482" t="s">
        <v>774</v>
      </c>
      <c r="N715" s="482"/>
      <c r="O715" s="482"/>
      <c r="P715" s="482" t="s">
        <v>757</v>
      </c>
      <c r="Q715" s="482" t="s">
        <v>776</v>
      </c>
      <c r="R715" s="501"/>
      <c r="S715" s="502"/>
      <c r="T715" s="506"/>
      <c r="U715" s="488" t="s">
        <v>1091</v>
      </c>
      <c r="V715" s="482"/>
      <c r="W715" s="482"/>
    </row>
    <row r="716" spans="1:23" s="68" customFormat="1" ht="14.25" customHeight="1">
      <c r="A716" s="396" t="s">
        <v>36</v>
      </c>
      <c r="B716" s="500" t="s">
        <v>132</v>
      </c>
      <c r="C716" s="499" t="s">
        <v>212</v>
      </c>
      <c r="D716" s="431" t="s">
        <v>1656</v>
      </c>
      <c r="F716" s="482"/>
      <c r="J716" s="68" t="s">
        <v>1460</v>
      </c>
      <c r="K716" s="396" t="s">
        <v>42</v>
      </c>
      <c r="L716" s="396" t="s">
        <v>768</v>
      </c>
      <c r="M716" s="68" t="s">
        <v>774</v>
      </c>
      <c r="N716" s="396"/>
      <c r="O716" s="396"/>
      <c r="P716" s="68" t="s">
        <v>769</v>
      </c>
      <c r="Q716" s="68" t="s">
        <v>776</v>
      </c>
      <c r="R716" s="501"/>
      <c r="S716" s="502"/>
      <c r="T716" s="101"/>
      <c r="U716" s="97" t="s">
        <v>1091</v>
      </c>
      <c r="W716" s="396"/>
    </row>
    <row r="717" spans="1:23" s="68" customFormat="1" ht="14.25" customHeight="1">
      <c r="A717" s="716" t="s">
        <v>36</v>
      </c>
      <c r="B717" s="721" t="s">
        <v>132</v>
      </c>
      <c r="C717" s="723" t="s">
        <v>3186</v>
      </c>
      <c r="D717" s="485"/>
      <c r="E717" s="717"/>
      <c r="F717" s="717"/>
      <c r="G717" s="717"/>
      <c r="H717" s="717"/>
      <c r="I717" s="717"/>
      <c r="J717" s="659" t="s">
        <v>794</v>
      </c>
      <c r="K717" s="659" t="s">
        <v>794</v>
      </c>
      <c r="L717" s="659" t="s">
        <v>794</v>
      </c>
      <c r="M717" s="717"/>
      <c r="N717" s="717"/>
      <c r="O717" s="717"/>
      <c r="P717" s="717" t="s">
        <v>795</v>
      </c>
      <c r="Q717" s="717" t="s">
        <v>3197</v>
      </c>
      <c r="R717" s="718"/>
      <c r="S717" s="716"/>
      <c r="T717" s="719">
        <v>43936</v>
      </c>
      <c r="U717" s="718"/>
      <c r="V717" s="717"/>
      <c r="W717" s="486"/>
    </row>
    <row r="718" spans="1:23" s="68" customFormat="1" ht="14.25" customHeight="1">
      <c r="A718" s="396" t="s">
        <v>36</v>
      </c>
      <c r="B718" s="500" t="s">
        <v>132</v>
      </c>
      <c r="C718" s="499" t="s">
        <v>1033</v>
      </c>
      <c r="D718" s="431" t="s">
        <v>1657</v>
      </c>
      <c r="E718" s="482" t="s">
        <v>1523</v>
      </c>
      <c r="F718" s="396" t="s">
        <v>1713</v>
      </c>
      <c r="G718" s="68" t="s">
        <v>1714</v>
      </c>
      <c r="H718" s="68" t="s">
        <v>40</v>
      </c>
      <c r="I718" s="68" t="s">
        <v>131</v>
      </c>
      <c r="J718" s="68" t="s">
        <v>42</v>
      </c>
      <c r="K718" s="68" t="s">
        <v>42</v>
      </c>
      <c r="L718" s="68" t="s">
        <v>756</v>
      </c>
      <c r="M718" s="68" t="s">
        <v>774</v>
      </c>
      <c r="N718" s="68">
        <v>25.106670000000001</v>
      </c>
      <c r="O718" s="68">
        <v>97.756789999999995</v>
      </c>
      <c r="P718" s="68" t="s">
        <v>757</v>
      </c>
      <c r="Q718" s="68" t="s">
        <v>776</v>
      </c>
      <c r="R718" s="501"/>
      <c r="S718" s="502"/>
      <c r="T718" s="101"/>
      <c r="U718" s="97" t="s">
        <v>1028</v>
      </c>
      <c r="V718" s="68" t="s">
        <v>1034</v>
      </c>
      <c r="W718" s="391" t="s">
        <v>2166</v>
      </c>
    </row>
    <row r="719" spans="1:23" s="68" customFormat="1" ht="14.25" customHeight="1">
      <c r="A719" s="716" t="s">
        <v>36</v>
      </c>
      <c r="B719" s="721" t="s">
        <v>132</v>
      </c>
      <c r="C719" s="723" t="s">
        <v>3194</v>
      </c>
      <c r="D719" s="485"/>
      <c r="E719" s="717"/>
      <c r="F719" s="717"/>
      <c r="G719" s="717"/>
      <c r="H719" s="717"/>
      <c r="I719" s="717"/>
      <c r="J719" s="659" t="s">
        <v>794</v>
      </c>
      <c r="K719" s="659" t="s">
        <v>794</v>
      </c>
      <c r="L719" s="659" t="s">
        <v>794</v>
      </c>
      <c r="M719" s="717"/>
      <c r="N719" s="717"/>
      <c r="O719" s="717"/>
      <c r="P719" s="717" t="s">
        <v>795</v>
      </c>
      <c r="Q719" s="717" t="s">
        <v>3197</v>
      </c>
      <c r="R719" s="725"/>
      <c r="S719" s="726"/>
      <c r="T719" s="719">
        <v>43936</v>
      </c>
      <c r="U719" s="718"/>
      <c r="V719" s="717"/>
      <c r="W719" s="486"/>
    </row>
    <row r="720" spans="1:23" s="68" customFormat="1" ht="14.25" customHeight="1">
      <c r="A720" s="396" t="s">
        <v>2647</v>
      </c>
      <c r="B720" s="500" t="s">
        <v>319</v>
      </c>
      <c r="C720" s="499" t="s">
        <v>2544</v>
      </c>
      <c r="D720" s="431"/>
      <c r="F720" s="482"/>
      <c r="J720" s="68" t="s">
        <v>2652</v>
      </c>
      <c r="K720" s="68" t="s">
        <v>2622</v>
      </c>
      <c r="L720" s="68" t="s">
        <v>2622</v>
      </c>
      <c r="P720" s="68" t="s">
        <v>1972</v>
      </c>
      <c r="R720" s="486"/>
      <c r="S720" s="487"/>
      <c r="T720" s="101"/>
      <c r="U720" s="97"/>
      <c r="W720" s="396"/>
    </row>
    <row r="721" spans="1:23" s="68" customFormat="1" ht="14.25" customHeight="1">
      <c r="A721" s="443" t="s">
        <v>2647</v>
      </c>
      <c r="B721" s="444" t="s">
        <v>319</v>
      </c>
      <c r="C721" s="451" t="s">
        <v>2675</v>
      </c>
      <c r="D721" s="485"/>
      <c r="E721" s="445">
        <v>198334</v>
      </c>
      <c r="F721" s="445" t="s">
        <v>2675</v>
      </c>
      <c r="G721" s="445"/>
      <c r="H721" s="445"/>
      <c r="I721" s="445"/>
      <c r="J721" s="68" t="s">
        <v>794</v>
      </c>
      <c r="K721" s="68" t="s">
        <v>794</v>
      </c>
      <c r="L721" s="68" t="s">
        <v>794</v>
      </c>
      <c r="M721" s="445"/>
      <c r="N721" s="445">
        <v>20.825700759887699</v>
      </c>
      <c r="O721" s="445">
        <v>92.542686462402301</v>
      </c>
      <c r="P721" s="396" t="s">
        <v>795</v>
      </c>
      <c r="Q721" s="445" t="s">
        <v>2627</v>
      </c>
      <c r="R721" s="446"/>
      <c r="S721" s="443"/>
      <c r="T721" s="447">
        <v>43580</v>
      </c>
      <c r="U721" s="448" t="s">
        <v>2672</v>
      </c>
      <c r="V721" s="449"/>
      <c r="W721" s="486"/>
    </row>
    <row r="722" spans="1:23" s="482" customFormat="1" ht="14.25" customHeight="1">
      <c r="A722" s="482" t="s">
        <v>2647</v>
      </c>
      <c r="B722" s="504" t="s">
        <v>319</v>
      </c>
      <c r="C722" s="499" t="s">
        <v>627</v>
      </c>
      <c r="D722" s="431" t="s">
        <v>1656</v>
      </c>
      <c r="E722" s="482">
        <v>198334</v>
      </c>
      <c r="J722" s="482" t="s">
        <v>2652</v>
      </c>
      <c r="K722" s="482" t="s">
        <v>2622</v>
      </c>
      <c r="L722" s="482" t="s">
        <v>2622</v>
      </c>
      <c r="M722" s="482" t="s">
        <v>791</v>
      </c>
      <c r="N722" s="482">
        <v>20.82570076</v>
      </c>
      <c r="O722" s="482">
        <v>92.542686459999999</v>
      </c>
      <c r="P722" s="482" t="s">
        <v>1972</v>
      </c>
      <c r="Q722" s="482" t="s">
        <v>776</v>
      </c>
      <c r="R722" s="486"/>
      <c r="S722" s="487"/>
      <c r="T722" s="506"/>
      <c r="U722" s="488"/>
      <c r="V722" s="482" t="s">
        <v>627</v>
      </c>
    </row>
    <row r="723" spans="1:23" s="68" customFormat="1" ht="14.25" customHeight="1">
      <c r="A723" s="396" t="s">
        <v>2647</v>
      </c>
      <c r="B723" s="504" t="s">
        <v>319</v>
      </c>
      <c r="C723" s="416" t="s">
        <v>2514</v>
      </c>
      <c r="D723" s="485"/>
      <c r="E723" s="68">
        <v>198349</v>
      </c>
      <c r="F723" s="445" t="s">
        <v>2514</v>
      </c>
      <c r="J723" s="68" t="s">
        <v>794</v>
      </c>
      <c r="K723" s="68" t="s">
        <v>794</v>
      </c>
      <c r="L723" s="68" t="s">
        <v>794</v>
      </c>
      <c r="M723" s="171" t="s">
        <v>791</v>
      </c>
      <c r="N723" s="68">
        <v>20.819919586181602</v>
      </c>
      <c r="O723" s="68">
        <v>92.589729309082003</v>
      </c>
      <c r="P723" s="482" t="s">
        <v>795</v>
      </c>
      <c r="Q723" s="68" t="s">
        <v>2961</v>
      </c>
      <c r="R723" s="494"/>
      <c r="S723" s="487"/>
      <c r="T723" s="101">
        <v>43769</v>
      </c>
      <c r="U723" s="494"/>
      <c r="W723" s="486"/>
    </row>
    <row r="724" spans="1:23" s="68" customFormat="1" ht="14.25" customHeight="1">
      <c r="A724" s="482" t="s">
        <v>2647</v>
      </c>
      <c r="B724" s="504" t="s">
        <v>319</v>
      </c>
      <c r="C724" s="503" t="s">
        <v>540</v>
      </c>
      <c r="D724" s="431" t="s">
        <v>1656</v>
      </c>
      <c r="E724" s="396">
        <v>198443</v>
      </c>
      <c r="F724" s="396"/>
      <c r="J724" s="68" t="s">
        <v>794</v>
      </c>
      <c r="K724" s="68" t="s">
        <v>794</v>
      </c>
      <c r="L724" s="68" t="s">
        <v>794</v>
      </c>
      <c r="M724" s="68" t="s">
        <v>791</v>
      </c>
      <c r="N724" s="396">
        <v>20.686819079999999</v>
      </c>
      <c r="O724" s="396">
        <v>92.57855988</v>
      </c>
      <c r="P724" s="68" t="s">
        <v>795</v>
      </c>
      <c r="Q724" s="68" t="s">
        <v>776</v>
      </c>
      <c r="R724" s="486"/>
      <c r="S724" s="487"/>
      <c r="T724" s="412"/>
      <c r="U724" s="488"/>
      <c r="V724" s="68" t="s">
        <v>540</v>
      </c>
      <c r="W724" s="482"/>
    </row>
    <row r="725" spans="1:23" s="68" customFormat="1" ht="14.25" customHeight="1">
      <c r="A725" s="482" t="s">
        <v>2647</v>
      </c>
      <c r="B725" s="500" t="s">
        <v>319</v>
      </c>
      <c r="C725" s="499" t="s">
        <v>2687</v>
      </c>
      <c r="D725" s="431" t="s">
        <v>1656</v>
      </c>
      <c r="E725" s="482">
        <v>198185</v>
      </c>
      <c r="F725" s="482"/>
      <c r="G725" s="482"/>
      <c r="H725" s="482"/>
      <c r="I725" s="482"/>
      <c r="J725" s="396" t="s">
        <v>794</v>
      </c>
      <c r="K725" s="396" t="s">
        <v>794</v>
      </c>
      <c r="L725" s="68" t="s">
        <v>794</v>
      </c>
      <c r="M725" s="482" t="s">
        <v>791</v>
      </c>
      <c r="N725" s="482">
        <v>20.961650850000002</v>
      </c>
      <c r="O725" s="482">
        <v>92.502937320000001</v>
      </c>
      <c r="P725" s="482" t="s">
        <v>795</v>
      </c>
      <c r="Q725" s="482" t="s">
        <v>776</v>
      </c>
      <c r="R725" s="486"/>
      <c r="S725" s="487"/>
      <c r="T725" s="506"/>
      <c r="U725" s="488"/>
      <c r="V725" s="482" t="s">
        <v>661</v>
      </c>
      <c r="W725" s="482"/>
    </row>
    <row r="726" spans="1:23" s="68" customFormat="1" ht="14.25" customHeight="1">
      <c r="A726" s="487" t="s">
        <v>2647</v>
      </c>
      <c r="B726" s="501" t="s">
        <v>319</v>
      </c>
      <c r="C726" s="416" t="s">
        <v>2814</v>
      </c>
      <c r="D726" s="485"/>
      <c r="E726" s="482">
        <v>198357</v>
      </c>
      <c r="F726" s="482"/>
      <c r="G726" s="482"/>
      <c r="H726" s="482"/>
      <c r="I726" s="482"/>
      <c r="J726" s="68" t="s">
        <v>794</v>
      </c>
      <c r="K726" s="68" t="s">
        <v>794</v>
      </c>
      <c r="L726" s="68" t="s">
        <v>794</v>
      </c>
      <c r="N726" s="482">
        <v>20.813840866088899</v>
      </c>
      <c r="O726" s="68">
        <v>92.599952697753906</v>
      </c>
      <c r="P726" s="68" t="s">
        <v>795</v>
      </c>
      <c r="Q726" s="482"/>
      <c r="R726" s="494"/>
      <c r="S726" s="487"/>
      <c r="T726" s="506"/>
      <c r="U726" s="494"/>
      <c r="W726" s="486"/>
    </row>
    <row r="727" spans="1:23" s="68" customFormat="1" ht="14.25" customHeight="1">
      <c r="A727" s="396" t="s">
        <v>2647</v>
      </c>
      <c r="B727" s="504" t="s">
        <v>319</v>
      </c>
      <c r="C727" s="503" t="s">
        <v>579</v>
      </c>
      <c r="D727" s="431" t="s">
        <v>1656</v>
      </c>
      <c r="E727" s="396">
        <v>198427</v>
      </c>
      <c r="J727" s="396" t="s">
        <v>794</v>
      </c>
      <c r="K727" s="396" t="s">
        <v>794</v>
      </c>
      <c r="L727" s="68" t="s">
        <v>794</v>
      </c>
      <c r="M727" s="68" t="s">
        <v>885</v>
      </c>
      <c r="N727" s="498">
        <v>20.742059709999999</v>
      </c>
      <c r="O727" s="498">
        <v>92.630676269999995</v>
      </c>
      <c r="P727" s="68" t="s">
        <v>795</v>
      </c>
      <c r="Q727" s="68" t="s">
        <v>776</v>
      </c>
      <c r="R727" s="486"/>
      <c r="S727" s="487"/>
      <c r="T727" s="101"/>
      <c r="U727" s="97"/>
      <c r="V727" s="68" t="s">
        <v>579</v>
      </c>
    </row>
    <row r="728" spans="1:23" s="68" customFormat="1" ht="14.25" customHeight="1">
      <c r="A728" s="396" t="s">
        <v>2647</v>
      </c>
      <c r="B728" s="500" t="s">
        <v>319</v>
      </c>
      <c r="C728" s="499" t="s">
        <v>2521</v>
      </c>
      <c r="D728" s="431"/>
      <c r="E728" s="482">
        <v>198427</v>
      </c>
      <c r="F728" s="482" t="s">
        <v>2630</v>
      </c>
      <c r="G728" s="482"/>
      <c r="H728" s="482"/>
      <c r="I728" s="482"/>
      <c r="J728" s="68" t="s">
        <v>794</v>
      </c>
      <c r="K728" s="396" t="s">
        <v>794</v>
      </c>
      <c r="L728" s="396" t="s">
        <v>794</v>
      </c>
      <c r="M728" s="482" t="s">
        <v>791</v>
      </c>
      <c r="N728" s="482"/>
      <c r="O728" s="482"/>
      <c r="P728" s="68" t="s">
        <v>795</v>
      </c>
      <c r="Q728" s="482" t="s">
        <v>2627</v>
      </c>
      <c r="R728" s="486"/>
      <c r="S728" s="487"/>
      <c r="T728" s="506"/>
      <c r="U728" s="488"/>
      <c r="V728" s="482"/>
      <c r="W728" s="396"/>
    </row>
    <row r="729" spans="1:23" s="68" customFormat="1" ht="14.25" customHeight="1">
      <c r="A729" s="396" t="s">
        <v>2647</v>
      </c>
      <c r="B729" s="504" t="s">
        <v>319</v>
      </c>
      <c r="C729" s="503" t="s">
        <v>2520</v>
      </c>
      <c r="D729" s="431"/>
      <c r="E729" s="482">
        <v>198426</v>
      </c>
      <c r="F729" s="482" t="s">
        <v>2630</v>
      </c>
      <c r="G729" s="482"/>
      <c r="H729" s="482"/>
      <c r="I729" s="482"/>
      <c r="J729" s="68" t="s">
        <v>794</v>
      </c>
      <c r="K729" s="396" t="s">
        <v>794</v>
      </c>
      <c r="L729" s="396" t="s">
        <v>794</v>
      </c>
      <c r="M729" s="482" t="s">
        <v>294</v>
      </c>
      <c r="N729" s="482"/>
      <c r="O729" s="482"/>
      <c r="P729" s="68" t="s">
        <v>795</v>
      </c>
      <c r="Q729" s="482" t="s">
        <v>2627</v>
      </c>
      <c r="R729" s="486"/>
      <c r="S729" s="487"/>
      <c r="T729" s="506"/>
      <c r="U729" s="488"/>
      <c r="V729" s="482"/>
    </row>
    <row r="730" spans="1:23" s="68" customFormat="1" ht="14.25" customHeight="1">
      <c r="A730" s="490" t="s">
        <v>2647</v>
      </c>
      <c r="B730" s="501" t="s">
        <v>319</v>
      </c>
      <c r="C730" s="416" t="s">
        <v>2783</v>
      </c>
      <c r="D730" s="485"/>
      <c r="E730" s="68">
        <v>198415</v>
      </c>
      <c r="J730" s="68" t="s">
        <v>2652</v>
      </c>
      <c r="K730" s="396" t="s">
        <v>2622</v>
      </c>
      <c r="L730" s="396" t="s">
        <v>2622</v>
      </c>
      <c r="N730" s="68">
        <v>20.734859466552699</v>
      </c>
      <c r="O730" s="68">
        <v>92.657089233398395</v>
      </c>
      <c r="P730" s="482"/>
      <c r="R730" s="494"/>
      <c r="S730" s="400"/>
      <c r="T730" s="101">
        <v>43591</v>
      </c>
      <c r="U730" s="494"/>
      <c r="W730" s="486"/>
    </row>
    <row r="731" spans="1:23" s="68" customFormat="1" ht="14.25" customHeight="1">
      <c r="A731" s="482" t="s">
        <v>2647</v>
      </c>
      <c r="B731" s="500" t="s">
        <v>319</v>
      </c>
      <c r="C731" s="499" t="s">
        <v>601</v>
      </c>
      <c r="D731" s="431" t="s">
        <v>1656</v>
      </c>
      <c r="E731" s="68">
        <v>198367</v>
      </c>
      <c r="F731" s="482"/>
      <c r="J731" s="68" t="s">
        <v>794</v>
      </c>
      <c r="K731" s="68" t="s">
        <v>794</v>
      </c>
      <c r="L731" s="68" t="s">
        <v>794</v>
      </c>
      <c r="M731" s="68" t="s">
        <v>791</v>
      </c>
      <c r="N731" s="68">
        <v>20.792390820000001</v>
      </c>
      <c r="O731" s="68">
        <v>92.587081909999995</v>
      </c>
      <c r="P731" s="68" t="s">
        <v>795</v>
      </c>
      <c r="Q731" s="68" t="s">
        <v>776</v>
      </c>
      <c r="R731" s="486"/>
      <c r="S731" s="487"/>
      <c r="T731" s="101"/>
      <c r="U731" s="488"/>
      <c r="V731" s="68" t="s">
        <v>601</v>
      </c>
      <c r="W731" s="482"/>
    </row>
    <row r="732" spans="1:23" s="68" customFormat="1" ht="14.25" customHeight="1">
      <c r="A732" s="396" t="s">
        <v>2647</v>
      </c>
      <c r="B732" s="500" t="s">
        <v>319</v>
      </c>
      <c r="C732" s="499" t="s">
        <v>2975</v>
      </c>
      <c r="D732" s="431"/>
      <c r="E732" s="482">
        <v>198290</v>
      </c>
      <c r="F732" s="484"/>
      <c r="G732" s="482"/>
      <c r="H732" s="482"/>
      <c r="I732" s="482"/>
      <c r="J732" s="68" t="s">
        <v>794</v>
      </c>
      <c r="K732" s="68" t="s">
        <v>794</v>
      </c>
      <c r="L732" s="68" t="s">
        <v>794</v>
      </c>
      <c r="M732" s="482" t="s">
        <v>294</v>
      </c>
      <c r="N732" s="482">
        <v>20.864589691162099</v>
      </c>
      <c r="O732" s="482">
        <v>92.575378417968807</v>
      </c>
      <c r="P732" s="68" t="s">
        <v>795</v>
      </c>
      <c r="Q732" s="482" t="s">
        <v>2961</v>
      </c>
      <c r="R732" s="490"/>
      <c r="S732" s="491"/>
      <c r="T732" s="506">
        <v>43768</v>
      </c>
      <c r="U732" s="488"/>
      <c r="V732" s="482"/>
      <c r="W732" s="482"/>
    </row>
    <row r="733" spans="1:23" s="68" customFormat="1" ht="14.25" customHeight="1">
      <c r="A733" s="396" t="s">
        <v>2647</v>
      </c>
      <c r="B733" s="500" t="s">
        <v>319</v>
      </c>
      <c r="C733" s="416" t="s">
        <v>2989</v>
      </c>
      <c r="D733" s="485"/>
      <c r="E733" s="482">
        <v>198223</v>
      </c>
      <c r="F733" s="482"/>
      <c r="G733" s="482"/>
      <c r="H733" s="482"/>
      <c r="I733" s="482"/>
      <c r="J733" s="482" t="s">
        <v>794</v>
      </c>
      <c r="K733" s="482" t="s">
        <v>794</v>
      </c>
      <c r="L733" s="482" t="s">
        <v>794</v>
      </c>
      <c r="M733" s="482"/>
      <c r="N733" s="482">
        <v>20.9363498687744</v>
      </c>
      <c r="O733" s="482">
        <v>92.5257568359375</v>
      </c>
      <c r="P733" s="482" t="s">
        <v>795</v>
      </c>
      <c r="Q733" s="482" t="s">
        <v>2961</v>
      </c>
      <c r="R733" s="495"/>
      <c r="S733" s="491"/>
      <c r="T733" s="506">
        <v>43769</v>
      </c>
      <c r="U733" s="494"/>
      <c r="V733" s="482"/>
      <c r="W733" s="486"/>
    </row>
    <row r="734" spans="1:23" s="68" customFormat="1" ht="14.25" customHeight="1">
      <c r="A734" s="482" t="s">
        <v>2647</v>
      </c>
      <c r="B734" s="500" t="s">
        <v>319</v>
      </c>
      <c r="C734" s="499" t="s">
        <v>648</v>
      </c>
      <c r="D734" s="431" t="s">
        <v>1656</v>
      </c>
      <c r="E734" s="482">
        <v>198317</v>
      </c>
      <c r="F734" s="482"/>
      <c r="G734" s="482"/>
      <c r="H734" s="482"/>
      <c r="I734" s="482"/>
      <c r="J734" s="482" t="s">
        <v>794</v>
      </c>
      <c r="K734" s="482" t="s">
        <v>794</v>
      </c>
      <c r="L734" s="482" t="s">
        <v>794</v>
      </c>
      <c r="M734" s="482" t="s">
        <v>791</v>
      </c>
      <c r="N734" s="498">
        <v>20.891330719999999</v>
      </c>
      <c r="O734" s="498">
        <v>92.491966250000004</v>
      </c>
      <c r="P734" s="482" t="s">
        <v>795</v>
      </c>
      <c r="Q734" s="482" t="s">
        <v>776</v>
      </c>
      <c r="R734" s="490"/>
      <c r="S734" s="491"/>
      <c r="T734" s="506"/>
      <c r="U734" s="488"/>
      <c r="V734" s="482" t="s">
        <v>648</v>
      </c>
      <c r="W734" s="482"/>
    </row>
    <row r="735" spans="1:23" s="68" customFormat="1" ht="14.25" customHeight="1">
      <c r="A735" s="490" t="s">
        <v>2647</v>
      </c>
      <c r="B735" s="501" t="s">
        <v>319</v>
      </c>
      <c r="C735" s="416" t="s">
        <v>617</v>
      </c>
      <c r="D735" s="485"/>
      <c r="E735" s="482">
        <v>217876</v>
      </c>
      <c r="F735" s="482"/>
      <c r="G735" s="482"/>
      <c r="H735" s="482"/>
      <c r="I735" s="482"/>
      <c r="J735" s="482" t="s">
        <v>794</v>
      </c>
      <c r="K735" s="482" t="s">
        <v>794</v>
      </c>
      <c r="L735" s="482" t="s">
        <v>794</v>
      </c>
      <c r="M735" s="482" t="s">
        <v>294</v>
      </c>
      <c r="N735" s="482">
        <v>20.818290709999999</v>
      </c>
      <c r="O735" s="482">
        <v>92.594978330000004</v>
      </c>
      <c r="P735" s="482" t="s">
        <v>795</v>
      </c>
      <c r="Q735" s="482"/>
      <c r="R735" s="495"/>
      <c r="S735" s="491"/>
      <c r="T735" s="506">
        <v>43591</v>
      </c>
      <c r="U735" s="494"/>
      <c r="V735" s="482"/>
      <c r="W735" s="486"/>
    </row>
    <row r="736" spans="1:23" s="68" customFormat="1" ht="14.25" customHeight="1">
      <c r="A736" s="396" t="s">
        <v>2647</v>
      </c>
      <c r="B736" s="409" t="s">
        <v>319</v>
      </c>
      <c r="C736" s="408" t="s">
        <v>320</v>
      </c>
      <c r="D736" s="431" t="s">
        <v>1656</v>
      </c>
      <c r="E736" s="396"/>
      <c r="F736" s="482"/>
      <c r="J736" s="68" t="s">
        <v>800</v>
      </c>
      <c r="K736" s="396" t="s">
        <v>794</v>
      </c>
      <c r="L736" s="396" t="s">
        <v>800</v>
      </c>
      <c r="M736" s="68" t="s">
        <v>791</v>
      </c>
      <c r="P736" s="68" t="s">
        <v>919</v>
      </c>
      <c r="Q736" s="68" t="s">
        <v>798</v>
      </c>
      <c r="R736" s="490"/>
      <c r="S736" s="491"/>
      <c r="T736" s="412">
        <v>42926</v>
      </c>
      <c r="U736" s="97" t="s">
        <v>929</v>
      </c>
      <c r="W736" s="396"/>
    </row>
    <row r="737" spans="1:23" s="482" customFormat="1" ht="14.25" customHeight="1">
      <c r="A737" s="482" t="s">
        <v>2647</v>
      </c>
      <c r="B737" s="500" t="s">
        <v>319</v>
      </c>
      <c r="C737" s="499" t="s">
        <v>538</v>
      </c>
      <c r="D737" s="431"/>
      <c r="E737" s="482">
        <v>220754</v>
      </c>
      <c r="J737" s="482" t="s">
        <v>794</v>
      </c>
      <c r="K737" s="482" t="s">
        <v>794</v>
      </c>
      <c r="L737" s="482" t="s">
        <v>794</v>
      </c>
      <c r="N737" s="482">
        <v>20.685689929999999</v>
      </c>
      <c r="O737" s="482">
        <v>92.572860719999994</v>
      </c>
      <c r="P737" s="482" t="s">
        <v>795</v>
      </c>
      <c r="Q737" s="482" t="s">
        <v>2961</v>
      </c>
      <c r="R737" s="490"/>
      <c r="S737" s="491"/>
      <c r="T737" s="506">
        <v>43768</v>
      </c>
      <c r="U737" s="488"/>
    </row>
    <row r="738" spans="1:23" s="482" customFormat="1" ht="14.25" customHeight="1">
      <c r="A738" s="482" t="s">
        <v>2647</v>
      </c>
      <c r="B738" s="500" t="s">
        <v>319</v>
      </c>
      <c r="C738" s="499" t="s">
        <v>567</v>
      </c>
      <c r="D738" s="431" t="s">
        <v>1656</v>
      </c>
      <c r="E738" s="482">
        <v>198429</v>
      </c>
      <c r="J738" s="482" t="s">
        <v>794</v>
      </c>
      <c r="K738" s="482" t="s">
        <v>794</v>
      </c>
      <c r="L738" s="482" t="s">
        <v>794</v>
      </c>
      <c r="M738" s="482" t="s">
        <v>791</v>
      </c>
      <c r="N738" s="482">
        <v>20.721019739999999</v>
      </c>
      <c r="O738" s="482">
        <v>92.626197809999994</v>
      </c>
      <c r="P738" s="482" t="s">
        <v>795</v>
      </c>
      <c r="Q738" s="482" t="s">
        <v>776</v>
      </c>
      <c r="R738" s="486"/>
      <c r="S738" s="487"/>
      <c r="T738" s="506"/>
      <c r="U738" s="488"/>
      <c r="V738" s="482" t="s">
        <v>567</v>
      </c>
    </row>
    <row r="739" spans="1:23" s="68" customFormat="1" ht="14.25" customHeight="1">
      <c r="A739" s="482" t="s">
        <v>2647</v>
      </c>
      <c r="B739" s="500" t="s">
        <v>319</v>
      </c>
      <c r="C739" s="499" t="s">
        <v>647</v>
      </c>
      <c r="D739" s="431"/>
      <c r="E739" s="396">
        <v>198435</v>
      </c>
      <c r="F739" s="482" t="s">
        <v>2632</v>
      </c>
      <c r="G739" s="396"/>
      <c r="H739" s="396"/>
      <c r="I739" s="396"/>
      <c r="J739" s="68" t="s">
        <v>794</v>
      </c>
      <c r="K739" s="396" t="s">
        <v>794</v>
      </c>
      <c r="L739" s="396" t="s">
        <v>794</v>
      </c>
      <c r="M739" s="68" t="s">
        <v>791</v>
      </c>
      <c r="P739" s="68" t="s">
        <v>795</v>
      </c>
      <c r="Q739" s="68" t="s">
        <v>2627</v>
      </c>
      <c r="R739" s="490"/>
      <c r="S739" s="491"/>
      <c r="T739" s="412"/>
      <c r="U739" s="488"/>
      <c r="V739" s="482"/>
      <c r="W739" s="482"/>
    </row>
    <row r="740" spans="1:23" s="68" customFormat="1" ht="14.25" customHeight="1">
      <c r="A740" s="482" t="s">
        <v>2647</v>
      </c>
      <c r="B740" s="500" t="s">
        <v>319</v>
      </c>
      <c r="C740" s="499" t="s">
        <v>2985</v>
      </c>
      <c r="D740" s="431" t="s">
        <v>1656</v>
      </c>
      <c r="E740" s="68">
        <v>198390</v>
      </c>
      <c r="F740" s="482"/>
      <c r="J740" s="68" t="s">
        <v>794</v>
      </c>
      <c r="K740" s="68" t="s">
        <v>794</v>
      </c>
      <c r="L740" s="68" t="s">
        <v>794</v>
      </c>
      <c r="M740" s="68" t="s">
        <v>791</v>
      </c>
      <c r="N740" s="68">
        <v>20.753370289999999</v>
      </c>
      <c r="O740" s="68">
        <v>92.545188899999999</v>
      </c>
      <c r="P740" s="68" t="s">
        <v>795</v>
      </c>
      <c r="Q740" s="396" t="s">
        <v>776</v>
      </c>
      <c r="R740" s="490"/>
      <c r="S740" s="491"/>
      <c r="T740" s="412"/>
      <c r="U740" s="488"/>
      <c r="V740" s="68" t="s">
        <v>581</v>
      </c>
      <c r="W740" s="482"/>
    </row>
    <row r="741" spans="1:23" s="68" customFormat="1" ht="14.25" customHeight="1">
      <c r="A741" s="396" t="s">
        <v>2647</v>
      </c>
      <c r="B741" s="500" t="s">
        <v>319</v>
      </c>
      <c r="C741" s="499" t="s">
        <v>2522</v>
      </c>
      <c r="D741" s="431" t="s">
        <v>1656</v>
      </c>
      <c r="E741" s="396">
        <v>198431</v>
      </c>
      <c r="F741" s="482" t="s">
        <v>2631</v>
      </c>
      <c r="G741" s="396"/>
      <c r="H741" s="396"/>
      <c r="I741" s="396"/>
      <c r="J741" s="396" t="s">
        <v>794</v>
      </c>
      <c r="K741" s="396" t="s">
        <v>794</v>
      </c>
      <c r="L741" s="396" t="s">
        <v>794</v>
      </c>
      <c r="M741" s="396" t="s">
        <v>791</v>
      </c>
      <c r="N741" s="396">
        <v>20.703790659999999</v>
      </c>
      <c r="O741" s="396">
        <v>92.628463749999995</v>
      </c>
      <c r="P741" s="396" t="s">
        <v>795</v>
      </c>
      <c r="Q741" s="396" t="s">
        <v>776</v>
      </c>
      <c r="R741" s="486"/>
      <c r="S741" s="487"/>
      <c r="T741" s="412"/>
      <c r="U741" s="488"/>
      <c r="V741" s="396" t="s">
        <v>550</v>
      </c>
      <c r="W741" s="482"/>
    </row>
    <row r="742" spans="1:23" s="68" customFormat="1" ht="14.25" customHeight="1">
      <c r="A742" s="396" t="s">
        <v>2647</v>
      </c>
      <c r="B742" s="500" t="s">
        <v>319</v>
      </c>
      <c r="C742" s="499" t="s">
        <v>2523</v>
      </c>
      <c r="D742" s="431" t="s">
        <v>1656</v>
      </c>
      <c r="E742" s="68">
        <v>198428</v>
      </c>
      <c r="J742" s="68" t="s">
        <v>794</v>
      </c>
      <c r="K742" s="68" t="s">
        <v>794</v>
      </c>
      <c r="L742" s="68" t="s">
        <v>794</v>
      </c>
      <c r="M742" s="68" t="s">
        <v>294</v>
      </c>
      <c r="N742" s="68">
        <v>20.703920360000001</v>
      </c>
      <c r="O742" s="68">
        <v>92.631500239999994</v>
      </c>
      <c r="P742" s="482" t="s">
        <v>795</v>
      </c>
      <c r="Q742" s="68" t="s">
        <v>776</v>
      </c>
      <c r="R742" s="486"/>
      <c r="S742" s="487"/>
      <c r="T742" s="101"/>
      <c r="U742" s="97"/>
      <c r="V742" s="68" t="s">
        <v>551</v>
      </c>
    </row>
    <row r="743" spans="1:23" s="68" customFormat="1" ht="14.25" customHeight="1">
      <c r="A743" s="396" t="s">
        <v>2647</v>
      </c>
      <c r="B743" s="500" t="s">
        <v>319</v>
      </c>
      <c r="C743" s="499" t="s">
        <v>529</v>
      </c>
      <c r="D743" s="431" t="s">
        <v>1656</v>
      </c>
      <c r="E743" s="482">
        <v>217884</v>
      </c>
      <c r="F743" s="482"/>
      <c r="G743" s="482"/>
      <c r="H743" s="482"/>
      <c r="I743" s="482"/>
      <c r="J743" s="482" t="s">
        <v>794</v>
      </c>
      <c r="K743" s="482" t="s">
        <v>794</v>
      </c>
      <c r="L743" s="482" t="s">
        <v>794</v>
      </c>
      <c r="M743" s="482" t="s">
        <v>791</v>
      </c>
      <c r="N743" s="482">
        <v>20.673639300000001</v>
      </c>
      <c r="O743" s="482">
        <v>92.596298219999994</v>
      </c>
      <c r="P743" s="482" t="s">
        <v>795</v>
      </c>
      <c r="Q743" s="482" t="s">
        <v>776</v>
      </c>
      <c r="R743" s="486"/>
      <c r="S743" s="487"/>
      <c r="T743" s="506"/>
      <c r="U743" s="488"/>
      <c r="V743" s="482" t="s">
        <v>529</v>
      </c>
      <c r="W743" s="482"/>
    </row>
    <row r="744" spans="1:23" s="68" customFormat="1" ht="14.25" customHeight="1">
      <c r="A744" s="396" t="s">
        <v>2647</v>
      </c>
      <c r="B744" s="504" t="s">
        <v>319</v>
      </c>
      <c r="C744" s="503" t="s">
        <v>2910</v>
      </c>
      <c r="D744" s="431" t="s">
        <v>1656</v>
      </c>
      <c r="E744" s="68">
        <v>198442</v>
      </c>
      <c r="F744" s="482"/>
      <c r="J744" s="68" t="s">
        <v>794</v>
      </c>
      <c r="K744" s="68" t="s">
        <v>794</v>
      </c>
      <c r="L744" s="68" t="s">
        <v>794</v>
      </c>
      <c r="M744" s="68" t="s">
        <v>791</v>
      </c>
      <c r="N744" s="68">
        <v>20.692510599999999</v>
      </c>
      <c r="O744" s="68">
        <v>92.579689029999997</v>
      </c>
      <c r="P744" s="482" t="s">
        <v>795</v>
      </c>
      <c r="Q744" s="68" t="s">
        <v>776</v>
      </c>
      <c r="R744" s="490"/>
      <c r="S744" s="491"/>
      <c r="T744" s="101"/>
      <c r="U744" s="488"/>
      <c r="V744" s="68" t="s">
        <v>545</v>
      </c>
      <c r="W744" s="482"/>
    </row>
    <row r="745" spans="1:23" s="68" customFormat="1" ht="14.25" customHeight="1">
      <c r="A745" s="396" t="s">
        <v>2647</v>
      </c>
      <c r="B745" s="500" t="s">
        <v>319</v>
      </c>
      <c r="C745" s="499" t="s">
        <v>2674</v>
      </c>
      <c r="D745" s="431"/>
      <c r="F745" s="482"/>
      <c r="J745" s="68" t="s">
        <v>794</v>
      </c>
      <c r="K745" s="396" t="s">
        <v>875</v>
      </c>
      <c r="L745" s="396" t="s">
        <v>875</v>
      </c>
      <c r="P745" s="68" t="s">
        <v>795</v>
      </c>
      <c r="R745" s="486"/>
      <c r="S745" s="487"/>
      <c r="T745" s="101"/>
      <c r="U745" s="97"/>
      <c r="V745" s="68" t="s">
        <v>2816</v>
      </c>
      <c r="W745" s="396"/>
    </row>
    <row r="746" spans="1:23" s="68" customFormat="1" ht="14.25" customHeight="1">
      <c r="A746" s="443" t="s">
        <v>2647</v>
      </c>
      <c r="B746" s="676" t="s">
        <v>319</v>
      </c>
      <c r="C746" s="678" t="s">
        <v>1097</v>
      </c>
      <c r="D746" s="485" t="s">
        <v>1656</v>
      </c>
      <c r="E746" s="445">
        <v>198232</v>
      </c>
      <c r="F746" s="512"/>
      <c r="G746" s="445"/>
      <c r="H746" s="445"/>
      <c r="I746" s="445"/>
      <c r="J746" s="482" t="s">
        <v>794</v>
      </c>
      <c r="K746" s="482" t="s">
        <v>794</v>
      </c>
      <c r="L746" s="482" t="s">
        <v>794</v>
      </c>
      <c r="M746" s="445" t="s">
        <v>294</v>
      </c>
      <c r="N746" s="445"/>
      <c r="O746" s="445"/>
      <c r="P746" s="445" t="s">
        <v>795</v>
      </c>
      <c r="Q746" s="445" t="s">
        <v>798</v>
      </c>
      <c r="R746" s="446"/>
      <c r="S746" s="443"/>
      <c r="T746" s="447">
        <v>42926</v>
      </c>
      <c r="U746" s="448" t="s">
        <v>799</v>
      </c>
      <c r="V746" s="449"/>
      <c r="W746" s="486"/>
    </row>
    <row r="747" spans="1:23" s="68" customFormat="1" ht="14.25" customHeight="1">
      <c r="A747" s="482" t="s">
        <v>2647</v>
      </c>
      <c r="B747" s="500" t="s">
        <v>319</v>
      </c>
      <c r="C747" s="499" t="s">
        <v>2628</v>
      </c>
      <c r="D747" s="431"/>
      <c r="E747" s="68">
        <v>198370</v>
      </c>
      <c r="F747" s="396" t="s">
        <v>2628</v>
      </c>
      <c r="J747" s="68" t="s">
        <v>794</v>
      </c>
      <c r="K747" s="396" t="s">
        <v>794</v>
      </c>
      <c r="L747" s="396" t="s">
        <v>794</v>
      </c>
      <c r="N747" s="68">
        <v>20.793779373168899</v>
      </c>
      <c r="O747" s="68">
        <v>92.597961425781307</v>
      </c>
      <c r="P747" s="68" t="s">
        <v>795</v>
      </c>
      <c r="Q747" s="68" t="s">
        <v>2627</v>
      </c>
      <c r="R747" s="486"/>
      <c r="S747" s="487"/>
      <c r="T747" s="101">
        <v>43580</v>
      </c>
      <c r="U747" s="488" t="s">
        <v>2672</v>
      </c>
      <c r="W747" s="482"/>
    </row>
    <row r="748" spans="1:23" s="68" customFormat="1" ht="14.25" customHeight="1">
      <c r="A748" s="482" t="s">
        <v>2647</v>
      </c>
      <c r="B748" s="500" t="s">
        <v>319</v>
      </c>
      <c r="C748" s="499" t="s">
        <v>2513</v>
      </c>
      <c r="D748" s="431"/>
      <c r="E748" s="482">
        <v>198350</v>
      </c>
      <c r="F748" s="482" t="s">
        <v>2514</v>
      </c>
      <c r="G748" s="482"/>
      <c r="H748" s="482"/>
      <c r="I748" s="482"/>
      <c r="J748" s="482" t="s">
        <v>794</v>
      </c>
      <c r="K748" s="482" t="s">
        <v>794</v>
      </c>
      <c r="L748" s="482" t="s">
        <v>794</v>
      </c>
      <c r="M748" s="482" t="s">
        <v>791</v>
      </c>
      <c r="N748" s="482"/>
      <c r="O748" s="482"/>
      <c r="P748" s="482" t="s">
        <v>795</v>
      </c>
      <c r="Q748" s="482" t="s">
        <v>2627</v>
      </c>
      <c r="R748" s="486"/>
      <c r="S748" s="487"/>
      <c r="T748" s="506"/>
      <c r="U748" s="488"/>
      <c r="V748" s="482"/>
      <c r="W748" s="482"/>
    </row>
    <row r="749" spans="1:23" s="68" customFormat="1" ht="14.25" customHeight="1">
      <c r="A749" s="482" t="s">
        <v>2647</v>
      </c>
      <c r="B749" s="500" t="s">
        <v>319</v>
      </c>
      <c r="C749" s="499" t="s">
        <v>664</v>
      </c>
      <c r="D749" s="431" t="s">
        <v>1656</v>
      </c>
      <c r="E749" s="482">
        <v>198183</v>
      </c>
      <c r="F749" s="482"/>
      <c r="G749" s="482"/>
      <c r="H749" s="482"/>
      <c r="I749" s="482"/>
      <c r="J749" s="68" t="s">
        <v>794</v>
      </c>
      <c r="K749" s="396" t="s">
        <v>794</v>
      </c>
      <c r="L749" s="396" t="s">
        <v>794</v>
      </c>
      <c r="M749" s="68" t="s">
        <v>947</v>
      </c>
      <c r="N749" s="482">
        <v>20.977460860000001</v>
      </c>
      <c r="O749" s="396">
        <v>92.484466549999993</v>
      </c>
      <c r="P749" s="482" t="s">
        <v>795</v>
      </c>
      <c r="Q749" s="482" t="s">
        <v>776</v>
      </c>
      <c r="R749" s="486"/>
      <c r="S749" s="487"/>
      <c r="T749" s="506"/>
      <c r="U749" s="488"/>
      <c r="V749" s="68" t="s">
        <v>664</v>
      </c>
      <c r="W749" s="482"/>
    </row>
    <row r="750" spans="1:23" s="68" customFormat="1" ht="14.25" customHeight="1">
      <c r="A750" s="482" t="s">
        <v>2647</v>
      </c>
      <c r="B750" s="500" t="s">
        <v>319</v>
      </c>
      <c r="C750" s="499" t="s">
        <v>663</v>
      </c>
      <c r="D750" s="431" t="s">
        <v>1656</v>
      </c>
      <c r="E750" s="482">
        <v>198187</v>
      </c>
      <c r="F750" s="482"/>
      <c r="G750" s="482"/>
      <c r="H750" s="482"/>
      <c r="I750" s="482"/>
      <c r="J750" s="68" t="s">
        <v>794</v>
      </c>
      <c r="K750" s="68" t="s">
        <v>794</v>
      </c>
      <c r="L750" s="68" t="s">
        <v>794</v>
      </c>
      <c r="M750" s="68" t="s">
        <v>791</v>
      </c>
      <c r="N750" s="482">
        <v>20.974870679999999</v>
      </c>
      <c r="O750" s="68">
        <v>92.483711240000005</v>
      </c>
      <c r="P750" s="68" t="s">
        <v>795</v>
      </c>
      <c r="Q750" s="482" t="s">
        <v>776</v>
      </c>
      <c r="R750" s="486"/>
      <c r="S750" s="487"/>
      <c r="T750" s="506"/>
      <c r="U750" s="488"/>
      <c r="V750" s="68" t="s">
        <v>663</v>
      </c>
      <c r="W750" s="482"/>
    </row>
    <row r="751" spans="1:23" s="482" customFormat="1" ht="14.25" customHeight="1">
      <c r="A751" s="482" t="s">
        <v>2647</v>
      </c>
      <c r="B751" s="500" t="s">
        <v>319</v>
      </c>
      <c r="C751" s="504" t="s">
        <v>2976</v>
      </c>
      <c r="D751" s="431"/>
      <c r="E751" s="482">
        <v>220751</v>
      </c>
      <c r="J751" s="482" t="s">
        <v>794</v>
      </c>
      <c r="K751" s="482" t="s">
        <v>794</v>
      </c>
      <c r="L751" s="482" t="s">
        <v>794</v>
      </c>
      <c r="N751" s="482">
        <v>20.8534545898438</v>
      </c>
      <c r="O751" s="482">
        <v>92.568794250488295</v>
      </c>
      <c r="P751" s="482" t="s">
        <v>795</v>
      </c>
      <c r="Q751" s="482" t="s">
        <v>2961</v>
      </c>
      <c r="R751" s="486"/>
      <c r="S751" s="487"/>
      <c r="T751" s="506">
        <v>43768</v>
      </c>
      <c r="U751" s="488"/>
    </row>
    <row r="752" spans="1:23" s="68" customFormat="1" ht="14.25" customHeight="1">
      <c r="A752" s="396" t="s">
        <v>2647</v>
      </c>
      <c r="B752" s="500" t="s">
        <v>319</v>
      </c>
      <c r="C752" s="499" t="s">
        <v>634</v>
      </c>
      <c r="D752" s="431" t="s">
        <v>1656</v>
      </c>
      <c r="E752" s="396">
        <v>198313</v>
      </c>
      <c r="F752" s="484"/>
      <c r="G752" s="396"/>
      <c r="H752" s="396"/>
      <c r="I752" s="396"/>
      <c r="J752" s="396" t="s">
        <v>794</v>
      </c>
      <c r="K752" s="396" t="s">
        <v>794</v>
      </c>
      <c r="L752" s="396" t="s">
        <v>794</v>
      </c>
      <c r="M752" s="396" t="s">
        <v>294</v>
      </c>
      <c r="N752" s="396">
        <v>20.849060059999999</v>
      </c>
      <c r="O752" s="396">
        <v>92.497413640000005</v>
      </c>
      <c r="P752" s="396" t="s">
        <v>795</v>
      </c>
      <c r="Q752" s="396" t="s">
        <v>798</v>
      </c>
      <c r="R752" s="490"/>
      <c r="S752" s="491"/>
      <c r="T752" s="412">
        <v>42926</v>
      </c>
      <c r="U752" s="401" t="s">
        <v>929</v>
      </c>
      <c r="V752" s="396"/>
      <c r="W752" s="396"/>
    </row>
    <row r="753" spans="1:26" s="68" customFormat="1" ht="14.25" customHeight="1">
      <c r="A753" s="482" t="s">
        <v>2647</v>
      </c>
      <c r="B753" s="504" t="s">
        <v>319</v>
      </c>
      <c r="C753" s="503" t="s">
        <v>640</v>
      </c>
      <c r="D753" s="431" t="s">
        <v>1656</v>
      </c>
      <c r="E753" s="68">
        <v>198301</v>
      </c>
      <c r="J753" s="68" t="s">
        <v>794</v>
      </c>
      <c r="K753" s="396" t="s">
        <v>794</v>
      </c>
      <c r="L753" s="396" t="s">
        <v>794</v>
      </c>
      <c r="M753" s="68" t="s">
        <v>791</v>
      </c>
      <c r="N753" s="68">
        <v>20.876710889999998</v>
      </c>
      <c r="O753" s="68">
        <v>92.537406919999995</v>
      </c>
      <c r="P753" s="68" t="s">
        <v>795</v>
      </c>
      <c r="Q753" s="396" t="s">
        <v>776</v>
      </c>
      <c r="R753" s="490"/>
      <c r="S753" s="491"/>
      <c r="T753" s="412"/>
      <c r="U753" s="488"/>
      <c r="V753" s="68" t="s">
        <v>640</v>
      </c>
      <c r="W753" s="482"/>
    </row>
    <row r="754" spans="1:26" s="68" customFormat="1" ht="14.25" customHeight="1">
      <c r="A754" s="482" t="s">
        <v>2647</v>
      </c>
      <c r="B754" s="504" t="s">
        <v>319</v>
      </c>
      <c r="C754" s="503" t="s">
        <v>541</v>
      </c>
      <c r="D754" s="431" t="s">
        <v>1656</v>
      </c>
      <c r="E754" s="482">
        <v>198444</v>
      </c>
      <c r="F754" s="482"/>
      <c r="G754" s="482"/>
      <c r="H754" s="482"/>
      <c r="I754" s="482"/>
      <c r="J754" s="68" t="s">
        <v>794</v>
      </c>
      <c r="K754" s="396" t="s">
        <v>794</v>
      </c>
      <c r="L754" s="396" t="s">
        <v>794</v>
      </c>
      <c r="M754" s="68" t="s">
        <v>791</v>
      </c>
      <c r="N754" s="482">
        <v>20.687610630000002</v>
      </c>
      <c r="O754" s="68">
        <v>92.617988589999996</v>
      </c>
      <c r="P754" s="68" t="s">
        <v>795</v>
      </c>
      <c r="Q754" s="482" t="s">
        <v>776</v>
      </c>
      <c r="R754" s="490"/>
      <c r="S754" s="491"/>
      <c r="T754" s="506"/>
      <c r="U754" s="488"/>
      <c r="V754" s="68" t="s">
        <v>541</v>
      </c>
      <c r="W754" s="482"/>
    </row>
    <row r="755" spans="1:26" s="68" customFormat="1" ht="14.25" customHeight="1">
      <c r="A755" s="396" t="s">
        <v>2647</v>
      </c>
      <c r="B755" s="504" t="s">
        <v>319</v>
      </c>
      <c r="C755" s="503" t="s">
        <v>659</v>
      </c>
      <c r="D755" s="431" t="s">
        <v>1656</v>
      </c>
      <c r="E755" s="396">
        <v>217866</v>
      </c>
      <c r="J755" s="68" t="s">
        <v>794</v>
      </c>
      <c r="K755" s="68" t="s">
        <v>794</v>
      </c>
      <c r="L755" s="68" t="s">
        <v>794</v>
      </c>
      <c r="M755" s="68" t="s">
        <v>791</v>
      </c>
      <c r="N755" s="68">
        <v>20.936349870000001</v>
      </c>
      <c r="O755" s="68">
        <v>92.468246460000003</v>
      </c>
      <c r="P755" s="68" t="s">
        <v>795</v>
      </c>
      <c r="Q755" s="396" t="s">
        <v>776</v>
      </c>
      <c r="R755" s="490"/>
      <c r="S755" s="491"/>
      <c r="T755" s="412"/>
      <c r="U755" s="97"/>
      <c r="V755" s="68" t="s">
        <v>659</v>
      </c>
      <c r="W755" s="396"/>
    </row>
    <row r="756" spans="1:26" s="68" customFormat="1" ht="14.25" customHeight="1">
      <c r="A756" s="443" t="s">
        <v>2647</v>
      </c>
      <c r="B756" s="444" t="s">
        <v>319</v>
      </c>
      <c r="C756" s="451" t="s">
        <v>609</v>
      </c>
      <c r="D756" s="485" t="s">
        <v>1657</v>
      </c>
      <c r="E756" s="445">
        <v>198336</v>
      </c>
      <c r="F756" s="445" t="s">
        <v>1666</v>
      </c>
      <c r="G756" s="445" t="s">
        <v>1667</v>
      </c>
      <c r="H756" s="445"/>
      <c r="I756" s="445"/>
      <c r="J756" s="68" t="s">
        <v>794</v>
      </c>
      <c r="K756" s="482" t="s">
        <v>794</v>
      </c>
      <c r="L756" s="482" t="s">
        <v>794</v>
      </c>
      <c r="M756" s="445" t="s">
        <v>294</v>
      </c>
      <c r="N756" s="445">
        <v>20.80558014</v>
      </c>
      <c r="O756" s="445">
        <v>92.549842830000003</v>
      </c>
      <c r="P756" s="445" t="s">
        <v>795</v>
      </c>
      <c r="Q756" s="445" t="s">
        <v>798</v>
      </c>
      <c r="R756" s="455"/>
      <c r="S756" s="453"/>
      <c r="T756" s="447">
        <v>42926</v>
      </c>
      <c r="U756" s="448" t="s">
        <v>799</v>
      </c>
      <c r="V756" s="449"/>
      <c r="W756" s="486"/>
    </row>
    <row r="757" spans="1:26" s="68" customFormat="1" ht="14.25" customHeight="1">
      <c r="A757" s="396" t="s">
        <v>2647</v>
      </c>
      <c r="B757" s="504" t="s">
        <v>319</v>
      </c>
      <c r="C757" s="503" t="s">
        <v>2670</v>
      </c>
      <c r="D757" s="431"/>
      <c r="E757" s="482">
        <v>198356</v>
      </c>
      <c r="F757" s="484" t="s">
        <v>2678</v>
      </c>
      <c r="G757" s="482"/>
      <c r="H757" s="482"/>
      <c r="I757" s="482"/>
      <c r="J757" s="68" t="s">
        <v>794</v>
      </c>
      <c r="K757" s="396" t="s">
        <v>794</v>
      </c>
      <c r="L757" s="396" t="s">
        <v>794</v>
      </c>
      <c r="M757" s="482"/>
      <c r="N757" s="482">
        <v>20.821479797363299</v>
      </c>
      <c r="O757" s="482">
        <v>92.603950500488295</v>
      </c>
      <c r="P757" s="68" t="s">
        <v>795</v>
      </c>
      <c r="Q757" s="482" t="s">
        <v>2627</v>
      </c>
      <c r="R757" s="490"/>
      <c r="S757" s="491"/>
      <c r="T757" s="506">
        <v>43580</v>
      </c>
      <c r="U757" s="488" t="s">
        <v>2672</v>
      </c>
      <c r="V757" s="482"/>
    </row>
    <row r="758" spans="1:26" ht="14.25" customHeight="1">
      <c r="A758" s="482" t="s">
        <v>2647</v>
      </c>
      <c r="B758" s="504" t="s">
        <v>319</v>
      </c>
      <c r="C758" s="503" t="s">
        <v>620</v>
      </c>
      <c r="D758" s="431" t="s">
        <v>1656</v>
      </c>
      <c r="E758" s="396">
        <v>198356</v>
      </c>
      <c r="F758" s="396"/>
      <c r="G758" s="396"/>
      <c r="H758" s="396"/>
      <c r="I758" s="396"/>
      <c r="J758" s="68" t="s">
        <v>794</v>
      </c>
      <c r="K758" s="500" t="s">
        <v>794</v>
      </c>
      <c r="L758" s="500" t="s">
        <v>794</v>
      </c>
      <c r="M758" s="68" t="s">
        <v>791</v>
      </c>
      <c r="N758" s="68">
        <v>20.821479799999999</v>
      </c>
      <c r="O758" s="68">
        <v>92.603950499999996</v>
      </c>
      <c r="P758" s="482" t="s">
        <v>795</v>
      </c>
      <c r="Q758" s="68" t="s">
        <v>776</v>
      </c>
      <c r="R758" s="490"/>
      <c r="S758" s="491"/>
      <c r="T758" s="101"/>
      <c r="U758" s="488"/>
      <c r="V758" s="68" t="s">
        <v>620</v>
      </c>
      <c r="W758" s="482"/>
      <c r="X758" s="17"/>
      <c r="Z758" s="17"/>
    </row>
    <row r="759" spans="1:26" ht="14.25" customHeight="1">
      <c r="A759" s="482" t="s">
        <v>2647</v>
      </c>
      <c r="B759" s="484" t="s">
        <v>319</v>
      </c>
      <c r="C759" s="509" t="s">
        <v>2623</v>
      </c>
      <c r="D759" s="431"/>
      <c r="E759" s="484">
        <v>198369</v>
      </c>
      <c r="F759" s="482"/>
      <c r="G759" s="482"/>
      <c r="H759" s="482"/>
      <c r="I759" s="482"/>
      <c r="J759" s="68" t="s">
        <v>2652</v>
      </c>
      <c r="K759" s="500" t="s">
        <v>2622</v>
      </c>
      <c r="L759" s="500" t="s">
        <v>2622</v>
      </c>
      <c r="M759" s="68"/>
      <c r="N759" s="482"/>
      <c r="O759" s="68"/>
      <c r="P759" s="68"/>
      <c r="Q759" s="482"/>
      <c r="R759" s="490"/>
      <c r="S759" s="491"/>
      <c r="T759" s="506"/>
      <c r="U759" s="488"/>
      <c r="V759" s="68"/>
      <c r="W759" s="482"/>
      <c r="X759" s="17"/>
      <c r="Z759" s="17"/>
    </row>
    <row r="760" spans="1:26" ht="14.25" customHeight="1">
      <c r="A760" s="482" t="s">
        <v>2647</v>
      </c>
      <c r="B760" s="500" t="s">
        <v>319</v>
      </c>
      <c r="C760" s="724" t="s">
        <v>613</v>
      </c>
      <c r="D760" s="431" t="s">
        <v>1656</v>
      </c>
      <c r="E760" s="482">
        <v>198369</v>
      </c>
      <c r="F760" s="484"/>
      <c r="G760" s="482"/>
      <c r="H760" s="482"/>
      <c r="I760" s="482"/>
      <c r="J760" s="68" t="s">
        <v>794</v>
      </c>
      <c r="K760" s="500" t="s">
        <v>794</v>
      </c>
      <c r="L760" s="500" t="s">
        <v>794</v>
      </c>
      <c r="M760" s="396" t="s">
        <v>791</v>
      </c>
      <c r="N760" s="482">
        <v>20.806030270000001</v>
      </c>
      <c r="O760" s="482">
        <v>92.601951600000007</v>
      </c>
      <c r="P760" s="68" t="s">
        <v>795</v>
      </c>
      <c r="Q760" s="482" t="s">
        <v>776</v>
      </c>
      <c r="R760" s="490"/>
      <c r="S760" s="491"/>
      <c r="T760" s="506"/>
      <c r="U760" s="488"/>
      <c r="V760" s="391" t="s">
        <v>613</v>
      </c>
      <c r="W760" s="482"/>
      <c r="X760" s="17"/>
      <c r="Z760" s="17"/>
    </row>
    <row r="761" spans="1:26" ht="14.25" customHeight="1">
      <c r="A761" s="482" t="s">
        <v>2647</v>
      </c>
      <c r="B761" s="484" t="s">
        <v>319</v>
      </c>
      <c r="C761" s="509" t="s">
        <v>604</v>
      </c>
      <c r="D761" s="431" t="s">
        <v>1656</v>
      </c>
      <c r="E761" s="482">
        <v>198368</v>
      </c>
      <c r="F761" s="484"/>
      <c r="G761" s="482"/>
      <c r="H761" s="482"/>
      <c r="I761" s="482"/>
      <c r="J761" s="68" t="s">
        <v>794</v>
      </c>
      <c r="K761" s="500" t="s">
        <v>794</v>
      </c>
      <c r="L761" s="500" t="s">
        <v>794</v>
      </c>
      <c r="M761" s="482" t="s">
        <v>294</v>
      </c>
      <c r="N761" s="482">
        <v>20.80282021</v>
      </c>
      <c r="O761" s="482">
        <v>92.599418639999996</v>
      </c>
      <c r="P761" s="482" t="s">
        <v>795</v>
      </c>
      <c r="Q761" s="482" t="s">
        <v>776</v>
      </c>
      <c r="R761" s="490"/>
      <c r="S761" s="491"/>
      <c r="T761" s="506"/>
      <c r="U761" s="488"/>
      <c r="V761" s="482" t="s">
        <v>604</v>
      </c>
      <c r="W761" s="482"/>
      <c r="X761" s="17"/>
      <c r="Z761" s="17"/>
    </row>
    <row r="762" spans="1:26" ht="14.25" customHeight="1">
      <c r="A762" s="482" t="s">
        <v>2647</v>
      </c>
      <c r="B762" s="484" t="s">
        <v>319</v>
      </c>
      <c r="C762" s="509" t="s">
        <v>580</v>
      </c>
      <c r="D762" s="431" t="s">
        <v>1656</v>
      </c>
      <c r="E762" s="396">
        <v>217879</v>
      </c>
      <c r="F762" s="484"/>
      <c r="G762" s="396"/>
      <c r="H762" s="396"/>
      <c r="I762" s="396"/>
      <c r="J762" s="396" t="s">
        <v>794</v>
      </c>
      <c r="K762" s="504" t="s">
        <v>794</v>
      </c>
      <c r="L762" s="504" t="s">
        <v>794</v>
      </c>
      <c r="M762" s="396" t="s">
        <v>294</v>
      </c>
      <c r="N762" s="396">
        <v>20.7494297</v>
      </c>
      <c r="O762" s="396">
        <v>92.528648380000007</v>
      </c>
      <c r="P762" s="482" t="s">
        <v>795</v>
      </c>
      <c r="Q762" s="396" t="s">
        <v>776</v>
      </c>
      <c r="R762" s="490"/>
      <c r="S762" s="491"/>
      <c r="T762" s="412"/>
      <c r="U762" s="488"/>
      <c r="V762" s="396" t="s">
        <v>580</v>
      </c>
      <c r="W762" s="482"/>
      <c r="X762" s="17"/>
      <c r="Z762" s="17"/>
    </row>
    <row r="763" spans="1:26" ht="14.25" customHeight="1">
      <c r="A763" s="396" t="s">
        <v>2647</v>
      </c>
      <c r="B763" s="504" t="s">
        <v>319</v>
      </c>
      <c r="C763" s="509" t="s">
        <v>2527</v>
      </c>
      <c r="D763" s="431"/>
      <c r="E763" s="482">
        <v>198404</v>
      </c>
      <c r="F763" s="482" t="s">
        <v>2633</v>
      </c>
      <c r="G763" s="482"/>
      <c r="H763" s="482"/>
      <c r="I763" s="482"/>
      <c r="J763" s="482" t="s">
        <v>2652</v>
      </c>
      <c r="K763" s="482" t="s">
        <v>2622</v>
      </c>
      <c r="L763" s="482" t="s">
        <v>2622</v>
      </c>
      <c r="M763" s="482" t="s">
        <v>294</v>
      </c>
      <c r="N763" s="482">
        <v>20.769779209999999</v>
      </c>
      <c r="O763" s="482">
        <v>92.604240419999996</v>
      </c>
      <c r="P763" s="482" t="s">
        <v>795</v>
      </c>
      <c r="Q763" s="482" t="s">
        <v>2627</v>
      </c>
      <c r="R763" s="490"/>
      <c r="S763" s="491"/>
      <c r="T763" s="506"/>
      <c r="U763" s="488"/>
      <c r="V763" s="482"/>
      <c r="W763" s="482"/>
      <c r="X763" s="17"/>
      <c r="Z763" s="17"/>
    </row>
    <row r="764" spans="1:26" ht="14.25" customHeight="1">
      <c r="A764" s="482" t="s">
        <v>2647</v>
      </c>
      <c r="B764" s="504" t="s">
        <v>319</v>
      </c>
      <c r="C764" s="503" t="s">
        <v>2529</v>
      </c>
      <c r="D764" s="431"/>
      <c r="E764" s="482">
        <v>198303</v>
      </c>
      <c r="F764" s="482" t="s">
        <v>2634</v>
      </c>
      <c r="G764" s="482"/>
      <c r="H764" s="482"/>
      <c r="I764" s="482"/>
      <c r="J764" s="68" t="s">
        <v>794</v>
      </c>
      <c r="K764" s="482" t="s">
        <v>794</v>
      </c>
      <c r="L764" s="482" t="s">
        <v>794</v>
      </c>
      <c r="M764" s="68" t="s">
        <v>294</v>
      </c>
      <c r="N764" s="482">
        <v>20.892290119999998</v>
      </c>
      <c r="O764" s="482">
        <v>92.550079350000004</v>
      </c>
      <c r="P764" s="68" t="s">
        <v>795</v>
      </c>
      <c r="Q764" s="482" t="s">
        <v>2627</v>
      </c>
      <c r="R764" s="490"/>
      <c r="S764" s="491"/>
      <c r="T764" s="506"/>
      <c r="U764" s="488"/>
      <c r="V764" s="482"/>
      <c r="W764" s="482"/>
      <c r="X764" s="17"/>
      <c r="Z764" s="17"/>
    </row>
    <row r="765" spans="1:26" ht="14.25" customHeight="1">
      <c r="A765" s="482" t="s">
        <v>2647</v>
      </c>
      <c r="B765" s="484" t="s">
        <v>319</v>
      </c>
      <c r="C765" s="509" t="s">
        <v>649</v>
      </c>
      <c r="D765" s="431" t="s">
        <v>1656</v>
      </c>
      <c r="E765" s="482">
        <v>198303</v>
      </c>
      <c r="F765" s="482" t="s">
        <v>2634</v>
      </c>
      <c r="G765" s="482"/>
      <c r="H765" s="482"/>
      <c r="I765" s="482"/>
      <c r="J765" s="68" t="s">
        <v>794</v>
      </c>
      <c r="K765" s="482" t="s">
        <v>794</v>
      </c>
      <c r="L765" s="482" t="s">
        <v>794</v>
      </c>
      <c r="M765" s="482" t="s">
        <v>791</v>
      </c>
      <c r="N765" s="482">
        <v>20.892290119999998</v>
      </c>
      <c r="O765" s="482">
        <v>92.550079350000004</v>
      </c>
      <c r="P765" s="482" t="s">
        <v>795</v>
      </c>
      <c r="Q765" s="482" t="s">
        <v>776</v>
      </c>
      <c r="R765" s="490"/>
      <c r="S765" s="491"/>
      <c r="T765" s="506"/>
      <c r="U765" s="488"/>
      <c r="V765" s="482" t="s">
        <v>649</v>
      </c>
      <c r="W765" s="482"/>
      <c r="X765" s="17"/>
      <c r="Z765" s="17"/>
    </row>
    <row r="766" spans="1:26" ht="14.25" customHeight="1">
      <c r="A766" s="482" t="s">
        <v>2647</v>
      </c>
      <c r="B766" s="484" t="s">
        <v>319</v>
      </c>
      <c r="C766" s="503" t="s">
        <v>678</v>
      </c>
      <c r="D766" s="431" t="s">
        <v>1656</v>
      </c>
      <c r="E766" s="68">
        <v>198196</v>
      </c>
      <c r="F766" s="396"/>
      <c r="G766" s="68"/>
      <c r="H766" s="68"/>
      <c r="I766" s="68"/>
      <c r="J766" s="68" t="s">
        <v>794</v>
      </c>
      <c r="K766" s="482" t="s">
        <v>794</v>
      </c>
      <c r="L766" s="482" t="s">
        <v>794</v>
      </c>
      <c r="M766" s="68" t="s">
        <v>294</v>
      </c>
      <c r="N766" s="68">
        <v>21.02563095</v>
      </c>
      <c r="O766" s="68">
        <v>92.524818420000003</v>
      </c>
      <c r="P766" s="68" t="s">
        <v>795</v>
      </c>
      <c r="Q766" s="396" t="s">
        <v>798</v>
      </c>
      <c r="R766" s="490"/>
      <c r="S766" s="491"/>
      <c r="T766" s="412">
        <v>42926</v>
      </c>
      <c r="U766" s="488" t="s">
        <v>799</v>
      </c>
      <c r="V766" s="68"/>
      <c r="W766" s="482"/>
      <c r="X766" s="17"/>
      <c r="Z766" s="17"/>
    </row>
    <row r="767" spans="1:26" ht="14.25" customHeight="1">
      <c r="A767" s="482" t="s">
        <v>2647</v>
      </c>
      <c r="B767" s="504" t="s">
        <v>319</v>
      </c>
      <c r="C767" s="503" t="s">
        <v>642</v>
      </c>
      <c r="D767" s="431" t="s">
        <v>1656</v>
      </c>
      <c r="E767" s="68">
        <v>198292</v>
      </c>
      <c r="F767" s="396"/>
      <c r="G767" s="68"/>
      <c r="H767" s="68"/>
      <c r="I767" s="68"/>
      <c r="J767" s="68" t="s">
        <v>794</v>
      </c>
      <c r="K767" s="482" t="s">
        <v>794</v>
      </c>
      <c r="L767" s="482" t="s">
        <v>794</v>
      </c>
      <c r="M767" s="68" t="s">
        <v>791</v>
      </c>
      <c r="N767" s="68">
        <v>20.883680340000002</v>
      </c>
      <c r="O767" s="500">
        <v>92.569938660000005</v>
      </c>
      <c r="P767" s="482" t="s">
        <v>795</v>
      </c>
      <c r="Q767" s="68" t="s">
        <v>776</v>
      </c>
      <c r="R767" s="490"/>
      <c r="S767" s="491"/>
      <c r="T767" s="101"/>
      <c r="U767" s="488"/>
      <c r="V767" s="68" t="s">
        <v>942</v>
      </c>
      <c r="W767" s="482"/>
      <c r="X767" s="17"/>
      <c r="Z767" s="17"/>
    </row>
    <row r="768" spans="1:26" ht="14.25" customHeight="1">
      <c r="A768" s="482" t="s">
        <v>2647</v>
      </c>
      <c r="B768" s="504" t="s">
        <v>319</v>
      </c>
      <c r="C768" s="503" t="s">
        <v>643</v>
      </c>
      <c r="D768" s="431" t="s">
        <v>1656</v>
      </c>
      <c r="E768" s="68">
        <v>198292</v>
      </c>
      <c r="F768" s="489"/>
      <c r="G768" s="68"/>
      <c r="H768" s="68"/>
      <c r="I768" s="68"/>
      <c r="J768" s="68" t="s">
        <v>794</v>
      </c>
      <c r="K768" s="482" t="s">
        <v>794</v>
      </c>
      <c r="L768" s="482" t="s">
        <v>794</v>
      </c>
      <c r="M768" s="68" t="s">
        <v>791</v>
      </c>
      <c r="N768" s="396">
        <v>20.883680340000002</v>
      </c>
      <c r="O768" s="482">
        <v>92.569938660000005</v>
      </c>
      <c r="P768" s="396" t="s">
        <v>795</v>
      </c>
      <c r="Q768" s="68" t="s">
        <v>776</v>
      </c>
      <c r="R768" s="490"/>
      <c r="S768" s="491"/>
      <c r="T768" s="101">
        <v>42745</v>
      </c>
      <c r="U768" s="488"/>
      <c r="V768" s="68"/>
      <c r="W768" s="482"/>
      <c r="X768" s="17"/>
      <c r="Z768" s="17"/>
    </row>
    <row r="769" spans="1:26" ht="14.25" customHeight="1">
      <c r="A769" s="396" t="s">
        <v>2647</v>
      </c>
      <c r="B769" s="504" t="s">
        <v>319</v>
      </c>
      <c r="C769" s="503" t="s">
        <v>685</v>
      </c>
      <c r="D769" s="431" t="s">
        <v>1656</v>
      </c>
      <c r="E769" s="482">
        <v>198146</v>
      </c>
      <c r="F769" s="489"/>
      <c r="G769" s="482"/>
      <c r="H769" s="482"/>
      <c r="I769" s="482"/>
      <c r="J769" s="482" t="s">
        <v>800</v>
      </c>
      <c r="K769" s="482" t="s">
        <v>794</v>
      </c>
      <c r="L769" s="482" t="s">
        <v>800</v>
      </c>
      <c r="M769" s="482" t="s">
        <v>791</v>
      </c>
      <c r="N769" s="482">
        <v>21.098579409999999</v>
      </c>
      <c r="O769" s="482">
        <v>92.445549009999993</v>
      </c>
      <c r="P769" s="68" t="s">
        <v>919</v>
      </c>
      <c r="Q769" s="482" t="s">
        <v>798</v>
      </c>
      <c r="R769" s="490"/>
      <c r="S769" s="491"/>
      <c r="T769" s="506">
        <v>42926</v>
      </c>
      <c r="U769" s="488" t="s">
        <v>929</v>
      </c>
      <c r="V769" s="482"/>
      <c r="W769" s="482"/>
      <c r="X769" s="17"/>
      <c r="Z769" s="17"/>
    </row>
    <row r="770" spans="1:26" ht="14.25" customHeight="1">
      <c r="A770" s="482" t="s">
        <v>2647</v>
      </c>
      <c r="B770" s="504" t="s">
        <v>319</v>
      </c>
      <c r="C770" s="503" t="s">
        <v>531</v>
      </c>
      <c r="D770" s="431" t="s">
        <v>1656</v>
      </c>
      <c r="E770" s="482">
        <v>217885</v>
      </c>
      <c r="F770" s="482"/>
      <c r="G770" s="482"/>
      <c r="H770" s="482"/>
      <c r="I770" s="482"/>
      <c r="J770" s="482" t="s">
        <v>794</v>
      </c>
      <c r="K770" s="482" t="s">
        <v>794</v>
      </c>
      <c r="L770" s="482" t="s">
        <v>794</v>
      </c>
      <c r="M770" s="482" t="s">
        <v>791</v>
      </c>
      <c r="N770" s="482">
        <v>20.676519389999999</v>
      </c>
      <c r="O770" s="482">
        <v>92.591667180000002</v>
      </c>
      <c r="P770" s="68" t="s">
        <v>795</v>
      </c>
      <c r="Q770" s="482" t="s">
        <v>776</v>
      </c>
      <c r="R770" s="486"/>
      <c r="S770" s="487"/>
      <c r="T770" s="506"/>
      <c r="U770" s="488"/>
      <c r="V770" s="482" t="s">
        <v>531</v>
      </c>
      <c r="W770" s="482"/>
      <c r="X770" s="17"/>
      <c r="Z770" s="17"/>
    </row>
    <row r="771" spans="1:26" ht="14.25" customHeight="1">
      <c r="A771" s="482" t="s">
        <v>2647</v>
      </c>
      <c r="B771" s="504" t="s">
        <v>319</v>
      </c>
      <c r="C771" s="503" t="s">
        <v>2977</v>
      </c>
      <c r="D771" s="431"/>
      <c r="E771" s="482">
        <v>198249</v>
      </c>
      <c r="F771" s="482"/>
      <c r="G771" s="482"/>
      <c r="H771" s="482"/>
      <c r="I771" s="482"/>
      <c r="J771" s="482" t="s">
        <v>794</v>
      </c>
      <c r="K771" s="482" t="s">
        <v>794</v>
      </c>
      <c r="L771" s="482" t="s">
        <v>794</v>
      </c>
      <c r="M771" s="482"/>
      <c r="N771" s="482">
        <v>21.169160842895501</v>
      </c>
      <c r="O771" s="482">
        <v>92.569076538085895</v>
      </c>
      <c r="P771" s="482" t="s">
        <v>795</v>
      </c>
      <c r="Q771" s="482" t="s">
        <v>2961</v>
      </c>
      <c r="R771" s="486"/>
      <c r="S771" s="487"/>
      <c r="T771" s="506">
        <v>43768</v>
      </c>
      <c r="U771" s="488"/>
      <c r="V771" s="482"/>
      <c r="W771" s="482"/>
      <c r="X771" s="17"/>
      <c r="Z771" s="17"/>
    </row>
    <row r="772" spans="1:26" ht="14.25" customHeight="1">
      <c r="A772" s="396" t="s">
        <v>2647</v>
      </c>
      <c r="B772" s="504" t="s">
        <v>319</v>
      </c>
      <c r="C772" s="504" t="s">
        <v>660</v>
      </c>
      <c r="D772" s="431" t="s">
        <v>1656</v>
      </c>
      <c r="E772" s="68">
        <v>198164</v>
      </c>
      <c r="F772" s="482"/>
      <c r="G772" s="68"/>
      <c r="H772" s="68"/>
      <c r="I772" s="68"/>
      <c r="J772" s="68" t="s">
        <v>794</v>
      </c>
      <c r="K772" s="482" t="s">
        <v>794</v>
      </c>
      <c r="L772" s="482" t="s">
        <v>794</v>
      </c>
      <c r="M772" s="68" t="s">
        <v>947</v>
      </c>
      <c r="N772" s="68">
        <v>20.945800779999999</v>
      </c>
      <c r="O772" s="482">
        <v>92.471672060000003</v>
      </c>
      <c r="P772" s="482" t="s">
        <v>795</v>
      </c>
      <c r="Q772" s="68" t="s">
        <v>776</v>
      </c>
      <c r="R772" s="486"/>
      <c r="S772" s="487"/>
      <c r="T772" s="506"/>
      <c r="U772" s="488"/>
      <c r="V772" s="68" t="s">
        <v>660</v>
      </c>
      <c r="W772" s="482"/>
      <c r="X772" s="17"/>
      <c r="Z772" s="17"/>
    </row>
    <row r="773" spans="1:26" ht="14.25" customHeight="1">
      <c r="A773" s="482" t="s">
        <v>2647</v>
      </c>
      <c r="B773" s="504" t="s">
        <v>319</v>
      </c>
      <c r="C773" s="503" t="s">
        <v>618</v>
      </c>
      <c r="D773" s="431" t="s">
        <v>1656</v>
      </c>
      <c r="E773" s="68">
        <v>198335</v>
      </c>
      <c r="F773" s="482"/>
      <c r="G773" s="68"/>
      <c r="H773" s="68"/>
      <c r="I773" s="68"/>
      <c r="J773" s="68" t="s">
        <v>794</v>
      </c>
      <c r="K773" s="482" t="s">
        <v>794</v>
      </c>
      <c r="L773" s="482" t="s">
        <v>794</v>
      </c>
      <c r="M773" s="68" t="s">
        <v>294</v>
      </c>
      <c r="N773" s="396">
        <v>20.818910599999999</v>
      </c>
      <c r="O773" s="396">
        <v>92.541358950000003</v>
      </c>
      <c r="P773" s="482" t="s">
        <v>795</v>
      </c>
      <c r="Q773" s="68" t="s">
        <v>776</v>
      </c>
      <c r="R773" s="486"/>
      <c r="S773" s="487"/>
      <c r="T773" s="101"/>
      <c r="U773" s="488"/>
      <c r="V773" s="68" t="s">
        <v>618</v>
      </c>
      <c r="W773" s="482"/>
      <c r="X773" s="17"/>
      <c r="Z773" s="17"/>
    </row>
    <row r="774" spans="1:26" ht="14.25" customHeight="1">
      <c r="A774" s="482" t="s">
        <v>2647</v>
      </c>
      <c r="B774" s="504" t="s">
        <v>319</v>
      </c>
      <c r="C774" s="503" t="s">
        <v>652</v>
      </c>
      <c r="D774" s="431" t="s">
        <v>1656</v>
      </c>
      <c r="E774" s="482">
        <v>198316</v>
      </c>
      <c r="F774" s="482"/>
      <c r="G774" s="482"/>
      <c r="H774" s="482"/>
      <c r="I774" s="482"/>
      <c r="J774" s="482" t="s">
        <v>794</v>
      </c>
      <c r="K774" s="482" t="s">
        <v>794</v>
      </c>
      <c r="L774" s="482" t="s">
        <v>794</v>
      </c>
      <c r="M774" s="482" t="s">
        <v>791</v>
      </c>
      <c r="N774" s="482">
        <v>20.89318085</v>
      </c>
      <c r="O774" s="482">
        <v>92.493637079999999</v>
      </c>
      <c r="P774" s="482" t="s">
        <v>795</v>
      </c>
      <c r="Q774" s="482" t="s">
        <v>776</v>
      </c>
      <c r="R774" s="486"/>
      <c r="S774" s="487"/>
      <c r="T774" s="506"/>
      <c r="U774" s="488"/>
      <c r="V774" s="482" t="s">
        <v>652</v>
      </c>
      <c r="W774" s="482"/>
      <c r="X774" s="17"/>
      <c r="Z774" s="17"/>
    </row>
    <row r="775" spans="1:26" ht="14.25" customHeight="1">
      <c r="A775" s="482" t="s">
        <v>2647</v>
      </c>
      <c r="B775" s="504" t="s">
        <v>319</v>
      </c>
      <c r="C775" s="503" t="s">
        <v>637</v>
      </c>
      <c r="D775" s="431" t="s">
        <v>1656</v>
      </c>
      <c r="E775" s="68">
        <v>198308</v>
      </c>
      <c r="F775" s="482"/>
      <c r="G775" s="68"/>
      <c r="H775" s="68"/>
      <c r="I775" s="68"/>
      <c r="J775" s="68" t="s">
        <v>800</v>
      </c>
      <c r="K775" s="396" t="s">
        <v>794</v>
      </c>
      <c r="L775" s="396" t="s">
        <v>800</v>
      </c>
      <c r="M775" s="68" t="s">
        <v>791</v>
      </c>
      <c r="N775" s="68">
        <v>20.863079070000001</v>
      </c>
      <c r="O775" s="482">
        <v>92.497192380000001</v>
      </c>
      <c r="P775" s="482" t="s">
        <v>919</v>
      </c>
      <c r="Q775" s="68" t="s">
        <v>798</v>
      </c>
      <c r="R775" s="486"/>
      <c r="S775" s="487"/>
      <c r="T775" s="101">
        <v>42926</v>
      </c>
      <c r="U775" s="488" t="s">
        <v>929</v>
      </c>
      <c r="V775" s="396"/>
      <c r="W775" s="482"/>
      <c r="X775" s="17"/>
      <c r="Z775" s="17"/>
    </row>
    <row r="776" spans="1:26" ht="14.25" customHeight="1">
      <c r="A776" s="482" t="s">
        <v>2647</v>
      </c>
      <c r="B776" s="484" t="s">
        <v>319</v>
      </c>
      <c r="C776" s="503" t="s">
        <v>592</v>
      </c>
      <c r="D776" s="431" t="s">
        <v>1656</v>
      </c>
      <c r="E776" s="482">
        <v>220753</v>
      </c>
      <c r="F776" s="482"/>
      <c r="G776" s="482"/>
      <c r="H776" s="482"/>
      <c r="I776" s="482"/>
      <c r="J776" s="482" t="s">
        <v>800</v>
      </c>
      <c r="K776" s="482" t="s">
        <v>794</v>
      </c>
      <c r="L776" s="482" t="s">
        <v>800</v>
      </c>
      <c r="M776" s="482" t="s">
        <v>294</v>
      </c>
      <c r="N776" s="482">
        <v>20.782770159999998</v>
      </c>
      <c r="O776" s="482">
        <v>92.551826480000003</v>
      </c>
      <c r="P776" s="482" t="s">
        <v>919</v>
      </c>
      <c r="Q776" s="482" t="s">
        <v>798</v>
      </c>
      <c r="R776" s="486"/>
      <c r="S776" s="487"/>
      <c r="T776" s="506">
        <v>42926</v>
      </c>
      <c r="U776" s="488" t="s">
        <v>929</v>
      </c>
      <c r="V776" s="482"/>
      <c r="W776" s="482"/>
      <c r="X776" s="17"/>
      <c r="Z776" s="17"/>
    </row>
    <row r="777" spans="1:26" ht="14.25" customHeight="1">
      <c r="A777" s="396" t="s">
        <v>2647</v>
      </c>
      <c r="B777" s="504" t="s">
        <v>319</v>
      </c>
      <c r="C777" s="503" t="s">
        <v>633</v>
      </c>
      <c r="D777" s="431" t="s">
        <v>1656</v>
      </c>
      <c r="E777" s="482">
        <v>198325</v>
      </c>
      <c r="F777" s="482"/>
      <c r="G777" s="482"/>
      <c r="H777" s="482"/>
      <c r="I777" s="482"/>
      <c r="J777" s="482" t="s">
        <v>800</v>
      </c>
      <c r="K777" s="482" t="s">
        <v>794</v>
      </c>
      <c r="L777" s="482" t="s">
        <v>800</v>
      </c>
      <c r="M777" s="482" t="s">
        <v>791</v>
      </c>
      <c r="N777" s="482">
        <v>20.839260100000001</v>
      </c>
      <c r="O777" s="482">
        <v>92.534591669999998</v>
      </c>
      <c r="P777" s="68" t="s">
        <v>919</v>
      </c>
      <c r="Q777" s="482" t="s">
        <v>798</v>
      </c>
      <c r="R777" s="486"/>
      <c r="S777" s="487"/>
      <c r="T777" s="506">
        <v>42926</v>
      </c>
      <c r="U777" s="488" t="s">
        <v>929</v>
      </c>
      <c r="V777" s="482"/>
      <c r="W777" s="482"/>
      <c r="X777" s="17"/>
      <c r="Z777" s="17"/>
    </row>
    <row r="778" spans="1:26" ht="14.25" customHeight="1">
      <c r="A778" s="482" t="s">
        <v>2647</v>
      </c>
      <c r="B778" s="504" t="s">
        <v>319</v>
      </c>
      <c r="C778" s="503" t="s">
        <v>324</v>
      </c>
      <c r="D778" s="432" t="s">
        <v>1656</v>
      </c>
      <c r="E778" s="484"/>
      <c r="F778" s="484"/>
      <c r="G778" s="484"/>
      <c r="H778" s="491"/>
      <c r="I778" s="484"/>
      <c r="J778" s="68" t="s">
        <v>800</v>
      </c>
      <c r="K778" s="482" t="s">
        <v>794</v>
      </c>
      <c r="L778" s="482" t="s">
        <v>800</v>
      </c>
      <c r="M778" s="484" t="s">
        <v>791</v>
      </c>
      <c r="N778" s="484"/>
      <c r="O778" s="484"/>
      <c r="P778" s="68" t="s">
        <v>919</v>
      </c>
      <c r="Q778" s="484" t="s">
        <v>798</v>
      </c>
      <c r="R778" s="490"/>
      <c r="S778" s="491"/>
      <c r="T778" s="507">
        <v>42926</v>
      </c>
      <c r="U778" s="492" t="s">
        <v>929</v>
      </c>
      <c r="V778" s="484"/>
      <c r="W778" s="482"/>
      <c r="X778" s="17"/>
      <c r="Z778" s="17"/>
    </row>
    <row r="779" spans="1:26" ht="14.25" customHeight="1">
      <c r="A779" s="482" t="s">
        <v>2647</v>
      </c>
      <c r="B779" s="504" t="s">
        <v>319</v>
      </c>
      <c r="C779" s="503" t="s">
        <v>568</v>
      </c>
      <c r="D779" s="431" t="s">
        <v>1656</v>
      </c>
      <c r="E779" s="482">
        <v>198432</v>
      </c>
      <c r="F779" s="482"/>
      <c r="G779" s="482"/>
      <c r="H779" s="482"/>
      <c r="I779" s="482"/>
      <c r="J779" s="482" t="s">
        <v>794</v>
      </c>
      <c r="K779" s="484" t="s">
        <v>794</v>
      </c>
      <c r="L779" s="484" t="s">
        <v>794</v>
      </c>
      <c r="M779" s="68" t="s">
        <v>791</v>
      </c>
      <c r="N779" s="482">
        <v>20.721290589999999</v>
      </c>
      <c r="O779" s="482">
        <v>92.605140689999999</v>
      </c>
      <c r="P779" s="68" t="s">
        <v>795</v>
      </c>
      <c r="Q779" s="482" t="s">
        <v>776</v>
      </c>
      <c r="R779" s="486"/>
      <c r="S779" s="487"/>
      <c r="T779" s="506"/>
      <c r="U779" s="488"/>
      <c r="V779" s="68" t="s">
        <v>568</v>
      </c>
      <c r="W779" s="482"/>
      <c r="X779" s="17"/>
      <c r="Z779" s="17"/>
    </row>
    <row r="780" spans="1:26" ht="14.25" customHeight="1">
      <c r="A780" s="490" t="s">
        <v>2647</v>
      </c>
      <c r="B780" s="514" t="s">
        <v>319</v>
      </c>
      <c r="C780" s="515" t="s">
        <v>662</v>
      </c>
      <c r="D780" s="485" t="s">
        <v>1656</v>
      </c>
      <c r="E780" s="68">
        <v>198222</v>
      </c>
      <c r="F780" s="482"/>
      <c r="G780" s="68"/>
      <c r="H780" s="68"/>
      <c r="I780" s="68"/>
      <c r="J780" s="68" t="s">
        <v>800</v>
      </c>
      <c r="K780" s="484" t="s">
        <v>794</v>
      </c>
      <c r="L780" s="484" t="s">
        <v>800</v>
      </c>
      <c r="M780" s="68" t="s">
        <v>791</v>
      </c>
      <c r="N780" s="68">
        <v>20.962799069999999</v>
      </c>
      <c r="O780" s="482">
        <v>92.527702329999997</v>
      </c>
      <c r="P780" s="68" t="s">
        <v>919</v>
      </c>
      <c r="Q780" s="68" t="s">
        <v>798</v>
      </c>
      <c r="R780" s="494"/>
      <c r="S780" s="487"/>
      <c r="T780" s="101">
        <v>42926</v>
      </c>
      <c r="U780" s="494" t="s">
        <v>929</v>
      </c>
      <c r="V780" s="68"/>
      <c r="W780" s="486"/>
      <c r="X780" s="17"/>
      <c r="Z780" s="17"/>
    </row>
    <row r="781" spans="1:26" ht="14.25" customHeight="1">
      <c r="A781" s="396" t="s">
        <v>2647</v>
      </c>
      <c r="B781" s="504" t="s">
        <v>319</v>
      </c>
      <c r="C781" s="515" t="s">
        <v>2990</v>
      </c>
      <c r="D781" s="485"/>
      <c r="E781" s="68">
        <v>198179</v>
      </c>
      <c r="F781" s="482"/>
      <c r="G781" s="68"/>
      <c r="H781" s="68"/>
      <c r="I781" s="68"/>
      <c r="J781" s="68" t="s">
        <v>794</v>
      </c>
      <c r="K781" s="484" t="s">
        <v>794</v>
      </c>
      <c r="L781" s="484" t="s">
        <v>794</v>
      </c>
      <c r="M781" s="68"/>
      <c r="N781" s="68">
        <v>20.945339202880898</v>
      </c>
      <c r="O781" s="396">
        <v>92.496063232421903</v>
      </c>
      <c r="P781" s="482" t="s">
        <v>795</v>
      </c>
      <c r="Q781" s="68" t="s">
        <v>2961</v>
      </c>
      <c r="R781" s="494"/>
      <c r="S781" s="487"/>
      <c r="T781" s="101">
        <v>43769</v>
      </c>
      <c r="U781" s="494"/>
      <c r="V781" s="68"/>
      <c r="W781" s="486"/>
      <c r="X781" s="17"/>
      <c r="Z781" s="17"/>
    </row>
    <row r="782" spans="1:26" ht="14.25" customHeight="1">
      <c r="A782" s="482" t="s">
        <v>2647</v>
      </c>
      <c r="B782" s="504" t="s">
        <v>319</v>
      </c>
      <c r="C782" s="503" t="s">
        <v>2764</v>
      </c>
      <c r="D782" s="431"/>
      <c r="E782" s="482">
        <v>198289</v>
      </c>
      <c r="F782" s="482"/>
      <c r="G782" s="482"/>
      <c r="H782" s="482"/>
      <c r="I782" s="482"/>
      <c r="J782" s="482" t="s">
        <v>2652</v>
      </c>
      <c r="K782" s="484" t="s">
        <v>2622</v>
      </c>
      <c r="L782" s="484" t="s">
        <v>2622</v>
      </c>
      <c r="M782" s="482"/>
      <c r="N782" s="482">
        <v>20.838279724121101</v>
      </c>
      <c r="O782" s="482">
        <v>92.610900878906307</v>
      </c>
      <c r="P782" s="482"/>
      <c r="Q782" s="482"/>
      <c r="R782" s="486"/>
      <c r="S782" s="487"/>
      <c r="T782" s="506">
        <v>43591</v>
      </c>
      <c r="U782" s="488"/>
      <c r="V782" s="482"/>
      <c r="W782" s="482"/>
      <c r="X782" s="17"/>
      <c r="Z782" s="17"/>
    </row>
    <row r="783" spans="1:26" ht="14.25" customHeight="1">
      <c r="A783" s="482" t="s">
        <v>2647</v>
      </c>
      <c r="B783" s="504" t="s">
        <v>319</v>
      </c>
      <c r="C783" s="503" t="s">
        <v>602</v>
      </c>
      <c r="D783" s="431" t="s">
        <v>1656</v>
      </c>
      <c r="E783" s="68">
        <v>198379</v>
      </c>
      <c r="F783" s="396"/>
      <c r="G783" s="68"/>
      <c r="H783" s="68"/>
      <c r="I783" s="68"/>
      <c r="J783" s="68" t="s">
        <v>794</v>
      </c>
      <c r="K783" s="484" t="s">
        <v>794</v>
      </c>
      <c r="L783" s="484" t="s">
        <v>794</v>
      </c>
      <c r="M783" s="68" t="s">
        <v>791</v>
      </c>
      <c r="N783" s="68">
        <v>20.79891014</v>
      </c>
      <c r="O783" s="396">
        <v>92.553680420000006</v>
      </c>
      <c r="P783" s="68" t="s">
        <v>795</v>
      </c>
      <c r="Q783" s="68" t="s">
        <v>776</v>
      </c>
      <c r="R783" s="486"/>
      <c r="S783" s="487"/>
      <c r="T783" s="101"/>
      <c r="U783" s="488"/>
      <c r="V783" s="68" t="s">
        <v>602</v>
      </c>
      <c r="W783" s="482"/>
      <c r="X783" s="17"/>
      <c r="Z783" s="17"/>
    </row>
    <row r="784" spans="1:26" ht="14.25" customHeight="1">
      <c r="A784" s="482" t="s">
        <v>2647</v>
      </c>
      <c r="B784" s="635" t="s">
        <v>319</v>
      </c>
      <c r="C784" s="637" t="s">
        <v>631</v>
      </c>
      <c r="D784" s="485" t="s">
        <v>1656</v>
      </c>
      <c r="E784" s="523">
        <v>198332</v>
      </c>
      <c r="F784" s="171"/>
      <c r="G784" s="171"/>
      <c r="H784" s="171"/>
      <c r="I784" s="171"/>
      <c r="J784" s="171" t="s">
        <v>794</v>
      </c>
      <c r="K784" s="171" t="s">
        <v>794</v>
      </c>
      <c r="L784" s="171" t="s">
        <v>794</v>
      </c>
      <c r="M784" s="171" t="s">
        <v>791</v>
      </c>
      <c r="N784" s="171">
        <v>20.833719250000001</v>
      </c>
      <c r="O784" s="171">
        <v>92.534461980000003</v>
      </c>
      <c r="P784" s="171" t="s">
        <v>795</v>
      </c>
      <c r="Q784" s="171" t="s">
        <v>776</v>
      </c>
      <c r="R784" s="172"/>
      <c r="S784" s="170"/>
      <c r="T784" s="173"/>
      <c r="U784" s="174"/>
      <c r="V784" s="171" t="s">
        <v>631</v>
      </c>
      <c r="W784" s="486"/>
      <c r="X784" s="17"/>
      <c r="Z784" s="17"/>
    </row>
    <row r="785" spans="1:26" ht="14.25" customHeight="1">
      <c r="A785" s="482" t="s">
        <v>2647</v>
      </c>
      <c r="B785" s="504" t="s">
        <v>319</v>
      </c>
      <c r="C785" s="503" t="s">
        <v>2526</v>
      </c>
      <c r="D785" s="431"/>
      <c r="E785" s="482">
        <v>198405</v>
      </c>
      <c r="F785" s="484" t="s">
        <v>2633</v>
      </c>
      <c r="G785" s="482"/>
      <c r="H785" s="482"/>
      <c r="I785" s="482"/>
      <c r="J785" s="68" t="s">
        <v>794</v>
      </c>
      <c r="K785" s="482" t="s">
        <v>794</v>
      </c>
      <c r="L785" s="482" t="s">
        <v>794</v>
      </c>
      <c r="M785" s="68" t="s">
        <v>791</v>
      </c>
      <c r="N785" s="482"/>
      <c r="O785" s="482"/>
      <c r="P785" s="482" t="s">
        <v>795</v>
      </c>
      <c r="Q785" s="482" t="s">
        <v>2627</v>
      </c>
      <c r="R785" s="490"/>
      <c r="S785" s="491"/>
      <c r="T785" s="506"/>
      <c r="U785" s="488"/>
      <c r="V785" s="482"/>
      <c r="W785" s="482"/>
      <c r="X785" s="17"/>
      <c r="Z785" s="17"/>
    </row>
    <row r="786" spans="1:26" ht="14.25" customHeight="1">
      <c r="A786" s="482" t="s">
        <v>2647</v>
      </c>
      <c r="B786" s="504" t="s">
        <v>319</v>
      </c>
      <c r="C786" s="503" t="s">
        <v>646</v>
      </c>
      <c r="D786" s="431" t="s">
        <v>1656</v>
      </c>
      <c r="E786" s="482">
        <v>217871</v>
      </c>
      <c r="F786" s="484"/>
      <c r="G786" s="482"/>
      <c r="H786" s="482"/>
      <c r="I786" s="482"/>
      <c r="J786" s="68" t="s">
        <v>794</v>
      </c>
      <c r="K786" s="482" t="s">
        <v>794</v>
      </c>
      <c r="L786" s="482" t="s">
        <v>794</v>
      </c>
      <c r="M786" s="482" t="s">
        <v>791</v>
      </c>
      <c r="N786" s="482">
        <v>20.887029649999999</v>
      </c>
      <c r="O786" s="482">
        <v>92.556823730000005</v>
      </c>
      <c r="P786" s="482" t="s">
        <v>795</v>
      </c>
      <c r="Q786" s="482" t="s">
        <v>776</v>
      </c>
      <c r="R786" s="490"/>
      <c r="S786" s="491"/>
      <c r="T786" s="506"/>
      <c r="U786" s="488"/>
      <c r="V786" s="482" t="s">
        <v>646</v>
      </c>
      <c r="W786" s="482"/>
      <c r="X786" s="17"/>
      <c r="Z786" s="17"/>
    </row>
    <row r="787" spans="1:26" ht="14.25" customHeight="1">
      <c r="A787" s="482" t="s">
        <v>2647</v>
      </c>
      <c r="B787" s="504" t="s">
        <v>319</v>
      </c>
      <c r="C787" s="503" t="s">
        <v>1899</v>
      </c>
      <c r="D787" s="431"/>
      <c r="E787" s="482">
        <v>198177</v>
      </c>
      <c r="F787" s="482"/>
      <c r="G787" s="482"/>
      <c r="H787" s="482"/>
      <c r="I787" s="482"/>
      <c r="J787" s="396" t="s">
        <v>794</v>
      </c>
      <c r="K787" s="482" t="s">
        <v>794</v>
      </c>
      <c r="L787" s="482" t="s">
        <v>794</v>
      </c>
      <c r="M787" s="482" t="s">
        <v>947</v>
      </c>
      <c r="N787" s="482">
        <v>20.93604088</v>
      </c>
      <c r="O787" s="482">
        <v>92.475830079999994</v>
      </c>
      <c r="P787" s="482" t="s">
        <v>795</v>
      </c>
      <c r="Q787" s="482" t="s">
        <v>1904</v>
      </c>
      <c r="R787" s="490"/>
      <c r="S787" s="491"/>
      <c r="T787" s="506">
        <v>43245</v>
      </c>
      <c r="U787" s="488"/>
      <c r="V787" s="482"/>
      <c r="W787" s="482"/>
      <c r="X787" s="17"/>
      <c r="Z787" s="17"/>
    </row>
    <row r="788" spans="1:26" ht="14.25" customHeight="1">
      <c r="A788" s="482" t="s">
        <v>2647</v>
      </c>
      <c r="B788" s="504" t="s">
        <v>319</v>
      </c>
      <c r="C788" s="503" t="s">
        <v>2978</v>
      </c>
      <c r="D788" s="431"/>
      <c r="E788" s="68">
        <v>198173</v>
      </c>
      <c r="F788" s="482"/>
      <c r="G788" s="68"/>
      <c r="H788" s="68"/>
      <c r="I788" s="68"/>
      <c r="J788" s="68" t="s">
        <v>794</v>
      </c>
      <c r="K788" s="482" t="s">
        <v>794</v>
      </c>
      <c r="L788" s="482" t="s">
        <v>794</v>
      </c>
      <c r="M788" s="68"/>
      <c r="N788" s="68">
        <v>20.938350677490199</v>
      </c>
      <c r="O788" s="484">
        <v>92.490928649902301</v>
      </c>
      <c r="P788" s="68" t="s">
        <v>795</v>
      </c>
      <c r="Q788" s="68" t="s">
        <v>2961</v>
      </c>
      <c r="R788" s="490"/>
      <c r="S788" s="491"/>
      <c r="T788" s="101">
        <v>43768</v>
      </c>
      <c r="U788" s="488"/>
      <c r="V788" s="396"/>
      <c r="W788" s="482"/>
      <c r="X788" s="17"/>
      <c r="Z788" s="17"/>
    </row>
    <row r="789" spans="1:26" ht="14.25" customHeight="1">
      <c r="A789" s="482" t="s">
        <v>2647</v>
      </c>
      <c r="B789" s="504" t="s">
        <v>319</v>
      </c>
      <c r="C789" s="503" t="s">
        <v>2545</v>
      </c>
      <c r="D789" s="431"/>
      <c r="E789" s="68"/>
      <c r="F789" s="484"/>
      <c r="G789" s="68"/>
      <c r="H789" s="68"/>
      <c r="I789" s="68"/>
      <c r="J789" s="68" t="s">
        <v>2652</v>
      </c>
      <c r="K789" s="482" t="s">
        <v>2622</v>
      </c>
      <c r="L789" s="482" t="s">
        <v>2622</v>
      </c>
      <c r="M789" s="68"/>
      <c r="N789" s="482"/>
      <c r="O789" s="482"/>
      <c r="P789" s="68"/>
      <c r="Q789" s="68"/>
      <c r="R789" s="490"/>
      <c r="S789" s="491"/>
      <c r="T789" s="101"/>
      <c r="U789" s="488"/>
      <c r="V789" s="396"/>
      <c r="W789" s="482"/>
      <c r="X789" s="17"/>
      <c r="Z789" s="17"/>
    </row>
    <row r="790" spans="1:26" ht="14.25" customHeight="1">
      <c r="A790" s="482" t="s">
        <v>2647</v>
      </c>
      <c r="B790" s="504" t="s">
        <v>319</v>
      </c>
      <c r="C790" s="515" t="s">
        <v>2988</v>
      </c>
      <c r="D790" s="485"/>
      <c r="E790" s="68">
        <v>198188</v>
      </c>
      <c r="F790" s="484"/>
      <c r="G790" s="68"/>
      <c r="H790" s="68"/>
      <c r="I790" s="68"/>
      <c r="J790" s="68" t="s">
        <v>794</v>
      </c>
      <c r="K790" s="482" t="s">
        <v>794</v>
      </c>
      <c r="L790" s="482" t="s">
        <v>794</v>
      </c>
      <c r="M790" s="68"/>
      <c r="N790" s="68">
        <v>21.004440307617202</v>
      </c>
      <c r="O790" s="68">
        <v>92.500228881835895</v>
      </c>
      <c r="P790" s="68" t="s">
        <v>795</v>
      </c>
      <c r="Q790" s="68" t="s">
        <v>2961</v>
      </c>
      <c r="R790" s="494"/>
      <c r="S790" s="487"/>
      <c r="T790" s="101">
        <v>43769</v>
      </c>
      <c r="U790" s="494"/>
      <c r="V790" s="396"/>
      <c r="W790" s="486"/>
      <c r="X790" s="17"/>
      <c r="Z790" s="17"/>
    </row>
    <row r="791" spans="1:26" ht="14.25" customHeight="1">
      <c r="A791" s="482" t="s">
        <v>2647</v>
      </c>
      <c r="B791" s="504" t="s">
        <v>319</v>
      </c>
      <c r="C791" s="503" t="s">
        <v>582</v>
      </c>
      <c r="D791" s="431" t="s">
        <v>1656</v>
      </c>
      <c r="E791" s="482">
        <v>198413</v>
      </c>
      <c r="F791" s="482"/>
      <c r="G791" s="482"/>
      <c r="H791" s="482"/>
      <c r="I791" s="482"/>
      <c r="J791" s="68" t="s">
        <v>794</v>
      </c>
      <c r="K791" s="482" t="s">
        <v>794</v>
      </c>
      <c r="L791" s="482" t="s">
        <v>794</v>
      </c>
      <c r="M791" s="68" t="s">
        <v>294</v>
      </c>
      <c r="N791" s="482">
        <v>20.756410599999999</v>
      </c>
      <c r="O791" s="482">
        <v>92.63580322</v>
      </c>
      <c r="P791" s="482" t="s">
        <v>795</v>
      </c>
      <c r="Q791" s="482" t="s">
        <v>776</v>
      </c>
      <c r="R791" s="490"/>
      <c r="S791" s="491"/>
      <c r="T791" s="506"/>
      <c r="U791" s="488"/>
      <c r="V791" s="482" t="s">
        <v>582</v>
      </c>
      <c r="W791" s="482"/>
      <c r="X791" s="17"/>
      <c r="Z791" s="17"/>
    </row>
    <row r="792" spans="1:26" ht="14.25" customHeight="1">
      <c r="A792" s="482" t="s">
        <v>2647</v>
      </c>
      <c r="B792" s="504" t="s">
        <v>319</v>
      </c>
      <c r="C792" s="503" t="s">
        <v>544</v>
      </c>
      <c r="D792" s="431" t="s">
        <v>1656</v>
      </c>
      <c r="E792" s="482">
        <v>198446</v>
      </c>
      <c r="F792" s="482"/>
      <c r="G792" s="482"/>
      <c r="H792" s="482"/>
      <c r="I792" s="482"/>
      <c r="J792" s="68" t="s">
        <v>794</v>
      </c>
      <c r="K792" s="482" t="s">
        <v>794</v>
      </c>
      <c r="L792" s="482" t="s">
        <v>794</v>
      </c>
      <c r="M792" s="482" t="s">
        <v>294</v>
      </c>
      <c r="N792" s="482">
        <v>20.691099170000001</v>
      </c>
      <c r="O792" s="482">
        <v>92.590652469999995</v>
      </c>
      <c r="P792" s="482" t="s">
        <v>795</v>
      </c>
      <c r="Q792" s="482" t="s">
        <v>776</v>
      </c>
      <c r="R792" s="490"/>
      <c r="S792" s="491"/>
      <c r="T792" s="506"/>
      <c r="U792" s="488"/>
      <c r="V792" s="482" t="s">
        <v>544</v>
      </c>
      <c r="W792" s="482"/>
      <c r="X792" s="17"/>
      <c r="Z792" s="17"/>
    </row>
    <row r="793" spans="1:26" ht="14.25" customHeight="1">
      <c r="A793" s="482" t="s">
        <v>2647</v>
      </c>
      <c r="B793" s="504" t="s">
        <v>319</v>
      </c>
      <c r="C793" s="503" t="s">
        <v>651</v>
      </c>
      <c r="D793" s="431" t="s">
        <v>1656</v>
      </c>
      <c r="E793" s="68">
        <v>198297</v>
      </c>
      <c r="F793" s="482"/>
      <c r="G793" s="68"/>
      <c r="H793" s="68"/>
      <c r="I793" s="68"/>
      <c r="J793" s="68" t="s">
        <v>794</v>
      </c>
      <c r="K793" s="482" t="s">
        <v>794</v>
      </c>
      <c r="L793" s="482" t="s">
        <v>794</v>
      </c>
      <c r="M793" s="68" t="s">
        <v>791</v>
      </c>
      <c r="N793" s="68">
        <v>20.89270973</v>
      </c>
      <c r="O793" s="482">
        <v>92.562187190000003</v>
      </c>
      <c r="P793" s="68" t="s">
        <v>795</v>
      </c>
      <c r="Q793" s="68" t="s">
        <v>776</v>
      </c>
      <c r="R793" s="490"/>
      <c r="S793" s="491"/>
      <c r="T793" s="101"/>
      <c r="U793" s="488"/>
      <c r="V793" s="68" t="s">
        <v>651</v>
      </c>
      <c r="W793" s="482"/>
      <c r="X793" s="17"/>
      <c r="Z793" s="17"/>
    </row>
    <row r="794" spans="1:26" ht="14.25" customHeight="1">
      <c r="A794" s="482" t="s">
        <v>2647</v>
      </c>
      <c r="B794" s="504" t="s">
        <v>319</v>
      </c>
      <c r="C794" s="503" t="s">
        <v>658</v>
      </c>
      <c r="D794" s="431" t="s">
        <v>1656</v>
      </c>
      <c r="E794" s="482">
        <v>198234</v>
      </c>
      <c r="F794" s="482"/>
      <c r="G794" s="482"/>
      <c r="H794" s="482"/>
      <c r="I794" s="482"/>
      <c r="J794" s="68" t="s">
        <v>794</v>
      </c>
      <c r="K794" s="482" t="s">
        <v>794</v>
      </c>
      <c r="L794" s="482" t="s">
        <v>794</v>
      </c>
      <c r="M794" s="68" t="s">
        <v>294</v>
      </c>
      <c r="N794" s="482">
        <v>20.926780699999998</v>
      </c>
      <c r="O794" s="482">
        <v>92.539916989999995</v>
      </c>
      <c r="P794" s="68" t="s">
        <v>795</v>
      </c>
      <c r="Q794" s="482" t="s">
        <v>798</v>
      </c>
      <c r="R794" s="490"/>
      <c r="S794" s="491"/>
      <c r="T794" s="506">
        <v>42926</v>
      </c>
      <c r="U794" s="488" t="s">
        <v>799</v>
      </c>
      <c r="V794" s="482"/>
      <c r="W794" s="482"/>
      <c r="X794" s="17"/>
      <c r="Z794" s="17"/>
    </row>
    <row r="795" spans="1:26" ht="14.25" customHeight="1">
      <c r="A795" s="482" t="s">
        <v>2647</v>
      </c>
      <c r="B795" s="504" t="s">
        <v>319</v>
      </c>
      <c r="C795" s="503" t="s">
        <v>644</v>
      </c>
      <c r="D795" s="431" t="s">
        <v>1656</v>
      </c>
      <c r="E795" s="482">
        <v>198302</v>
      </c>
      <c r="F795" s="482"/>
      <c r="G795" s="482"/>
      <c r="H795" s="482"/>
      <c r="I795" s="482"/>
      <c r="J795" s="68" t="s">
        <v>794</v>
      </c>
      <c r="K795" s="482" t="s">
        <v>794</v>
      </c>
      <c r="L795" s="482" t="s">
        <v>794</v>
      </c>
      <c r="M795" s="482" t="s">
        <v>791</v>
      </c>
      <c r="N795" s="482">
        <v>20.884159090000001</v>
      </c>
      <c r="O795" s="482">
        <v>92.551063540000001</v>
      </c>
      <c r="P795" s="482" t="s">
        <v>795</v>
      </c>
      <c r="Q795" s="482" t="s">
        <v>776</v>
      </c>
      <c r="R795" s="490"/>
      <c r="S795" s="491"/>
      <c r="T795" s="506"/>
      <c r="U795" s="488"/>
      <c r="V795" s="482" t="s">
        <v>644</v>
      </c>
      <c r="W795" s="482"/>
      <c r="X795" s="17"/>
      <c r="Z795" s="17"/>
    </row>
    <row r="796" spans="1:26" ht="14.25" customHeight="1">
      <c r="A796" s="482" t="s">
        <v>2647</v>
      </c>
      <c r="B796" s="504" t="s">
        <v>319</v>
      </c>
      <c r="C796" s="503" t="s">
        <v>521</v>
      </c>
      <c r="D796" s="431" t="s">
        <v>1656</v>
      </c>
      <c r="E796" s="482">
        <v>198449</v>
      </c>
      <c r="F796" s="482"/>
      <c r="G796" s="68"/>
      <c r="H796" s="68"/>
      <c r="I796" s="68"/>
      <c r="J796" s="68" t="s">
        <v>794</v>
      </c>
      <c r="K796" s="482" t="s">
        <v>794</v>
      </c>
      <c r="L796" s="482" t="s">
        <v>794</v>
      </c>
      <c r="M796" s="68" t="s">
        <v>791</v>
      </c>
      <c r="N796" s="482">
        <v>20.663370130000001</v>
      </c>
      <c r="O796" s="482">
        <v>92.613876340000004</v>
      </c>
      <c r="P796" s="482" t="s">
        <v>795</v>
      </c>
      <c r="Q796" s="68" t="s">
        <v>776</v>
      </c>
      <c r="R796" s="486"/>
      <c r="S796" s="487"/>
      <c r="T796" s="101"/>
      <c r="U796" s="488"/>
      <c r="V796" s="68" t="s">
        <v>918</v>
      </c>
      <c r="W796" s="482"/>
      <c r="X796" s="17"/>
      <c r="Z796" s="17"/>
    </row>
    <row r="797" spans="1:26" ht="14.25" customHeight="1">
      <c r="A797" s="482" t="s">
        <v>2647</v>
      </c>
      <c r="B797" s="504" t="s">
        <v>319</v>
      </c>
      <c r="C797" s="503" t="s">
        <v>2515</v>
      </c>
      <c r="D797" s="431"/>
      <c r="E797" s="482">
        <v>198351</v>
      </c>
      <c r="F797" s="482" t="s">
        <v>2514</v>
      </c>
      <c r="G797" s="482"/>
      <c r="H797" s="482"/>
      <c r="I797" s="482"/>
      <c r="J797" s="482" t="s">
        <v>794</v>
      </c>
      <c r="K797" s="482" t="s">
        <v>794</v>
      </c>
      <c r="L797" s="482" t="s">
        <v>794</v>
      </c>
      <c r="M797" s="482" t="s">
        <v>791</v>
      </c>
      <c r="N797" s="482"/>
      <c r="O797" s="482"/>
      <c r="P797" s="482" t="s">
        <v>795</v>
      </c>
      <c r="Q797" s="482" t="s">
        <v>2627</v>
      </c>
      <c r="R797" s="486"/>
      <c r="S797" s="487"/>
      <c r="T797" s="506"/>
      <c r="U797" s="488"/>
      <c r="V797" s="482"/>
      <c r="W797" s="482"/>
      <c r="X797" s="17"/>
      <c r="Z797" s="17"/>
    </row>
    <row r="798" spans="1:26" ht="14.25" customHeight="1">
      <c r="A798" s="482" t="s">
        <v>2647</v>
      </c>
      <c r="B798" s="504" t="s">
        <v>319</v>
      </c>
      <c r="C798" s="503" t="s">
        <v>574</v>
      </c>
      <c r="D798" s="431" t="s">
        <v>1656</v>
      </c>
      <c r="E798" s="482">
        <v>198400</v>
      </c>
      <c r="F798" s="482"/>
      <c r="G798" s="482"/>
      <c r="H798" s="482"/>
      <c r="I798" s="482"/>
      <c r="J798" s="482" t="s">
        <v>800</v>
      </c>
      <c r="K798" s="482" t="s">
        <v>794</v>
      </c>
      <c r="L798" s="482" t="s">
        <v>800</v>
      </c>
      <c r="M798" s="482" t="s">
        <v>791</v>
      </c>
      <c r="N798" s="482">
        <v>20.733280180000001</v>
      </c>
      <c r="O798" s="482">
        <v>92.601409910000001</v>
      </c>
      <c r="P798" s="482" t="s">
        <v>919</v>
      </c>
      <c r="Q798" s="482" t="s">
        <v>798</v>
      </c>
      <c r="R798" s="486"/>
      <c r="S798" s="487"/>
      <c r="T798" s="506">
        <v>42926</v>
      </c>
      <c r="U798" s="488" t="s">
        <v>929</v>
      </c>
      <c r="V798" s="482"/>
      <c r="W798" s="482"/>
      <c r="X798" s="17"/>
      <c r="Z798" s="17"/>
    </row>
    <row r="799" spans="1:26" ht="14.25" customHeight="1">
      <c r="A799" s="490" t="s">
        <v>2647</v>
      </c>
      <c r="B799" s="514" t="s">
        <v>319</v>
      </c>
      <c r="C799" s="515" t="s">
        <v>584</v>
      </c>
      <c r="D799" s="485" t="s">
        <v>1656</v>
      </c>
      <c r="E799" s="482">
        <v>198408</v>
      </c>
      <c r="F799" s="482"/>
      <c r="G799" s="482"/>
      <c r="H799" s="482"/>
      <c r="I799" s="482"/>
      <c r="J799" s="396" t="s">
        <v>794</v>
      </c>
      <c r="K799" s="484" t="s">
        <v>794</v>
      </c>
      <c r="L799" s="484" t="s">
        <v>794</v>
      </c>
      <c r="M799" s="396" t="s">
        <v>294</v>
      </c>
      <c r="N799" s="482">
        <v>20.76407051</v>
      </c>
      <c r="O799" s="482">
        <v>92.631126399999999</v>
      </c>
      <c r="P799" s="482" t="s">
        <v>795</v>
      </c>
      <c r="Q799" s="482" t="s">
        <v>776</v>
      </c>
      <c r="R799" s="494"/>
      <c r="S799" s="487"/>
      <c r="T799" s="506"/>
      <c r="U799" s="494"/>
      <c r="V799" s="482" t="s">
        <v>584</v>
      </c>
      <c r="W799" s="486"/>
      <c r="X799" s="17"/>
      <c r="Z799" s="17"/>
    </row>
    <row r="800" spans="1:26" ht="14.25" customHeight="1">
      <c r="A800" s="443" t="s">
        <v>2647</v>
      </c>
      <c r="B800" s="444" t="s">
        <v>319</v>
      </c>
      <c r="C800" s="451" t="s">
        <v>2721</v>
      </c>
      <c r="D800" s="485"/>
      <c r="E800" s="445">
        <v>198401</v>
      </c>
      <c r="F800" s="445"/>
      <c r="G800" s="445"/>
      <c r="H800" s="445"/>
      <c r="I800" s="445"/>
      <c r="J800" s="482" t="s">
        <v>2652</v>
      </c>
      <c r="K800" s="484" t="s">
        <v>2622</v>
      </c>
      <c r="L800" s="484" t="s">
        <v>2622</v>
      </c>
      <c r="M800" s="482"/>
      <c r="N800" s="445">
        <v>20.765670776367202</v>
      </c>
      <c r="O800" s="482">
        <v>92.577812194824205</v>
      </c>
      <c r="P800" s="68"/>
      <c r="Q800" s="445"/>
      <c r="R800" s="446"/>
      <c r="S800" s="443"/>
      <c r="T800" s="447">
        <v>43591</v>
      </c>
      <c r="U800" s="448"/>
      <c r="V800" s="482"/>
      <c r="W800" s="486"/>
      <c r="X800" s="17"/>
      <c r="Z800" s="17"/>
    </row>
    <row r="801" spans="1:26" ht="14.25" customHeight="1">
      <c r="A801" s="482" t="s">
        <v>2647</v>
      </c>
      <c r="B801" s="504" t="s">
        <v>319</v>
      </c>
      <c r="C801" s="503" t="s">
        <v>572</v>
      </c>
      <c r="D801" s="431"/>
      <c r="E801" s="482">
        <v>198418</v>
      </c>
      <c r="F801" s="482" t="s">
        <v>572</v>
      </c>
      <c r="G801" s="482"/>
      <c r="H801" s="482"/>
      <c r="I801" s="482"/>
      <c r="J801" s="482" t="s">
        <v>794</v>
      </c>
      <c r="K801" s="484" t="s">
        <v>794</v>
      </c>
      <c r="L801" s="484" t="s">
        <v>794</v>
      </c>
      <c r="M801" s="396" t="s">
        <v>294</v>
      </c>
      <c r="N801" s="396">
        <v>20.7264194488525</v>
      </c>
      <c r="O801" s="396">
        <v>92.671180730000003</v>
      </c>
      <c r="P801" s="482" t="s">
        <v>795</v>
      </c>
      <c r="Q801" s="482" t="s">
        <v>2627</v>
      </c>
      <c r="R801" s="486"/>
      <c r="S801" s="487"/>
      <c r="T801" s="506">
        <v>43580</v>
      </c>
      <c r="U801" s="488" t="s">
        <v>2672</v>
      </c>
      <c r="V801" s="396" t="s">
        <v>572</v>
      </c>
      <c r="W801" s="482"/>
      <c r="X801" s="17"/>
      <c r="Z801" s="17"/>
    </row>
    <row r="802" spans="1:26" ht="14.25" customHeight="1">
      <c r="A802" s="482" t="s">
        <v>2647</v>
      </c>
      <c r="B802" s="504" t="s">
        <v>319</v>
      </c>
      <c r="C802" s="503" t="s">
        <v>533</v>
      </c>
      <c r="D802" s="431" t="s">
        <v>1656</v>
      </c>
      <c r="E802" s="482">
        <v>217886</v>
      </c>
      <c r="F802" s="482"/>
      <c r="G802" s="482"/>
      <c r="H802" s="482"/>
      <c r="I802" s="482"/>
      <c r="J802" s="482" t="s">
        <v>794</v>
      </c>
      <c r="K802" s="484" t="s">
        <v>794</v>
      </c>
      <c r="L802" s="484" t="s">
        <v>794</v>
      </c>
      <c r="M802" s="482" t="s">
        <v>791</v>
      </c>
      <c r="N802" s="482">
        <v>20.678150179999999</v>
      </c>
      <c r="O802" s="482">
        <v>92.587867739999993</v>
      </c>
      <c r="P802" s="482" t="s">
        <v>795</v>
      </c>
      <c r="Q802" s="482" t="s">
        <v>776</v>
      </c>
      <c r="R802" s="486"/>
      <c r="S802" s="487"/>
      <c r="T802" s="506"/>
      <c r="U802" s="488"/>
      <c r="V802" s="482" t="s">
        <v>533</v>
      </c>
      <c r="W802" s="482"/>
      <c r="X802" s="17"/>
      <c r="Z802" s="17"/>
    </row>
    <row r="803" spans="1:26" ht="14.25" customHeight="1">
      <c r="A803" s="482" t="s">
        <v>2647</v>
      </c>
      <c r="B803" s="504" t="s">
        <v>319</v>
      </c>
      <c r="C803" s="503" t="s">
        <v>591</v>
      </c>
      <c r="D803" s="431" t="s">
        <v>1656</v>
      </c>
      <c r="E803" s="396">
        <v>198388</v>
      </c>
      <c r="F803" s="482"/>
      <c r="G803" s="396"/>
      <c r="H803" s="396"/>
      <c r="I803" s="396"/>
      <c r="J803" s="396" t="s">
        <v>794</v>
      </c>
      <c r="K803" s="484" t="s">
        <v>794</v>
      </c>
      <c r="L803" s="484" t="s">
        <v>794</v>
      </c>
      <c r="M803" s="396" t="s">
        <v>294</v>
      </c>
      <c r="N803" s="396">
        <v>20.782770159999998</v>
      </c>
      <c r="O803" s="396">
        <v>92.551826480000003</v>
      </c>
      <c r="P803" s="482" t="s">
        <v>795</v>
      </c>
      <c r="Q803" s="482" t="s">
        <v>798</v>
      </c>
      <c r="R803" s="486"/>
      <c r="S803" s="487"/>
      <c r="T803" s="506">
        <v>42926</v>
      </c>
      <c r="U803" s="488" t="s">
        <v>799</v>
      </c>
      <c r="V803" s="396"/>
      <c r="W803" s="482"/>
      <c r="X803" s="17"/>
      <c r="Z803" s="17"/>
    </row>
    <row r="804" spans="1:26" ht="14.25" customHeight="1">
      <c r="A804" s="396" t="s">
        <v>2647</v>
      </c>
      <c r="B804" s="504" t="s">
        <v>319</v>
      </c>
      <c r="C804" s="503" t="s">
        <v>2517</v>
      </c>
      <c r="D804" s="431"/>
      <c r="E804" s="482"/>
      <c r="F804" s="482" t="s">
        <v>2629</v>
      </c>
      <c r="G804" s="68"/>
      <c r="H804" s="68"/>
      <c r="I804" s="68"/>
      <c r="J804" s="68" t="s">
        <v>794</v>
      </c>
      <c r="K804" s="484" t="s">
        <v>794</v>
      </c>
      <c r="L804" s="484" t="s">
        <v>794</v>
      </c>
      <c r="M804" s="68" t="s">
        <v>791</v>
      </c>
      <c r="N804" s="68"/>
      <c r="O804" s="68"/>
      <c r="P804" s="68" t="s">
        <v>795</v>
      </c>
      <c r="Q804" s="482" t="s">
        <v>2627</v>
      </c>
      <c r="R804" s="486"/>
      <c r="S804" s="487"/>
      <c r="T804" s="506"/>
      <c r="U804" s="488"/>
      <c r="V804" s="68"/>
      <c r="W804" s="396"/>
      <c r="X804" s="17"/>
      <c r="Z804" s="17"/>
    </row>
    <row r="805" spans="1:26" ht="14.25" customHeight="1">
      <c r="A805" s="396" t="s">
        <v>2647</v>
      </c>
      <c r="B805" s="504" t="s">
        <v>319</v>
      </c>
      <c r="C805" s="503" t="s">
        <v>586</v>
      </c>
      <c r="D805" s="431" t="s">
        <v>1656</v>
      </c>
      <c r="E805" s="482">
        <v>198409</v>
      </c>
      <c r="F805" s="396" t="s">
        <v>2635</v>
      </c>
      <c r="G805" s="396"/>
      <c r="H805" s="396"/>
      <c r="I805" s="396"/>
      <c r="J805" s="68" t="s">
        <v>794</v>
      </c>
      <c r="K805" s="484" t="s">
        <v>794</v>
      </c>
      <c r="L805" s="484" t="s">
        <v>794</v>
      </c>
      <c r="M805" s="396" t="s">
        <v>294</v>
      </c>
      <c r="N805" s="396">
        <v>20.767719270000001</v>
      </c>
      <c r="O805" s="396">
        <v>92.631736759999995</v>
      </c>
      <c r="P805" s="68" t="s">
        <v>795</v>
      </c>
      <c r="Q805" s="396" t="s">
        <v>2627</v>
      </c>
      <c r="R805" s="486"/>
      <c r="S805" s="487"/>
      <c r="T805" s="506"/>
      <c r="U805" s="488"/>
      <c r="V805" s="396" t="s">
        <v>586</v>
      </c>
      <c r="W805" s="482"/>
      <c r="X805" s="17"/>
      <c r="Z805" s="17"/>
    </row>
    <row r="806" spans="1:26" ht="14.25" customHeight="1">
      <c r="A806" s="396" t="s">
        <v>2647</v>
      </c>
      <c r="B806" s="504" t="s">
        <v>319</v>
      </c>
      <c r="C806" s="503" t="s">
        <v>2782</v>
      </c>
      <c r="D806" s="431"/>
      <c r="E806" s="68">
        <v>198362</v>
      </c>
      <c r="F806" s="396"/>
      <c r="G806" s="68"/>
      <c r="H806" s="396"/>
      <c r="I806" s="68"/>
      <c r="J806" s="68" t="s">
        <v>2652</v>
      </c>
      <c r="K806" s="484" t="s">
        <v>2622</v>
      </c>
      <c r="L806" s="484" t="s">
        <v>2622</v>
      </c>
      <c r="M806" s="68"/>
      <c r="N806" s="68"/>
      <c r="O806" s="396"/>
      <c r="P806" s="482"/>
      <c r="Q806" s="396"/>
      <c r="R806" s="486"/>
      <c r="S806" s="487"/>
      <c r="T806" s="412"/>
      <c r="U806" s="488"/>
      <c r="V806" s="68"/>
      <c r="W806" s="482"/>
      <c r="X806" s="17"/>
      <c r="Z806" s="17"/>
    </row>
    <row r="807" spans="1:26" ht="14.25" customHeight="1">
      <c r="A807" s="482" t="s">
        <v>2647</v>
      </c>
      <c r="B807" s="504" t="s">
        <v>319</v>
      </c>
      <c r="C807" s="503" t="s">
        <v>655</v>
      </c>
      <c r="D807" s="431" t="s">
        <v>1656</v>
      </c>
      <c r="E807" s="482">
        <v>198318</v>
      </c>
      <c r="F807" s="482"/>
      <c r="G807" s="482"/>
      <c r="H807" s="482"/>
      <c r="I807" s="482"/>
      <c r="J807" s="482" t="s">
        <v>794</v>
      </c>
      <c r="K807" s="484" t="s">
        <v>794</v>
      </c>
      <c r="L807" s="484" t="s">
        <v>794</v>
      </c>
      <c r="M807" s="68" t="s">
        <v>791</v>
      </c>
      <c r="N807" s="68">
        <v>20.895900730000001</v>
      </c>
      <c r="O807" s="482">
        <v>92.497329710000002</v>
      </c>
      <c r="P807" s="68" t="s">
        <v>795</v>
      </c>
      <c r="Q807" s="482" t="s">
        <v>776</v>
      </c>
      <c r="R807" s="486"/>
      <c r="S807" s="487"/>
      <c r="T807" s="506"/>
      <c r="U807" s="488"/>
      <c r="V807" s="68" t="s">
        <v>655</v>
      </c>
      <c r="W807" s="482"/>
      <c r="X807" s="17"/>
      <c r="Z807" s="17"/>
    </row>
    <row r="808" spans="1:26" ht="14.25" customHeight="1">
      <c r="A808" s="482" t="s">
        <v>2647</v>
      </c>
      <c r="B808" s="504" t="s">
        <v>319</v>
      </c>
      <c r="C808" s="503" t="s">
        <v>2984</v>
      </c>
      <c r="D808" s="431"/>
      <c r="E808" s="482">
        <v>198168</v>
      </c>
      <c r="F808" s="482"/>
      <c r="G808" s="482"/>
      <c r="H808" s="482"/>
      <c r="I808" s="482"/>
      <c r="J808" s="396" t="s">
        <v>794</v>
      </c>
      <c r="K808" s="484" t="s">
        <v>794</v>
      </c>
      <c r="L808" s="484" t="s">
        <v>794</v>
      </c>
      <c r="M808" s="482" t="s">
        <v>2987</v>
      </c>
      <c r="N808" s="482">
        <v>20.897079467773398</v>
      </c>
      <c r="O808" s="484">
        <v>92.469520568847699</v>
      </c>
      <c r="P808" s="396" t="s">
        <v>795</v>
      </c>
      <c r="Q808" s="482" t="s">
        <v>2961</v>
      </c>
      <c r="R808" s="486"/>
      <c r="S808" s="487"/>
      <c r="T808" s="506">
        <v>43768</v>
      </c>
      <c r="U808" s="488"/>
      <c r="V808" s="482"/>
      <c r="W808" s="482"/>
      <c r="X808" s="17"/>
      <c r="Z808" s="17"/>
    </row>
    <row r="809" spans="1:26" ht="14.25" customHeight="1">
      <c r="A809" s="482" t="s">
        <v>2647</v>
      </c>
      <c r="B809" s="504" t="s">
        <v>319</v>
      </c>
      <c r="C809" s="503" t="s">
        <v>2983</v>
      </c>
      <c r="D809" s="431"/>
      <c r="E809" s="482">
        <v>198168</v>
      </c>
      <c r="F809" s="484"/>
      <c r="G809" s="482"/>
      <c r="H809" s="482"/>
      <c r="I809" s="482"/>
      <c r="J809" s="68" t="s">
        <v>794</v>
      </c>
      <c r="K809" s="484" t="s">
        <v>794</v>
      </c>
      <c r="L809" s="484" t="s">
        <v>794</v>
      </c>
      <c r="M809" s="482" t="s">
        <v>791</v>
      </c>
      <c r="N809" s="482">
        <v>20.897079467773398</v>
      </c>
      <c r="O809" s="482">
        <v>92.469520568847699</v>
      </c>
      <c r="P809" s="482" t="s">
        <v>795</v>
      </c>
      <c r="Q809" s="482" t="s">
        <v>2961</v>
      </c>
      <c r="R809" s="486"/>
      <c r="S809" s="487"/>
      <c r="T809" s="506">
        <v>43768</v>
      </c>
      <c r="U809" s="488"/>
      <c r="V809" s="482"/>
      <c r="W809" s="482"/>
      <c r="X809" s="17"/>
      <c r="Z809" s="17"/>
    </row>
    <row r="810" spans="1:26" ht="14.25" customHeight="1">
      <c r="A810" s="482" t="s">
        <v>2647</v>
      </c>
      <c r="B810" s="504" t="s">
        <v>319</v>
      </c>
      <c r="C810" s="503" t="s">
        <v>641</v>
      </c>
      <c r="D810" s="431" t="s">
        <v>1656</v>
      </c>
      <c r="E810" s="482">
        <v>198299</v>
      </c>
      <c r="F810" s="484"/>
      <c r="G810" s="482"/>
      <c r="H810" s="482"/>
      <c r="I810" s="482"/>
      <c r="J810" s="482" t="s">
        <v>794</v>
      </c>
      <c r="K810" s="484" t="s">
        <v>794</v>
      </c>
      <c r="L810" s="484" t="s">
        <v>794</v>
      </c>
      <c r="M810" s="68" t="s">
        <v>791</v>
      </c>
      <c r="N810" s="68">
        <v>20.88254929</v>
      </c>
      <c r="O810" s="68">
        <v>92.551338200000004</v>
      </c>
      <c r="P810" s="482" t="s">
        <v>795</v>
      </c>
      <c r="Q810" s="482" t="s">
        <v>776</v>
      </c>
      <c r="R810" s="486"/>
      <c r="S810" s="487"/>
      <c r="T810" s="506"/>
      <c r="U810" s="488"/>
      <c r="V810" s="68" t="s">
        <v>941</v>
      </c>
      <c r="W810" s="482"/>
      <c r="X810" s="17"/>
      <c r="Z810" s="17"/>
    </row>
    <row r="811" spans="1:26" ht="14.25" customHeight="1">
      <c r="A811" s="396" t="s">
        <v>2647</v>
      </c>
      <c r="B811" s="504" t="s">
        <v>319</v>
      </c>
      <c r="C811" s="503" t="s">
        <v>522</v>
      </c>
      <c r="D811" s="431" t="s">
        <v>1656</v>
      </c>
      <c r="E811" s="396">
        <v>198451</v>
      </c>
      <c r="F811" s="396"/>
      <c r="G811" s="396"/>
      <c r="H811" s="396"/>
      <c r="I811" s="396"/>
      <c r="J811" s="396" t="s">
        <v>794</v>
      </c>
      <c r="K811" s="484" t="s">
        <v>794</v>
      </c>
      <c r="L811" s="484" t="s">
        <v>794</v>
      </c>
      <c r="M811" s="396" t="s">
        <v>791</v>
      </c>
      <c r="N811" s="396">
        <v>20.663879390000002</v>
      </c>
      <c r="O811" s="396">
        <v>92.609306340000003</v>
      </c>
      <c r="P811" s="482" t="s">
        <v>795</v>
      </c>
      <c r="Q811" s="396" t="s">
        <v>776</v>
      </c>
      <c r="R811" s="486"/>
      <c r="S811" s="487"/>
      <c r="T811" s="412"/>
      <c r="U811" s="488"/>
      <c r="V811" s="396" t="s">
        <v>522</v>
      </c>
      <c r="W811" s="482"/>
      <c r="X811" s="17"/>
      <c r="Z811" s="17"/>
    </row>
    <row r="812" spans="1:26" ht="14.25" customHeight="1">
      <c r="A812" s="396" t="s">
        <v>2647</v>
      </c>
      <c r="B812" s="504" t="s">
        <v>319</v>
      </c>
      <c r="C812" s="503" t="s">
        <v>524</v>
      </c>
      <c r="D812" s="431" t="s">
        <v>1656</v>
      </c>
      <c r="E812" s="482">
        <v>198452</v>
      </c>
      <c r="F812" s="482"/>
      <c r="G812" s="68"/>
      <c r="H812" s="68"/>
      <c r="I812" s="68"/>
      <c r="J812" s="68" t="s">
        <v>794</v>
      </c>
      <c r="K812" s="484" t="s">
        <v>794</v>
      </c>
      <c r="L812" s="484" t="s">
        <v>794</v>
      </c>
      <c r="M812" s="68" t="s">
        <v>294</v>
      </c>
      <c r="N812" s="68">
        <v>20.667749400000002</v>
      </c>
      <c r="O812" s="68">
        <v>92.608650209999993</v>
      </c>
      <c r="P812" s="68" t="s">
        <v>795</v>
      </c>
      <c r="Q812" s="68" t="s">
        <v>776</v>
      </c>
      <c r="R812" s="486"/>
      <c r="S812" s="487"/>
      <c r="T812" s="101"/>
      <c r="U812" s="97"/>
      <c r="V812" s="68" t="s">
        <v>524</v>
      </c>
      <c r="W812" s="396"/>
      <c r="X812" s="17"/>
      <c r="Z812" s="17"/>
    </row>
    <row r="813" spans="1:26" ht="14.25" customHeight="1">
      <c r="A813" s="396" t="s">
        <v>2647</v>
      </c>
      <c r="B813" s="504" t="s">
        <v>319</v>
      </c>
      <c r="C813" s="503" t="s">
        <v>598</v>
      </c>
      <c r="D813" s="431" t="s">
        <v>1656</v>
      </c>
      <c r="E813" s="482">
        <v>198380</v>
      </c>
      <c r="F813" s="482"/>
      <c r="G813" s="68"/>
      <c r="H813" s="68"/>
      <c r="I813" s="396"/>
      <c r="J813" s="68" t="s">
        <v>794</v>
      </c>
      <c r="K813" s="484" t="s">
        <v>794</v>
      </c>
      <c r="L813" s="484" t="s">
        <v>794</v>
      </c>
      <c r="M813" s="68" t="s">
        <v>791</v>
      </c>
      <c r="N813" s="68">
        <v>20.787410739999999</v>
      </c>
      <c r="O813" s="484">
        <v>92.55155182</v>
      </c>
      <c r="P813" s="482" t="s">
        <v>795</v>
      </c>
      <c r="Q813" s="482" t="s">
        <v>776</v>
      </c>
      <c r="R813" s="486"/>
      <c r="S813" s="487"/>
      <c r="T813" s="506"/>
      <c r="U813" s="97"/>
      <c r="V813" s="68" t="s">
        <v>598</v>
      </c>
      <c r="W813" s="396"/>
      <c r="X813" s="17"/>
      <c r="Z813" s="17"/>
    </row>
    <row r="814" spans="1:26" ht="14.25" customHeight="1">
      <c r="A814" s="487" t="s">
        <v>2647</v>
      </c>
      <c r="B814" s="514" t="s">
        <v>319</v>
      </c>
      <c r="C814" s="515" t="s">
        <v>600</v>
      </c>
      <c r="D814" s="485" t="s">
        <v>1656</v>
      </c>
      <c r="E814" s="396">
        <v>198378</v>
      </c>
      <c r="F814" s="484"/>
      <c r="G814" s="396"/>
      <c r="H814" s="396"/>
      <c r="I814" s="396"/>
      <c r="J814" s="396" t="s">
        <v>794</v>
      </c>
      <c r="K814" s="484" t="s">
        <v>794</v>
      </c>
      <c r="L814" s="484" t="s">
        <v>794</v>
      </c>
      <c r="M814" s="396" t="s">
        <v>791</v>
      </c>
      <c r="N814" s="396">
        <v>20.791679380000001</v>
      </c>
      <c r="O814" s="396">
        <v>92.550903320000003</v>
      </c>
      <c r="P814" s="482" t="s">
        <v>795</v>
      </c>
      <c r="Q814" s="482" t="s">
        <v>776</v>
      </c>
      <c r="R814" s="494"/>
      <c r="S814" s="487"/>
      <c r="T814" s="506"/>
      <c r="U814" s="494"/>
      <c r="V814" s="396" t="s">
        <v>600</v>
      </c>
      <c r="W814" s="486"/>
      <c r="X814" s="17"/>
      <c r="Z814" s="17"/>
    </row>
    <row r="815" spans="1:26" ht="14.25" customHeight="1">
      <c r="A815" s="482" t="s">
        <v>2647</v>
      </c>
      <c r="B815" s="504" t="s">
        <v>319</v>
      </c>
      <c r="C815" s="503" t="s">
        <v>2808</v>
      </c>
      <c r="D815" s="431"/>
      <c r="E815" s="482">
        <v>198407</v>
      </c>
      <c r="F815" s="484"/>
      <c r="G815" s="482"/>
      <c r="H815" s="482"/>
      <c r="I815" s="482"/>
      <c r="J815" s="482" t="s">
        <v>794</v>
      </c>
      <c r="K815" s="484" t="s">
        <v>794</v>
      </c>
      <c r="L815" s="484" t="s">
        <v>794</v>
      </c>
      <c r="M815" s="482" t="s">
        <v>791</v>
      </c>
      <c r="N815" s="482">
        <v>20.775840759277301</v>
      </c>
      <c r="O815" s="482">
        <v>92.613082885742202</v>
      </c>
      <c r="P815" s="482" t="s">
        <v>795</v>
      </c>
      <c r="Q815" s="482"/>
      <c r="R815" s="486"/>
      <c r="S815" s="487"/>
      <c r="T815" s="506"/>
      <c r="U815" s="488"/>
      <c r="V815" s="482" t="s">
        <v>589</v>
      </c>
      <c r="W815" s="482"/>
      <c r="X815" s="17"/>
      <c r="Z815" s="17"/>
    </row>
    <row r="816" spans="1:26" ht="14.25" customHeight="1">
      <c r="A816" s="482" t="s">
        <v>2647</v>
      </c>
      <c r="B816" s="504" t="s">
        <v>319</v>
      </c>
      <c r="C816" s="503" t="s">
        <v>2519</v>
      </c>
      <c r="D816" s="431"/>
      <c r="E816" s="68">
        <v>198337</v>
      </c>
      <c r="F816" s="68" t="s">
        <v>609</v>
      </c>
      <c r="G816" s="68"/>
      <c r="H816" s="68"/>
      <c r="I816" s="68"/>
      <c r="J816" s="68" t="s">
        <v>794</v>
      </c>
      <c r="K816" s="482" t="s">
        <v>794</v>
      </c>
      <c r="L816" s="482" t="s">
        <v>794</v>
      </c>
      <c r="M816" s="68" t="s">
        <v>294</v>
      </c>
      <c r="N816" s="482"/>
      <c r="O816" s="484"/>
      <c r="P816" s="482" t="s">
        <v>795</v>
      </c>
      <c r="Q816" s="68" t="s">
        <v>2627</v>
      </c>
      <c r="R816" s="486"/>
      <c r="S816" s="487"/>
      <c r="T816" s="101"/>
      <c r="U816" s="488"/>
      <c r="V816" s="68"/>
      <c r="W816" s="482"/>
      <c r="X816" s="17"/>
      <c r="Z816" s="17"/>
    </row>
    <row r="817" spans="1:26" ht="14.25" customHeight="1">
      <c r="A817" s="396" t="s">
        <v>2647</v>
      </c>
      <c r="B817" s="504" t="s">
        <v>319</v>
      </c>
      <c r="C817" s="503" t="s">
        <v>2986</v>
      </c>
      <c r="D817" s="431"/>
      <c r="E817" s="68">
        <v>198377</v>
      </c>
      <c r="F817" s="484"/>
      <c r="G817" s="68"/>
      <c r="H817" s="68"/>
      <c r="I817" s="68"/>
      <c r="J817" s="68" t="s">
        <v>794</v>
      </c>
      <c r="K817" s="482" t="s">
        <v>794</v>
      </c>
      <c r="L817" s="482" t="s">
        <v>794</v>
      </c>
      <c r="M817" s="68" t="s">
        <v>294</v>
      </c>
      <c r="N817" s="482">
        <v>20.7940998077393</v>
      </c>
      <c r="O817" s="482">
        <v>92.5543212890625</v>
      </c>
      <c r="P817" s="482" t="s">
        <v>795</v>
      </c>
      <c r="Q817" s="68" t="s">
        <v>2961</v>
      </c>
      <c r="R817" s="490"/>
      <c r="S817" s="491"/>
      <c r="T817" s="101">
        <v>43768</v>
      </c>
      <c r="U817" s="97"/>
      <c r="V817" s="68"/>
      <c r="W817" s="396"/>
      <c r="X817" s="17"/>
      <c r="Z817" s="17"/>
    </row>
    <row r="818" spans="1:26" ht="14.25" customHeight="1">
      <c r="A818" s="482" t="s">
        <v>2647</v>
      </c>
      <c r="B818" s="504" t="s">
        <v>319</v>
      </c>
      <c r="C818" s="503" t="s">
        <v>553</v>
      </c>
      <c r="D818" s="431" t="s">
        <v>1656</v>
      </c>
      <c r="E818" s="482">
        <v>198423</v>
      </c>
      <c r="F818" s="484"/>
      <c r="G818" s="482"/>
      <c r="H818" s="482"/>
      <c r="I818" s="482"/>
      <c r="J818" s="68" t="s">
        <v>794</v>
      </c>
      <c r="K818" s="482" t="s">
        <v>794</v>
      </c>
      <c r="L818" s="482" t="s">
        <v>794</v>
      </c>
      <c r="M818" s="482" t="s">
        <v>294</v>
      </c>
      <c r="N818" s="482">
        <v>20.707460399999999</v>
      </c>
      <c r="O818" s="482">
        <v>92.680862430000005</v>
      </c>
      <c r="P818" s="68" t="s">
        <v>795</v>
      </c>
      <c r="Q818" s="482" t="s">
        <v>776</v>
      </c>
      <c r="R818" s="486"/>
      <c r="S818" s="487"/>
      <c r="T818" s="506"/>
      <c r="U818" s="488"/>
      <c r="V818" s="482" t="s">
        <v>553</v>
      </c>
      <c r="W818" s="482"/>
      <c r="X818" s="17"/>
      <c r="Z818" s="17"/>
    </row>
    <row r="819" spans="1:26" ht="14.25" customHeight="1">
      <c r="A819" s="482" t="s">
        <v>2647</v>
      </c>
      <c r="B819" s="504" t="s">
        <v>319</v>
      </c>
      <c r="C819" s="503" t="s">
        <v>2518</v>
      </c>
      <c r="D819" s="431"/>
      <c r="E819" s="482">
        <v>198363</v>
      </c>
      <c r="F819" s="482" t="s">
        <v>2629</v>
      </c>
      <c r="G819" s="482"/>
      <c r="H819" s="482"/>
      <c r="I819" s="482"/>
      <c r="J819" s="68" t="s">
        <v>794</v>
      </c>
      <c r="K819" s="482" t="s">
        <v>794</v>
      </c>
      <c r="L819" s="482" t="s">
        <v>794</v>
      </c>
      <c r="M819" s="68" t="s">
        <v>294</v>
      </c>
      <c r="N819" s="482"/>
      <c r="O819" s="482"/>
      <c r="P819" s="68" t="s">
        <v>795</v>
      </c>
      <c r="Q819" s="482" t="s">
        <v>2627</v>
      </c>
      <c r="R819" s="486"/>
      <c r="S819" s="487"/>
      <c r="T819" s="506"/>
      <c r="U819" s="488"/>
      <c r="V819" s="482"/>
      <c r="W819" s="482"/>
      <c r="X819" s="17"/>
      <c r="Z819" s="17"/>
    </row>
    <row r="820" spans="1:26" ht="14.25" customHeight="1">
      <c r="A820" s="482" t="s">
        <v>2647</v>
      </c>
      <c r="B820" s="504" t="s">
        <v>319</v>
      </c>
      <c r="C820" s="503" t="s">
        <v>583</v>
      </c>
      <c r="D820" s="431" t="s">
        <v>1656</v>
      </c>
      <c r="E820" s="482">
        <v>198391</v>
      </c>
      <c r="F820" s="482"/>
      <c r="G820" s="482"/>
      <c r="H820" s="482"/>
      <c r="I820" s="482"/>
      <c r="J820" s="68" t="s">
        <v>794</v>
      </c>
      <c r="K820" s="482" t="s">
        <v>794</v>
      </c>
      <c r="L820" s="482" t="s">
        <v>794</v>
      </c>
      <c r="M820" s="482" t="s">
        <v>791</v>
      </c>
      <c r="N820" s="482">
        <v>20.761529920000001</v>
      </c>
      <c r="O820" s="484">
        <v>92.544082639999999</v>
      </c>
      <c r="P820" s="482" t="s">
        <v>795</v>
      </c>
      <c r="Q820" s="482" t="s">
        <v>776</v>
      </c>
      <c r="R820" s="486"/>
      <c r="S820" s="487"/>
      <c r="T820" s="506"/>
      <c r="U820" s="488"/>
      <c r="V820" s="482" t="s">
        <v>583</v>
      </c>
      <c r="W820" s="482"/>
      <c r="X820" s="17"/>
      <c r="Z820" s="17"/>
    </row>
    <row r="821" spans="1:26" ht="14.25" customHeight="1">
      <c r="A821" s="482" t="s">
        <v>2647</v>
      </c>
      <c r="B821" s="504" t="s">
        <v>319</v>
      </c>
      <c r="C821" s="503" t="s">
        <v>542</v>
      </c>
      <c r="D821" s="431" t="s">
        <v>1656</v>
      </c>
      <c r="E821" s="68">
        <v>198421</v>
      </c>
      <c r="F821" s="484"/>
      <c r="G821" s="68"/>
      <c r="H821" s="68"/>
      <c r="I821" s="68"/>
      <c r="J821" s="68" t="s">
        <v>794</v>
      </c>
      <c r="K821" s="482" t="s">
        <v>794</v>
      </c>
      <c r="L821" s="482" t="s">
        <v>794</v>
      </c>
      <c r="M821" s="68" t="s">
        <v>294</v>
      </c>
      <c r="N821" s="68">
        <v>20.688310619999999</v>
      </c>
      <c r="O821" s="484">
        <v>92.696960450000006</v>
      </c>
      <c r="P821" s="68" t="s">
        <v>795</v>
      </c>
      <c r="Q821" s="68" t="s">
        <v>776</v>
      </c>
      <c r="R821" s="486"/>
      <c r="S821" s="487"/>
      <c r="T821" s="101"/>
      <c r="U821" s="488"/>
      <c r="V821" s="68" t="s">
        <v>542</v>
      </c>
      <c r="W821" s="482"/>
      <c r="X821" s="17"/>
      <c r="Z821" s="17"/>
    </row>
    <row r="822" spans="1:26" ht="14.25" customHeight="1">
      <c r="A822" s="482" t="s">
        <v>2647</v>
      </c>
      <c r="B822" s="504" t="s">
        <v>319</v>
      </c>
      <c r="C822" s="503" t="s">
        <v>2528</v>
      </c>
      <c r="D822" s="431" t="s">
        <v>1656</v>
      </c>
      <c r="E822" s="482">
        <v>198300</v>
      </c>
      <c r="F822" s="484" t="s">
        <v>2634</v>
      </c>
      <c r="G822" s="68"/>
      <c r="H822" s="68"/>
      <c r="I822" s="68"/>
      <c r="J822" s="68" t="s">
        <v>794</v>
      </c>
      <c r="K822" s="482" t="s">
        <v>794</v>
      </c>
      <c r="L822" s="482" t="s">
        <v>794</v>
      </c>
      <c r="M822" s="68" t="s">
        <v>294</v>
      </c>
      <c r="N822" s="482">
        <v>20.887420649999999</v>
      </c>
      <c r="O822" s="482">
        <v>92.545410160000003</v>
      </c>
      <c r="P822" s="68" t="s">
        <v>795</v>
      </c>
      <c r="Q822" s="68" t="s">
        <v>776</v>
      </c>
      <c r="R822" s="486"/>
      <c r="S822" s="487"/>
      <c r="T822" s="101"/>
      <c r="U822" s="488"/>
      <c r="V822" s="68" t="s">
        <v>943</v>
      </c>
      <c r="W822" s="482"/>
      <c r="X822" s="17"/>
      <c r="Z822" s="17"/>
    </row>
    <row r="823" spans="1:26" ht="14.25" customHeight="1">
      <c r="A823" s="482" t="s">
        <v>2647</v>
      </c>
      <c r="B823" s="635" t="s">
        <v>319</v>
      </c>
      <c r="C823" s="637" t="s">
        <v>2524</v>
      </c>
      <c r="D823" s="485"/>
      <c r="E823" s="171">
        <v>198434</v>
      </c>
      <c r="F823" s="639" t="s">
        <v>2632</v>
      </c>
      <c r="G823" s="171"/>
      <c r="H823" s="171"/>
      <c r="I823" s="171"/>
      <c r="J823" s="171" t="s">
        <v>794</v>
      </c>
      <c r="K823" s="171" t="s">
        <v>794</v>
      </c>
      <c r="L823" s="171" t="s">
        <v>794</v>
      </c>
      <c r="M823" s="171" t="s">
        <v>791</v>
      </c>
      <c r="N823" s="171"/>
      <c r="O823" s="171"/>
      <c r="P823" s="68" t="s">
        <v>795</v>
      </c>
      <c r="Q823" s="171" t="s">
        <v>2627</v>
      </c>
      <c r="R823" s="172"/>
      <c r="S823" s="170"/>
      <c r="T823" s="173"/>
      <c r="U823" s="174"/>
      <c r="V823" s="171"/>
      <c r="W823" s="486"/>
      <c r="X823" s="17"/>
      <c r="Z823" s="17"/>
    </row>
    <row r="824" spans="1:26" ht="14.25" customHeight="1">
      <c r="A824" s="490" t="s">
        <v>2647</v>
      </c>
      <c r="B824" s="514" t="s">
        <v>319</v>
      </c>
      <c r="C824" s="515" t="s">
        <v>2525</v>
      </c>
      <c r="D824" s="485"/>
      <c r="E824" s="489">
        <v>198433</v>
      </c>
      <c r="F824" s="482" t="s">
        <v>2632</v>
      </c>
      <c r="G824" s="396"/>
      <c r="H824" s="396"/>
      <c r="I824" s="396"/>
      <c r="J824" s="396" t="s">
        <v>794</v>
      </c>
      <c r="K824" s="482" t="s">
        <v>794</v>
      </c>
      <c r="L824" s="482" t="s">
        <v>794</v>
      </c>
      <c r="M824" s="396" t="s">
        <v>294</v>
      </c>
      <c r="N824" s="482"/>
      <c r="O824" s="482"/>
      <c r="P824" s="396" t="s">
        <v>795</v>
      </c>
      <c r="Q824" s="396" t="s">
        <v>2627</v>
      </c>
      <c r="R824" s="494"/>
      <c r="S824" s="487"/>
      <c r="T824" s="412"/>
      <c r="U824" s="494"/>
      <c r="V824" s="396"/>
      <c r="W824" s="486"/>
      <c r="X824" s="17"/>
      <c r="Z824" s="17"/>
    </row>
    <row r="825" spans="1:26" ht="14.25" customHeight="1">
      <c r="A825" s="396" t="s">
        <v>2647</v>
      </c>
      <c r="B825" s="504" t="s">
        <v>319</v>
      </c>
      <c r="C825" s="451" t="s">
        <v>2722</v>
      </c>
      <c r="D825" s="431"/>
      <c r="E825" s="482"/>
      <c r="F825" s="445"/>
      <c r="G825" s="68"/>
      <c r="H825" s="68"/>
      <c r="I825" s="68"/>
      <c r="J825" s="68" t="s">
        <v>2652</v>
      </c>
      <c r="K825" s="482" t="s">
        <v>2622</v>
      </c>
      <c r="L825" s="482" t="s">
        <v>2622</v>
      </c>
      <c r="M825" s="68"/>
      <c r="N825" s="482"/>
      <c r="O825" s="482"/>
      <c r="P825" s="68"/>
      <c r="Q825" s="68"/>
      <c r="R825" s="486"/>
      <c r="S825" s="487"/>
      <c r="T825" s="447">
        <v>43591</v>
      </c>
      <c r="U825" s="448"/>
      <c r="V825" s="68"/>
      <c r="W825" s="396"/>
      <c r="X825" s="17"/>
      <c r="Z825" s="17"/>
    </row>
    <row r="826" spans="1:26" ht="14.25" customHeight="1">
      <c r="A826" s="396" t="s">
        <v>2647</v>
      </c>
      <c r="B826" s="504" t="s">
        <v>319</v>
      </c>
      <c r="C826" s="515" t="s">
        <v>2673</v>
      </c>
      <c r="D826" s="485" t="s">
        <v>1656</v>
      </c>
      <c r="E826" s="482">
        <v>198398</v>
      </c>
      <c r="F826" s="482" t="s">
        <v>2674</v>
      </c>
      <c r="G826" s="396"/>
      <c r="H826" s="396"/>
      <c r="I826" s="396"/>
      <c r="J826" s="396" t="s">
        <v>875</v>
      </c>
      <c r="K826" s="482" t="s">
        <v>875</v>
      </c>
      <c r="L826" s="482" t="s">
        <v>875</v>
      </c>
      <c r="M826" s="396" t="s">
        <v>791</v>
      </c>
      <c r="N826" s="396">
        <v>20.741249079999999</v>
      </c>
      <c r="O826" s="396">
        <v>92.610519409999995</v>
      </c>
      <c r="P826" s="68" t="s">
        <v>795</v>
      </c>
      <c r="Q826" s="396" t="s">
        <v>776</v>
      </c>
      <c r="R826" s="494"/>
      <c r="S826" s="487"/>
      <c r="T826" s="506">
        <v>43580</v>
      </c>
      <c r="U826" s="525" t="s">
        <v>2672</v>
      </c>
      <c r="V826" s="396" t="s">
        <v>577</v>
      </c>
      <c r="W826" s="486"/>
      <c r="X826" s="17"/>
      <c r="Z826" s="17"/>
    </row>
    <row r="827" spans="1:26" ht="14.25" customHeight="1">
      <c r="A827" s="396" t="s">
        <v>2647</v>
      </c>
      <c r="B827" s="504" t="s">
        <v>319</v>
      </c>
      <c r="C827" s="503" t="s">
        <v>576</v>
      </c>
      <c r="D827" s="431" t="s">
        <v>1656</v>
      </c>
      <c r="E827" s="482">
        <v>198399</v>
      </c>
      <c r="F827" s="482"/>
      <c r="G827" s="68"/>
      <c r="H827" s="396"/>
      <c r="I827" s="396"/>
      <c r="J827" s="396" t="s">
        <v>794</v>
      </c>
      <c r="K827" s="482" t="s">
        <v>794</v>
      </c>
      <c r="L827" s="482" t="s">
        <v>794</v>
      </c>
      <c r="M827" s="396" t="s">
        <v>294</v>
      </c>
      <c r="N827" s="482">
        <v>20.739839549999999</v>
      </c>
      <c r="O827" s="482">
        <v>92.613456729999996</v>
      </c>
      <c r="P827" s="68" t="s">
        <v>795</v>
      </c>
      <c r="Q827" s="396" t="s">
        <v>776</v>
      </c>
      <c r="R827" s="486"/>
      <c r="S827" s="487"/>
      <c r="T827" s="506"/>
      <c r="U827" s="401"/>
      <c r="V827" s="68" t="s">
        <v>576</v>
      </c>
      <c r="W827" s="396"/>
      <c r="X827" s="17"/>
      <c r="Z827" s="17"/>
    </row>
    <row r="828" spans="1:26" ht="14.25" customHeight="1">
      <c r="A828" s="396" t="s">
        <v>2647</v>
      </c>
      <c r="B828" s="504" t="s">
        <v>319</v>
      </c>
      <c r="C828" s="503" t="s">
        <v>525</v>
      </c>
      <c r="D828" s="431" t="s">
        <v>1656</v>
      </c>
      <c r="E828" s="68">
        <v>198448</v>
      </c>
      <c r="F828" s="482"/>
      <c r="G828" s="68"/>
      <c r="H828" s="68"/>
      <c r="I828" s="68"/>
      <c r="J828" s="68" t="s">
        <v>794</v>
      </c>
      <c r="K828" s="482" t="s">
        <v>794</v>
      </c>
      <c r="L828" s="482" t="s">
        <v>794</v>
      </c>
      <c r="M828" s="68" t="s">
        <v>294</v>
      </c>
      <c r="N828" s="68">
        <v>20.669130330000002</v>
      </c>
      <c r="O828" s="68">
        <v>92.595497129999998</v>
      </c>
      <c r="P828" s="68" t="s">
        <v>795</v>
      </c>
      <c r="Q828" s="68" t="s">
        <v>776</v>
      </c>
      <c r="R828" s="486"/>
      <c r="S828" s="487"/>
      <c r="T828" s="101"/>
      <c r="U828" s="97"/>
      <c r="V828" s="68" t="s">
        <v>525</v>
      </c>
      <c r="W828" s="396"/>
      <c r="X828" s="17"/>
      <c r="Z828" s="17"/>
    </row>
    <row r="829" spans="1:26" ht="14.25" customHeight="1">
      <c r="A829" s="396" t="s">
        <v>2647</v>
      </c>
      <c r="B829" s="504" t="s">
        <v>319</v>
      </c>
      <c r="C829" s="503" t="s">
        <v>530</v>
      </c>
      <c r="D829" s="431" t="s">
        <v>1656</v>
      </c>
      <c r="E829" s="482">
        <v>198447</v>
      </c>
      <c r="F829" s="482"/>
      <c r="G829" s="68"/>
      <c r="H829" s="68"/>
      <c r="I829" s="68"/>
      <c r="J829" s="68" t="s">
        <v>794</v>
      </c>
      <c r="K829" s="482" t="s">
        <v>794</v>
      </c>
      <c r="L829" s="482" t="s">
        <v>794</v>
      </c>
      <c r="M829" s="68" t="s">
        <v>791</v>
      </c>
      <c r="N829" s="68">
        <v>20.674699780000001</v>
      </c>
      <c r="O829" s="68">
        <v>92.590393070000005</v>
      </c>
      <c r="P829" s="482" t="s">
        <v>795</v>
      </c>
      <c r="Q829" s="68" t="s">
        <v>776</v>
      </c>
      <c r="R829" s="486"/>
      <c r="S829" s="487"/>
      <c r="T829" s="101"/>
      <c r="U829" s="97"/>
      <c r="V829" s="68" t="s">
        <v>530</v>
      </c>
      <c r="W829" s="396"/>
      <c r="X829" s="17"/>
      <c r="Z829" s="17"/>
    </row>
    <row r="830" spans="1:26" ht="14.25" customHeight="1">
      <c r="A830" s="396" t="s">
        <v>2647</v>
      </c>
      <c r="B830" s="504" t="s">
        <v>319</v>
      </c>
      <c r="C830" s="503" t="s">
        <v>588</v>
      </c>
      <c r="D830" s="431" t="s">
        <v>1656</v>
      </c>
      <c r="E830" s="482">
        <v>198410</v>
      </c>
      <c r="F830" s="68"/>
      <c r="G830" s="68"/>
      <c r="H830" s="396"/>
      <c r="I830" s="396"/>
      <c r="J830" s="396" t="s">
        <v>794</v>
      </c>
      <c r="K830" s="482" t="s">
        <v>794</v>
      </c>
      <c r="L830" s="482" t="s">
        <v>794</v>
      </c>
      <c r="M830" s="396" t="s">
        <v>294</v>
      </c>
      <c r="N830" s="482">
        <v>20.772550580000001</v>
      </c>
      <c r="O830" s="482">
        <v>92.638290409999996</v>
      </c>
      <c r="P830" s="482" t="s">
        <v>795</v>
      </c>
      <c r="Q830" s="396" t="s">
        <v>776</v>
      </c>
      <c r="R830" s="486"/>
      <c r="S830" s="487"/>
      <c r="T830" s="412"/>
      <c r="U830" s="401"/>
      <c r="V830" s="68" t="s">
        <v>588</v>
      </c>
      <c r="W830" s="396"/>
      <c r="X830" s="17"/>
      <c r="Z830" s="17"/>
    </row>
    <row r="831" spans="1:26" ht="14.25" customHeight="1">
      <c r="A831" s="396" t="s">
        <v>2647</v>
      </c>
      <c r="B831" s="504" t="s">
        <v>319</v>
      </c>
      <c r="C831" s="503" t="s">
        <v>350</v>
      </c>
      <c r="D831" s="431" t="s">
        <v>1656</v>
      </c>
      <c r="E831" s="482"/>
      <c r="F831" s="68"/>
      <c r="G831" s="68"/>
      <c r="H831" s="68"/>
      <c r="I831" s="68"/>
      <c r="J831" s="68" t="s">
        <v>794</v>
      </c>
      <c r="K831" s="482" t="s">
        <v>794</v>
      </c>
      <c r="L831" s="482" t="s">
        <v>794</v>
      </c>
      <c r="M831" s="68" t="s">
        <v>1145</v>
      </c>
      <c r="N831" s="68"/>
      <c r="O831" s="68"/>
      <c r="P831" s="482" t="s">
        <v>795</v>
      </c>
      <c r="Q831" s="68" t="s">
        <v>776</v>
      </c>
      <c r="R831" s="486"/>
      <c r="S831" s="487"/>
      <c r="T831" s="101"/>
      <c r="U831" s="488"/>
      <c r="V831" s="68" t="s">
        <v>350</v>
      </c>
      <c r="W831" s="482"/>
      <c r="X831" s="17"/>
      <c r="Z831" s="17"/>
    </row>
    <row r="832" spans="1:26" ht="14.25" customHeight="1">
      <c r="A832" s="396" t="s">
        <v>2647</v>
      </c>
      <c r="B832" s="504" t="s">
        <v>319</v>
      </c>
      <c r="C832" s="503" t="s">
        <v>2546</v>
      </c>
      <c r="D832" s="431"/>
      <c r="E832" s="482"/>
      <c r="F832" s="482"/>
      <c r="G832" s="68"/>
      <c r="H832" s="68"/>
      <c r="I832" s="68"/>
      <c r="J832" s="68" t="s">
        <v>2652</v>
      </c>
      <c r="K832" s="482" t="s">
        <v>2622</v>
      </c>
      <c r="L832" s="482" t="s">
        <v>2622</v>
      </c>
      <c r="M832" s="68"/>
      <c r="N832" s="482"/>
      <c r="O832" s="482"/>
      <c r="P832" s="68"/>
      <c r="Q832" s="68"/>
      <c r="R832" s="486"/>
      <c r="S832" s="487"/>
      <c r="T832" s="101"/>
      <c r="U832" s="97"/>
      <c r="V832" s="68"/>
      <c r="W832" s="396"/>
      <c r="X832" s="17"/>
      <c r="Z832" s="17"/>
    </row>
    <row r="833" spans="1:26" ht="14.25" customHeight="1">
      <c r="A833" s="396" t="s">
        <v>2647</v>
      </c>
      <c r="B833" s="504" t="s">
        <v>319</v>
      </c>
      <c r="C833" s="503" t="s">
        <v>2516</v>
      </c>
      <c r="D833" s="431"/>
      <c r="E833" s="482">
        <v>198370</v>
      </c>
      <c r="F833" s="482" t="s">
        <v>2628</v>
      </c>
      <c r="G833" s="68"/>
      <c r="H833" s="68"/>
      <c r="I833" s="68"/>
      <c r="J833" s="68" t="s">
        <v>794</v>
      </c>
      <c r="K833" s="484" t="s">
        <v>794</v>
      </c>
      <c r="L833" s="484" t="s">
        <v>794</v>
      </c>
      <c r="M833" s="68" t="s">
        <v>791</v>
      </c>
      <c r="N833" s="68"/>
      <c r="O833" s="482"/>
      <c r="P833" s="68" t="s">
        <v>795</v>
      </c>
      <c r="Q833" s="68" t="s">
        <v>2627</v>
      </c>
      <c r="R833" s="486"/>
      <c r="S833" s="400"/>
      <c r="T833" s="101"/>
      <c r="U833" s="97"/>
      <c r="V833" s="68"/>
      <c r="W833" s="396"/>
      <c r="X833" s="17"/>
      <c r="Z833" s="17"/>
    </row>
    <row r="834" spans="1:26" ht="14.25" customHeight="1">
      <c r="A834" s="396" t="s">
        <v>2647</v>
      </c>
      <c r="B834" s="504" t="s">
        <v>319</v>
      </c>
      <c r="C834" s="503" t="s">
        <v>570</v>
      </c>
      <c r="D834" s="431" t="s">
        <v>1656</v>
      </c>
      <c r="E834" s="482">
        <v>198430</v>
      </c>
      <c r="F834" s="482"/>
      <c r="G834" s="68"/>
      <c r="H834" s="68"/>
      <c r="I834" s="68"/>
      <c r="J834" s="68" t="s">
        <v>794</v>
      </c>
      <c r="K834" s="484" t="s">
        <v>794</v>
      </c>
      <c r="L834" s="484" t="s">
        <v>794</v>
      </c>
      <c r="M834" s="68" t="s">
        <v>791</v>
      </c>
      <c r="N834" s="68">
        <v>20.724700930000001</v>
      </c>
      <c r="O834" s="68">
        <v>92.628196720000005</v>
      </c>
      <c r="P834" s="482" t="s">
        <v>795</v>
      </c>
      <c r="Q834" s="68" t="s">
        <v>776</v>
      </c>
      <c r="R834" s="486"/>
      <c r="S834" s="487"/>
      <c r="T834" s="506"/>
      <c r="U834" s="97"/>
      <c r="V834" s="68" t="s">
        <v>570</v>
      </c>
      <c r="W834" s="396"/>
      <c r="X834" s="17"/>
      <c r="Z834" s="17"/>
    </row>
    <row r="835" spans="1:26" ht="14.25" customHeight="1">
      <c r="A835" s="482" t="s">
        <v>2647</v>
      </c>
      <c r="B835" s="504" t="s">
        <v>319</v>
      </c>
      <c r="C835" s="503" t="s">
        <v>639</v>
      </c>
      <c r="D835" s="431" t="s">
        <v>1656</v>
      </c>
      <c r="E835" s="482">
        <v>198291</v>
      </c>
      <c r="F835" s="482"/>
      <c r="G835" s="482"/>
      <c r="H835" s="482"/>
      <c r="I835" s="482"/>
      <c r="J835" s="482" t="s">
        <v>794</v>
      </c>
      <c r="K835" s="484" t="s">
        <v>794</v>
      </c>
      <c r="L835" s="484" t="s">
        <v>794</v>
      </c>
      <c r="M835" s="68" t="s">
        <v>791</v>
      </c>
      <c r="N835" s="68">
        <v>20.871829989999998</v>
      </c>
      <c r="O835" s="68">
        <v>92.566909789999997</v>
      </c>
      <c r="P835" s="482" t="s">
        <v>795</v>
      </c>
      <c r="Q835" s="482" t="s">
        <v>776</v>
      </c>
      <c r="R835" s="486"/>
      <c r="S835" s="487"/>
      <c r="T835" s="506"/>
      <c r="U835" s="488"/>
      <c r="V835" s="68" t="s">
        <v>639</v>
      </c>
      <c r="W835" s="482"/>
      <c r="X835" s="17"/>
      <c r="Z835" s="17"/>
    </row>
    <row r="836" spans="1:26" ht="14.25" customHeight="1">
      <c r="A836" s="487" t="s">
        <v>2647</v>
      </c>
      <c r="B836" s="514" t="s">
        <v>319</v>
      </c>
      <c r="C836" s="515" t="s">
        <v>938</v>
      </c>
      <c r="D836" s="485"/>
      <c r="E836" s="396"/>
      <c r="F836" s="396"/>
      <c r="G836" s="396"/>
      <c r="H836" s="396"/>
      <c r="I836" s="396"/>
      <c r="J836" s="396" t="s">
        <v>794</v>
      </c>
      <c r="K836" s="484" t="s">
        <v>794</v>
      </c>
      <c r="L836" s="484" t="s">
        <v>794</v>
      </c>
      <c r="M836" s="396"/>
      <c r="N836" s="396"/>
      <c r="O836" s="396"/>
      <c r="P836" s="482" t="s">
        <v>795</v>
      </c>
      <c r="Q836" s="482"/>
      <c r="R836" s="494"/>
      <c r="S836" s="487"/>
      <c r="T836" s="506"/>
      <c r="U836" s="494"/>
      <c r="V836" s="396"/>
      <c r="W836" s="486"/>
      <c r="X836" s="17"/>
      <c r="Z836" s="17"/>
    </row>
    <row r="837" spans="1:26" ht="14.25" customHeight="1">
      <c r="A837" s="487" t="s">
        <v>2647</v>
      </c>
      <c r="B837" s="514" t="s">
        <v>319</v>
      </c>
      <c r="C837" s="515" t="s">
        <v>2807</v>
      </c>
      <c r="D837" s="485"/>
      <c r="E837" s="482"/>
      <c r="F837" s="482"/>
      <c r="G837" s="68"/>
      <c r="H837" s="68"/>
      <c r="I837" s="68"/>
      <c r="J837" s="68" t="s">
        <v>794</v>
      </c>
      <c r="K837" s="484" t="s">
        <v>794</v>
      </c>
      <c r="L837" s="484" t="s">
        <v>794</v>
      </c>
      <c r="M837" s="68"/>
      <c r="N837" s="68"/>
      <c r="O837" s="482"/>
      <c r="P837" s="68" t="s">
        <v>795</v>
      </c>
      <c r="Q837" s="68"/>
      <c r="R837" s="494"/>
      <c r="S837" s="487"/>
      <c r="T837" s="506"/>
      <c r="U837" s="494"/>
      <c r="V837" s="68"/>
      <c r="W837" s="486"/>
      <c r="X837" s="17"/>
      <c r="Z837" s="17"/>
    </row>
    <row r="838" spans="1:26" ht="14.25" customHeight="1">
      <c r="A838" s="396" t="s">
        <v>2647</v>
      </c>
      <c r="B838" s="504" t="s">
        <v>319</v>
      </c>
      <c r="C838" s="503" t="s">
        <v>669</v>
      </c>
      <c r="D838" s="431" t="s">
        <v>1656</v>
      </c>
      <c r="E838" s="482">
        <v>198163</v>
      </c>
      <c r="F838" s="396"/>
      <c r="G838" s="68"/>
      <c r="H838" s="68"/>
      <c r="I838" s="68"/>
      <c r="J838" s="68" t="s">
        <v>800</v>
      </c>
      <c r="K838" s="484" t="s">
        <v>794</v>
      </c>
      <c r="L838" s="484" t="s">
        <v>800</v>
      </c>
      <c r="M838" s="68" t="s">
        <v>949</v>
      </c>
      <c r="N838" s="68">
        <v>20.99898911</v>
      </c>
      <c r="O838" s="68">
        <v>92.46325684</v>
      </c>
      <c r="P838" s="482" t="s">
        <v>919</v>
      </c>
      <c r="Q838" s="482" t="s">
        <v>798</v>
      </c>
      <c r="R838" s="486"/>
      <c r="S838" s="487"/>
      <c r="T838" s="506">
        <v>42926</v>
      </c>
      <c r="U838" s="97" t="s">
        <v>929</v>
      </c>
      <c r="V838" s="68"/>
      <c r="W838" s="396"/>
      <c r="X838" s="17"/>
      <c r="Z838" s="17"/>
    </row>
    <row r="839" spans="1:26" ht="14.25" customHeight="1">
      <c r="A839" s="396" t="s">
        <v>2647</v>
      </c>
      <c r="B839" s="504" t="s">
        <v>319</v>
      </c>
      <c r="C839" s="515" t="s">
        <v>2061</v>
      </c>
      <c r="D839" s="485"/>
      <c r="E839" s="482">
        <v>198348</v>
      </c>
      <c r="F839" s="482"/>
      <c r="G839" s="396"/>
      <c r="H839" s="396"/>
      <c r="I839" s="396"/>
      <c r="J839" s="396" t="s">
        <v>794</v>
      </c>
      <c r="K839" s="396" t="s">
        <v>794</v>
      </c>
      <c r="L839" s="396" t="s">
        <v>794</v>
      </c>
      <c r="M839" s="396"/>
      <c r="N839" s="396">
        <v>20.847490310668899</v>
      </c>
      <c r="O839" s="396">
        <v>92.556472778320298</v>
      </c>
      <c r="P839" s="68" t="s">
        <v>795</v>
      </c>
      <c r="Q839" s="396" t="s">
        <v>2961</v>
      </c>
      <c r="R839" s="494"/>
      <c r="S839" s="487"/>
      <c r="T839" s="412">
        <v>43769</v>
      </c>
      <c r="U839" s="494"/>
      <c r="V839" s="396"/>
      <c r="W839" s="486"/>
      <c r="X839" s="17"/>
      <c r="Z839" s="17"/>
    </row>
    <row r="840" spans="1:26" ht="14.25" customHeight="1">
      <c r="A840" s="443" t="s">
        <v>2647</v>
      </c>
      <c r="B840" s="444" t="s">
        <v>319</v>
      </c>
      <c r="C840" s="503" t="s">
        <v>1903</v>
      </c>
      <c r="D840" s="485"/>
      <c r="E840" s="445">
        <v>198348</v>
      </c>
      <c r="F840" s="445" t="s">
        <v>2061</v>
      </c>
      <c r="G840" s="445"/>
      <c r="H840" s="445"/>
      <c r="I840" s="445"/>
      <c r="J840" s="396" t="s">
        <v>875</v>
      </c>
      <c r="K840" s="484" t="s">
        <v>875</v>
      </c>
      <c r="L840" s="484" t="s">
        <v>875</v>
      </c>
      <c r="M840" s="396" t="s">
        <v>294</v>
      </c>
      <c r="N840" s="445">
        <v>20.847490310668899</v>
      </c>
      <c r="O840" s="445">
        <v>92.556472778320298</v>
      </c>
      <c r="P840" s="482" t="s">
        <v>795</v>
      </c>
      <c r="Q840" s="445" t="s">
        <v>2627</v>
      </c>
      <c r="R840" s="446"/>
      <c r="S840" s="443"/>
      <c r="T840" s="447">
        <v>43580</v>
      </c>
      <c r="U840" s="448" t="s">
        <v>2672</v>
      </c>
      <c r="V840" s="449"/>
      <c r="W840" s="486"/>
      <c r="X840" s="17"/>
      <c r="Z840" s="17"/>
    </row>
    <row r="841" spans="1:26" ht="14.25" customHeight="1">
      <c r="A841" s="443" t="s">
        <v>2647</v>
      </c>
      <c r="B841" s="444" t="s">
        <v>319</v>
      </c>
      <c r="C841" s="451" t="s">
        <v>2676</v>
      </c>
      <c r="D841" s="485"/>
      <c r="E841" s="445">
        <v>198326</v>
      </c>
      <c r="F841" s="445" t="s">
        <v>2677</v>
      </c>
      <c r="G841" s="445"/>
      <c r="H841" s="445"/>
      <c r="I841" s="445"/>
      <c r="J841" s="68" t="s">
        <v>794</v>
      </c>
      <c r="K841" s="484" t="s">
        <v>794</v>
      </c>
      <c r="L841" s="484" t="s">
        <v>794</v>
      </c>
      <c r="M841" s="445"/>
      <c r="N841" s="445">
        <v>20.8608493804932</v>
      </c>
      <c r="O841" s="445">
        <v>92.539390563964801</v>
      </c>
      <c r="P841" s="68" t="s">
        <v>795</v>
      </c>
      <c r="Q841" s="445" t="s">
        <v>2627</v>
      </c>
      <c r="R841" s="446"/>
      <c r="S841" s="443"/>
      <c r="T841" s="447">
        <v>43580</v>
      </c>
      <c r="U841" s="448" t="s">
        <v>2672</v>
      </c>
      <c r="V841" s="449"/>
      <c r="W841" s="486"/>
      <c r="X841" s="17"/>
      <c r="Z841" s="17"/>
    </row>
    <row r="842" spans="1:26" ht="14.25" customHeight="1">
      <c r="A842" s="490" t="s">
        <v>2647</v>
      </c>
      <c r="B842" s="514" t="s">
        <v>319</v>
      </c>
      <c r="C842" s="515" t="s">
        <v>2723</v>
      </c>
      <c r="D842" s="485"/>
      <c r="E842" s="482">
        <v>198326</v>
      </c>
      <c r="F842" s="68"/>
      <c r="G842" s="68"/>
      <c r="H842" s="68"/>
      <c r="I842" s="68"/>
      <c r="J842" s="68" t="s">
        <v>2652</v>
      </c>
      <c r="K842" s="484" t="s">
        <v>2622</v>
      </c>
      <c r="L842" s="484" t="s">
        <v>2622</v>
      </c>
      <c r="M842" s="68"/>
      <c r="N842" s="68">
        <v>20.8608493804932</v>
      </c>
      <c r="O842" s="68">
        <v>92.539390563964801</v>
      </c>
      <c r="P842" s="68"/>
      <c r="Q842" s="482"/>
      <c r="R842" s="494"/>
      <c r="S842" s="487"/>
      <c r="T842" s="506">
        <v>43591</v>
      </c>
      <c r="U842" s="494"/>
      <c r="V842" s="68"/>
      <c r="W842" s="486"/>
      <c r="X842" s="17"/>
      <c r="Z842" s="17"/>
    </row>
    <row r="843" spans="1:26" ht="14.25" customHeight="1">
      <c r="A843" s="487" t="s">
        <v>2647</v>
      </c>
      <c r="B843" s="514" t="s">
        <v>319</v>
      </c>
      <c r="C843" s="515" t="s">
        <v>2813</v>
      </c>
      <c r="D843" s="485"/>
      <c r="E843" s="482">
        <v>198424</v>
      </c>
      <c r="F843" s="482"/>
      <c r="G843" s="482"/>
      <c r="H843" s="482"/>
      <c r="I843" s="482"/>
      <c r="J843" s="68" t="s">
        <v>794</v>
      </c>
      <c r="K843" s="68" t="s">
        <v>794</v>
      </c>
      <c r="L843" s="68" t="s">
        <v>794</v>
      </c>
      <c r="M843" s="482"/>
      <c r="N843" s="482">
        <v>20.735639572143601</v>
      </c>
      <c r="O843" s="484">
        <v>92.638076782226605</v>
      </c>
      <c r="P843" s="68" t="s">
        <v>795</v>
      </c>
      <c r="Q843" s="482"/>
      <c r="R843" s="494"/>
      <c r="S843" s="487"/>
      <c r="T843" s="506"/>
      <c r="U843" s="494"/>
      <c r="V843" s="482"/>
      <c r="W843" s="486"/>
      <c r="X843" s="17"/>
      <c r="Z843" s="17"/>
    </row>
    <row r="844" spans="1:26" ht="14.25" customHeight="1">
      <c r="A844" s="482" t="s">
        <v>2647</v>
      </c>
      <c r="B844" s="504" t="s">
        <v>319</v>
      </c>
      <c r="C844" s="503" t="s">
        <v>667</v>
      </c>
      <c r="D844" s="431" t="s">
        <v>1656</v>
      </c>
      <c r="E844" s="482">
        <v>198184</v>
      </c>
      <c r="F844" s="484"/>
      <c r="G844" s="482"/>
      <c r="H844" s="482"/>
      <c r="I844" s="482"/>
      <c r="J844" s="482" t="s">
        <v>794</v>
      </c>
      <c r="K844" s="482" t="s">
        <v>794</v>
      </c>
      <c r="L844" s="482" t="s">
        <v>794</v>
      </c>
      <c r="M844" s="482" t="s">
        <v>791</v>
      </c>
      <c r="N844" s="482">
        <v>20.99110031</v>
      </c>
      <c r="O844" s="482">
        <v>92.493858340000003</v>
      </c>
      <c r="P844" s="482" t="s">
        <v>795</v>
      </c>
      <c r="Q844" s="482" t="s">
        <v>776</v>
      </c>
      <c r="R844" s="486"/>
      <c r="S844" s="487"/>
      <c r="T844" s="506"/>
      <c r="U844" s="488"/>
      <c r="V844" s="482" t="s">
        <v>667</v>
      </c>
      <c r="W844" s="482"/>
      <c r="X844" s="17"/>
      <c r="Z844" s="17"/>
    </row>
    <row r="845" spans="1:26" ht="14.25" customHeight="1">
      <c r="A845" s="482" t="s">
        <v>2647</v>
      </c>
      <c r="B845" s="504" t="s">
        <v>319</v>
      </c>
      <c r="C845" s="503" t="s">
        <v>575</v>
      </c>
      <c r="D845" s="431" t="s">
        <v>1656</v>
      </c>
      <c r="E845" s="484">
        <v>198425</v>
      </c>
      <c r="F845" s="484"/>
      <c r="G845" s="482"/>
      <c r="H845" s="482"/>
      <c r="I845" s="482"/>
      <c r="J845" s="482" t="s">
        <v>794</v>
      </c>
      <c r="K845" s="482" t="s">
        <v>794</v>
      </c>
      <c r="L845" s="482" t="s">
        <v>794</v>
      </c>
      <c r="M845" s="482" t="s">
        <v>791</v>
      </c>
      <c r="N845" s="482">
        <v>20.737430570000001</v>
      </c>
      <c r="O845" s="482">
        <v>92.634773249999995</v>
      </c>
      <c r="P845" s="482" t="s">
        <v>795</v>
      </c>
      <c r="Q845" s="482" t="s">
        <v>776</v>
      </c>
      <c r="R845" s="486"/>
      <c r="S845" s="487"/>
      <c r="T845" s="506"/>
      <c r="U845" s="488"/>
      <c r="V845" s="482" t="s">
        <v>575</v>
      </c>
      <c r="W845" s="482"/>
      <c r="X845" s="17"/>
      <c r="Z845" s="17"/>
    </row>
    <row r="846" spans="1:26" ht="14.25" customHeight="1">
      <c r="A846" s="482" t="s">
        <v>2647</v>
      </c>
      <c r="B846" s="504" t="s">
        <v>319</v>
      </c>
      <c r="C846" s="503" t="s">
        <v>519</v>
      </c>
      <c r="D846" s="431" t="s">
        <v>1656</v>
      </c>
      <c r="E846" s="482">
        <v>198450</v>
      </c>
      <c r="F846" s="482"/>
      <c r="G846" s="482"/>
      <c r="H846" s="482"/>
      <c r="I846" s="482"/>
      <c r="J846" s="482" t="s">
        <v>794</v>
      </c>
      <c r="K846" s="482" t="s">
        <v>794</v>
      </c>
      <c r="L846" s="482" t="s">
        <v>794</v>
      </c>
      <c r="M846" s="482" t="s">
        <v>791</v>
      </c>
      <c r="N846" s="482">
        <v>20.654249190000002</v>
      </c>
      <c r="O846" s="482">
        <v>92.619102479999995</v>
      </c>
      <c r="P846" s="482" t="s">
        <v>795</v>
      </c>
      <c r="Q846" s="482" t="s">
        <v>776</v>
      </c>
      <c r="R846" s="486"/>
      <c r="S846" s="487"/>
      <c r="T846" s="506"/>
      <c r="U846" s="488"/>
      <c r="V846" s="482" t="s">
        <v>917</v>
      </c>
      <c r="W846" s="482"/>
      <c r="X846" s="17"/>
      <c r="Z846" s="17"/>
    </row>
    <row r="847" spans="1:26" ht="14.25" customHeight="1">
      <c r="A847" s="482" t="s">
        <v>2647</v>
      </c>
      <c r="B847" s="504" t="s">
        <v>305</v>
      </c>
      <c r="C847" s="503" t="s">
        <v>2032</v>
      </c>
      <c r="D847" s="431"/>
      <c r="E847" s="482">
        <v>197857</v>
      </c>
      <c r="F847" s="482"/>
      <c r="G847" s="68"/>
      <c r="H847" s="68"/>
      <c r="I847" s="68"/>
      <c r="J847" s="68" t="s">
        <v>794</v>
      </c>
      <c r="K847" s="482" t="s">
        <v>794</v>
      </c>
      <c r="L847" s="482" t="s">
        <v>794</v>
      </c>
      <c r="M847" s="68" t="s">
        <v>679</v>
      </c>
      <c r="N847" s="68">
        <v>21.08677673</v>
      </c>
      <c r="O847" s="68">
        <v>92.337112430000005</v>
      </c>
      <c r="P847" s="68" t="s">
        <v>795</v>
      </c>
      <c r="Q847" s="482"/>
      <c r="R847" s="486"/>
      <c r="S847" s="487"/>
      <c r="T847" s="101">
        <v>43300</v>
      </c>
      <c r="U847" s="488"/>
      <c r="V847" s="68"/>
      <c r="W847" s="482"/>
      <c r="X847" s="17"/>
      <c r="Z847" s="17"/>
    </row>
    <row r="848" spans="1:26" ht="14.25" customHeight="1">
      <c r="A848" s="396" t="s">
        <v>2647</v>
      </c>
      <c r="B848" s="514" t="s">
        <v>305</v>
      </c>
      <c r="C848" s="515" t="s">
        <v>2699</v>
      </c>
      <c r="D848" s="485"/>
      <c r="E848" s="482">
        <v>197857</v>
      </c>
      <c r="F848" s="482"/>
      <c r="G848" s="68"/>
      <c r="H848" s="68"/>
      <c r="I848" s="68"/>
      <c r="J848" s="68" t="s">
        <v>794</v>
      </c>
      <c r="K848" s="482" t="s">
        <v>794</v>
      </c>
      <c r="L848" s="482" t="s">
        <v>794</v>
      </c>
      <c r="M848" s="68" t="s">
        <v>2069</v>
      </c>
      <c r="N848" s="68">
        <v>21.08677673</v>
      </c>
      <c r="O848" s="484">
        <v>92.337112430000005</v>
      </c>
      <c r="P848" s="482" t="s">
        <v>795</v>
      </c>
      <c r="Q848" s="482"/>
      <c r="R848" s="494"/>
      <c r="S848" s="96"/>
      <c r="T848" s="506">
        <v>43300</v>
      </c>
      <c r="U848" s="97"/>
      <c r="V848" s="68"/>
      <c r="W848" s="396"/>
      <c r="X848" s="17"/>
      <c r="Z848" s="17"/>
    </row>
    <row r="849" spans="1:26" ht="14.25" customHeight="1">
      <c r="A849" s="396" t="s">
        <v>2647</v>
      </c>
      <c r="B849" s="504" t="s">
        <v>305</v>
      </c>
      <c r="C849" s="503" t="s">
        <v>2698</v>
      </c>
      <c r="D849" s="431"/>
      <c r="E849" s="482">
        <v>197857</v>
      </c>
      <c r="F849" s="484"/>
      <c r="G849" s="68"/>
      <c r="H849" s="68"/>
      <c r="I849" s="68"/>
      <c r="J849" s="68" t="s">
        <v>794</v>
      </c>
      <c r="K849" s="482" t="s">
        <v>794</v>
      </c>
      <c r="L849" s="482" t="s">
        <v>794</v>
      </c>
      <c r="M849" s="68" t="s">
        <v>294</v>
      </c>
      <c r="N849" s="68">
        <v>21.08677673</v>
      </c>
      <c r="O849" s="68">
        <v>92.337112430000005</v>
      </c>
      <c r="P849" s="482" t="s">
        <v>795</v>
      </c>
      <c r="Q849" s="68"/>
      <c r="R849" s="486"/>
      <c r="S849" s="487"/>
      <c r="T849" s="101">
        <v>43300</v>
      </c>
      <c r="U849" s="97"/>
      <c r="V849" s="482"/>
      <c r="W849" s="396"/>
      <c r="X849" s="17"/>
      <c r="Z849" s="17"/>
    </row>
    <row r="850" spans="1:26" ht="14.25" customHeight="1">
      <c r="A850" s="396" t="s">
        <v>2647</v>
      </c>
      <c r="B850" s="504" t="s">
        <v>305</v>
      </c>
      <c r="C850" s="503" t="s">
        <v>2062</v>
      </c>
      <c r="D850" s="431"/>
      <c r="E850" s="484">
        <v>197920</v>
      </c>
      <c r="F850" s="484"/>
      <c r="G850" s="68"/>
      <c r="H850" s="68"/>
      <c r="I850" s="68"/>
      <c r="J850" s="68" t="s">
        <v>794</v>
      </c>
      <c r="K850" s="482" t="s">
        <v>794</v>
      </c>
      <c r="L850" s="482" t="s">
        <v>794</v>
      </c>
      <c r="M850" s="68" t="s">
        <v>791</v>
      </c>
      <c r="N850" s="482">
        <v>20.92394066</v>
      </c>
      <c r="O850" s="482">
        <v>92.322669980000001</v>
      </c>
      <c r="P850" s="482" t="s">
        <v>795</v>
      </c>
      <c r="Q850" s="68"/>
      <c r="R850" s="486"/>
      <c r="S850" s="487"/>
      <c r="T850" s="101">
        <v>43300</v>
      </c>
      <c r="U850" s="97"/>
      <c r="V850" s="482"/>
      <c r="W850" s="396"/>
      <c r="X850" s="17"/>
      <c r="Z850" s="17"/>
    </row>
    <row r="851" spans="1:26" ht="14.25" customHeight="1">
      <c r="A851" s="482" t="s">
        <v>2647</v>
      </c>
      <c r="B851" s="504" t="s">
        <v>305</v>
      </c>
      <c r="C851" s="503" t="s">
        <v>2033</v>
      </c>
      <c r="D851" s="431"/>
      <c r="E851" s="482">
        <v>197968</v>
      </c>
      <c r="F851" s="482"/>
      <c r="G851" s="482"/>
      <c r="H851" s="482"/>
      <c r="I851" s="482"/>
      <c r="J851" s="482" t="s">
        <v>794</v>
      </c>
      <c r="K851" s="482" t="s">
        <v>794</v>
      </c>
      <c r="L851" s="482" t="s">
        <v>794</v>
      </c>
      <c r="M851" s="482" t="s">
        <v>791</v>
      </c>
      <c r="N851" s="482">
        <v>20.878229139999998</v>
      </c>
      <c r="O851" s="482">
        <v>92.347267149999993</v>
      </c>
      <c r="P851" s="482" t="s">
        <v>795</v>
      </c>
      <c r="Q851" s="482"/>
      <c r="R851" s="486"/>
      <c r="S851" s="487"/>
      <c r="T851" s="506">
        <v>43300</v>
      </c>
      <c r="U851" s="488"/>
      <c r="V851" s="482"/>
      <c r="W851" s="482"/>
      <c r="X851" s="17"/>
      <c r="Z851" s="17"/>
    </row>
    <row r="852" spans="1:26" ht="14.25" customHeight="1">
      <c r="A852" s="482" t="s">
        <v>2647</v>
      </c>
      <c r="B852" s="514" t="s">
        <v>305</v>
      </c>
      <c r="C852" s="515" t="s">
        <v>2684</v>
      </c>
      <c r="D852" s="485"/>
      <c r="E852" s="482"/>
      <c r="F852" s="482"/>
      <c r="G852" s="68"/>
      <c r="H852" s="68"/>
      <c r="I852" s="68"/>
      <c r="J852" s="68" t="s">
        <v>794</v>
      </c>
      <c r="K852" s="482" t="s">
        <v>794</v>
      </c>
      <c r="L852" s="482" t="s">
        <v>794</v>
      </c>
      <c r="M852" s="68"/>
      <c r="N852" s="482"/>
      <c r="O852" s="482"/>
      <c r="P852" s="68" t="s">
        <v>795</v>
      </c>
      <c r="Q852" s="68" t="s">
        <v>2961</v>
      </c>
      <c r="R852" s="494"/>
      <c r="S852" s="487"/>
      <c r="T852" s="101">
        <v>43769</v>
      </c>
      <c r="U852" s="494"/>
      <c r="V852" s="68"/>
      <c r="W852" s="486"/>
      <c r="X852" s="17"/>
      <c r="Z852" s="17"/>
    </row>
    <row r="853" spans="1:26" ht="14.25" customHeight="1">
      <c r="A853" s="482" t="s">
        <v>2647</v>
      </c>
      <c r="B853" s="504" t="s">
        <v>305</v>
      </c>
      <c r="C853" s="503" t="s">
        <v>608</v>
      </c>
      <c r="D853" s="431" t="s">
        <v>1656</v>
      </c>
      <c r="E853" s="68">
        <v>197997</v>
      </c>
      <c r="F853" s="482"/>
      <c r="G853" s="68"/>
      <c r="H853" s="68"/>
      <c r="I853" s="68"/>
      <c r="J853" s="68" t="s">
        <v>794</v>
      </c>
      <c r="K853" s="482" t="s">
        <v>794</v>
      </c>
      <c r="L853" s="482" t="s">
        <v>794</v>
      </c>
      <c r="M853" s="68" t="s">
        <v>791</v>
      </c>
      <c r="N853" s="396">
        <v>20.803909300000001</v>
      </c>
      <c r="O853" s="396">
        <v>92.376831050000007</v>
      </c>
      <c r="P853" s="482" t="s">
        <v>795</v>
      </c>
      <c r="Q853" s="68" t="s">
        <v>776</v>
      </c>
      <c r="R853" s="486"/>
      <c r="S853" s="96"/>
      <c r="T853" s="101"/>
      <c r="U853" s="488"/>
      <c r="V853" s="68" t="s">
        <v>932</v>
      </c>
      <c r="W853" s="482"/>
      <c r="X853" s="17"/>
      <c r="Z853" s="17"/>
    </row>
    <row r="854" spans="1:26" ht="14.25" customHeight="1">
      <c r="A854" s="482" t="s">
        <v>2647</v>
      </c>
      <c r="B854" s="514" t="s">
        <v>305</v>
      </c>
      <c r="C854" s="515" t="s">
        <v>688</v>
      </c>
      <c r="D854" s="485" t="s">
        <v>1656</v>
      </c>
      <c r="E854" s="68">
        <v>197820</v>
      </c>
      <c r="F854" s="482"/>
      <c r="G854" s="68"/>
      <c r="H854" s="68"/>
      <c r="I854" s="68"/>
      <c r="J854" s="68" t="s">
        <v>794</v>
      </c>
      <c r="K854" s="482" t="s">
        <v>794</v>
      </c>
      <c r="L854" s="482" t="s">
        <v>794</v>
      </c>
      <c r="M854" s="68" t="s">
        <v>791</v>
      </c>
      <c r="N854" s="396">
        <v>21.26553917</v>
      </c>
      <c r="O854" s="396">
        <v>92.27140808</v>
      </c>
      <c r="P854" s="482" t="s">
        <v>795</v>
      </c>
      <c r="Q854" s="68" t="s">
        <v>776</v>
      </c>
      <c r="R854" s="494"/>
      <c r="S854" s="487"/>
      <c r="T854" s="101"/>
      <c r="U854" s="488"/>
      <c r="V854" s="482" t="s">
        <v>956</v>
      </c>
      <c r="W854" s="482"/>
      <c r="X854" s="17"/>
      <c r="Z854" s="17"/>
    </row>
    <row r="855" spans="1:26" ht="14.25" customHeight="1">
      <c r="A855" s="482" t="s">
        <v>2647</v>
      </c>
      <c r="B855" s="504" t="s">
        <v>305</v>
      </c>
      <c r="C855" s="503" t="s">
        <v>2969</v>
      </c>
      <c r="D855" s="431"/>
      <c r="E855" s="482"/>
      <c r="F855" s="482"/>
      <c r="G855" s="68"/>
      <c r="H855" s="68"/>
      <c r="I855" s="68"/>
      <c r="J855" s="68" t="s">
        <v>794</v>
      </c>
      <c r="K855" s="68" t="s">
        <v>794</v>
      </c>
      <c r="L855" s="68" t="s">
        <v>794</v>
      </c>
      <c r="M855" s="68"/>
      <c r="N855" s="396"/>
      <c r="O855" s="482"/>
      <c r="P855" s="482" t="s">
        <v>795</v>
      </c>
      <c r="Q855" s="68" t="s">
        <v>2961</v>
      </c>
      <c r="R855" s="486"/>
      <c r="S855" s="487"/>
      <c r="T855" s="101">
        <v>43768</v>
      </c>
      <c r="U855" s="488"/>
      <c r="V855" s="68"/>
      <c r="W855" s="482"/>
      <c r="X855" s="17"/>
      <c r="Z855" s="17"/>
    </row>
    <row r="856" spans="1:26" ht="14.25" customHeight="1">
      <c r="A856" s="443" t="s">
        <v>2647</v>
      </c>
      <c r="B856" s="444" t="s">
        <v>305</v>
      </c>
      <c r="C856" s="451" t="s">
        <v>957</v>
      </c>
      <c r="D856" s="485" t="s">
        <v>1656</v>
      </c>
      <c r="E856" s="445">
        <v>197817</v>
      </c>
      <c r="F856" s="454" t="s">
        <v>2682</v>
      </c>
      <c r="G856" s="445"/>
      <c r="H856" s="445"/>
      <c r="I856" s="445"/>
      <c r="J856" s="445" t="s">
        <v>2652</v>
      </c>
      <c r="K856" s="445" t="s">
        <v>2622</v>
      </c>
      <c r="L856" s="445" t="s">
        <v>2622</v>
      </c>
      <c r="M856" s="396" t="s">
        <v>791</v>
      </c>
      <c r="N856" s="396">
        <v>21.2688694</v>
      </c>
      <c r="O856" s="482">
        <v>92.274917599999995</v>
      </c>
      <c r="P856" s="396" t="s">
        <v>795</v>
      </c>
      <c r="Q856" s="445" t="s">
        <v>2627</v>
      </c>
      <c r="R856" s="455"/>
      <c r="S856" s="453"/>
      <c r="T856" s="447">
        <v>43580</v>
      </c>
      <c r="U856" s="448" t="s">
        <v>2672</v>
      </c>
      <c r="V856" s="482" t="s">
        <v>956</v>
      </c>
      <c r="W856" s="486"/>
      <c r="X856" s="17"/>
      <c r="Z856" s="17"/>
    </row>
    <row r="857" spans="1:26" ht="14.25" customHeight="1">
      <c r="A857" s="396" t="s">
        <v>2647</v>
      </c>
      <c r="B857" s="514" t="s">
        <v>305</v>
      </c>
      <c r="C857" s="515" t="s">
        <v>306</v>
      </c>
      <c r="D857" s="485" t="s">
        <v>1656</v>
      </c>
      <c r="E857" s="396"/>
      <c r="F857" s="482"/>
      <c r="G857" s="68"/>
      <c r="H857" s="68"/>
      <c r="I857" s="68"/>
      <c r="J857" s="68" t="s">
        <v>794</v>
      </c>
      <c r="K857" s="482" t="s">
        <v>794</v>
      </c>
      <c r="L857" s="482" t="s">
        <v>794</v>
      </c>
      <c r="M857" s="68" t="s">
        <v>791</v>
      </c>
      <c r="N857" s="396"/>
      <c r="O857" s="396"/>
      <c r="P857" s="68" t="s">
        <v>795</v>
      </c>
      <c r="Q857" s="68" t="s">
        <v>776</v>
      </c>
      <c r="R857" s="495"/>
      <c r="S857" s="491"/>
      <c r="T857" s="101"/>
      <c r="U857" s="97"/>
      <c r="V857" s="482" t="s">
        <v>306</v>
      </c>
      <c r="W857" s="396"/>
      <c r="X857" s="17"/>
      <c r="Z857" s="17"/>
    </row>
    <row r="858" spans="1:26" ht="14.25" customHeight="1">
      <c r="A858" s="396" t="s">
        <v>2647</v>
      </c>
      <c r="B858" s="504" t="s">
        <v>305</v>
      </c>
      <c r="C858" s="503" t="s">
        <v>2532</v>
      </c>
      <c r="D858" s="431"/>
      <c r="E858" s="482">
        <v>197968</v>
      </c>
      <c r="F858" s="484" t="s">
        <v>2534</v>
      </c>
      <c r="G858" s="68"/>
      <c r="H858" s="68"/>
      <c r="I858" s="68"/>
      <c r="J858" s="68" t="s">
        <v>794</v>
      </c>
      <c r="K858" s="482" t="s">
        <v>794</v>
      </c>
      <c r="L858" s="482" t="s">
        <v>794</v>
      </c>
      <c r="M858" s="68" t="s">
        <v>791</v>
      </c>
      <c r="N858" s="68"/>
      <c r="O858" s="482"/>
      <c r="P858" s="482" t="s">
        <v>795</v>
      </c>
      <c r="Q858" s="68"/>
      <c r="R858" s="490"/>
      <c r="S858" s="491"/>
      <c r="T858" s="101"/>
      <c r="U858" s="488"/>
      <c r="V858" s="68"/>
      <c r="W858" s="482"/>
      <c r="X858" s="17"/>
      <c r="Z858" s="17"/>
    </row>
    <row r="859" spans="1:26" ht="14.25" customHeight="1">
      <c r="A859" s="482" t="s">
        <v>2647</v>
      </c>
      <c r="B859" s="514" t="s">
        <v>305</v>
      </c>
      <c r="C859" s="503" t="s">
        <v>605</v>
      </c>
      <c r="D859" s="485" t="s">
        <v>1656</v>
      </c>
      <c r="E859" s="482">
        <v>197995</v>
      </c>
      <c r="F859" s="482"/>
      <c r="G859" s="68"/>
      <c r="H859" s="68"/>
      <c r="I859" s="68"/>
      <c r="J859" s="68" t="s">
        <v>794</v>
      </c>
      <c r="K859" s="482" t="s">
        <v>794</v>
      </c>
      <c r="L859" s="482" t="s">
        <v>794</v>
      </c>
      <c r="M859" s="68" t="s">
        <v>791</v>
      </c>
      <c r="N859" s="68">
        <v>20.802850719999999</v>
      </c>
      <c r="O859" s="482">
        <v>92.392669679999997</v>
      </c>
      <c r="P859" s="482" t="s">
        <v>795</v>
      </c>
      <c r="Q859" s="484" t="s">
        <v>776</v>
      </c>
      <c r="R859" s="495"/>
      <c r="S859" s="491"/>
      <c r="T859" s="507"/>
      <c r="U859" s="488"/>
      <c r="V859" s="68" t="s">
        <v>931</v>
      </c>
      <c r="W859" s="482"/>
      <c r="X859" s="17"/>
      <c r="Z859" s="17"/>
    </row>
    <row r="860" spans="1:26" ht="14.25" customHeight="1">
      <c r="A860" s="482" t="s">
        <v>2647</v>
      </c>
      <c r="B860" s="514" t="s">
        <v>305</v>
      </c>
      <c r="C860" s="515" t="s">
        <v>606</v>
      </c>
      <c r="D860" s="485" t="s">
        <v>1656</v>
      </c>
      <c r="E860" s="68">
        <v>197995</v>
      </c>
      <c r="F860" s="482"/>
      <c r="G860" s="68"/>
      <c r="H860" s="68"/>
      <c r="I860" s="68"/>
      <c r="J860" s="68" t="s">
        <v>794</v>
      </c>
      <c r="K860" s="482" t="s">
        <v>794</v>
      </c>
      <c r="L860" s="482" t="s">
        <v>794</v>
      </c>
      <c r="M860" s="68" t="s">
        <v>791</v>
      </c>
      <c r="N860" s="68">
        <v>20.802850719999999</v>
      </c>
      <c r="O860" s="68">
        <v>92.392669679999997</v>
      </c>
      <c r="P860" s="68" t="s">
        <v>795</v>
      </c>
      <c r="Q860" s="68" t="s">
        <v>776</v>
      </c>
      <c r="R860" s="495"/>
      <c r="S860" s="491"/>
      <c r="T860" s="101"/>
      <c r="U860" s="488"/>
      <c r="V860" s="482" t="s">
        <v>931</v>
      </c>
      <c r="W860" s="482"/>
      <c r="X860" s="17"/>
      <c r="Z860" s="17"/>
    </row>
    <row r="861" spans="1:26" ht="14.25" customHeight="1">
      <c r="A861" s="482" t="s">
        <v>2647</v>
      </c>
      <c r="B861" s="514" t="s">
        <v>305</v>
      </c>
      <c r="C861" s="515" t="s">
        <v>2024</v>
      </c>
      <c r="D861" s="485"/>
      <c r="E861" s="68">
        <v>197939</v>
      </c>
      <c r="F861" s="482"/>
      <c r="G861" s="68"/>
      <c r="H861" s="68"/>
      <c r="I861" s="68"/>
      <c r="J861" s="68" t="s">
        <v>794</v>
      </c>
      <c r="K861" s="482" t="s">
        <v>794</v>
      </c>
      <c r="L861" s="482" t="s">
        <v>794</v>
      </c>
      <c r="M861" s="68" t="s">
        <v>294</v>
      </c>
      <c r="N861" s="68">
        <v>20.832990649999999</v>
      </c>
      <c r="O861" s="68">
        <v>92.353683469999993</v>
      </c>
      <c r="P861" s="482" t="s">
        <v>795</v>
      </c>
      <c r="Q861" s="68"/>
      <c r="R861" s="495"/>
      <c r="S861" s="491"/>
      <c r="T861" s="101">
        <v>43300</v>
      </c>
      <c r="U861" s="488"/>
      <c r="V861" s="68"/>
      <c r="W861" s="482"/>
      <c r="X861" s="17"/>
      <c r="Z861" s="17"/>
    </row>
    <row r="862" spans="1:26" ht="14.25" customHeight="1">
      <c r="A862" s="396" t="s">
        <v>2647</v>
      </c>
      <c r="B862" s="514" t="s">
        <v>305</v>
      </c>
      <c r="C862" s="515" t="s">
        <v>2078</v>
      </c>
      <c r="D862" s="485"/>
      <c r="E862" s="482">
        <v>220733</v>
      </c>
      <c r="F862" s="68"/>
      <c r="G862" s="68"/>
      <c r="H862" s="68"/>
      <c r="I862" s="68"/>
      <c r="J862" s="68" t="s">
        <v>794</v>
      </c>
      <c r="K862" s="482" t="s">
        <v>794</v>
      </c>
      <c r="L862" s="482" t="s">
        <v>794</v>
      </c>
      <c r="M862" s="68" t="s">
        <v>294</v>
      </c>
      <c r="N862" s="396">
        <v>20.931335449999999</v>
      </c>
      <c r="O862" s="396">
        <v>92.381462099999993</v>
      </c>
      <c r="P862" s="482" t="s">
        <v>795</v>
      </c>
      <c r="Q862" s="68"/>
      <c r="R862" s="495"/>
      <c r="S862" s="491"/>
      <c r="T862" s="506">
        <v>43300</v>
      </c>
      <c r="U862" s="97"/>
      <c r="V862" s="68"/>
      <c r="W862" s="396"/>
      <c r="X862" s="17"/>
      <c r="Z862" s="17"/>
    </row>
    <row r="863" spans="1:26" ht="14.25" customHeight="1">
      <c r="A863" s="396" t="s">
        <v>2647</v>
      </c>
      <c r="B863" s="514" t="s">
        <v>305</v>
      </c>
      <c r="C863" s="515" t="s">
        <v>2031</v>
      </c>
      <c r="D863" s="485"/>
      <c r="E863" s="482">
        <v>197862</v>
      </c>
      <c r="F863" s="482"/>
      <c r="G863" s="482"/>
      <c r="H863" s="482"/>
      <c r="I863" s="482"/>
      <c r="J863" s="482" t="s">
        <v>794</v>
      </c>
      <c r="K863" s="482" t="s">
        <v>794</v>
      </c>
      <c r="L863" s="482" t="s">
        <v>794</v>
      </c>
      <c r="M863" s="482" t="s">
        <v>294</v>
      </c>
      <c r="N863" s="482">
        <v>21.094310759999999</v>
      </c>
      <c r="O863" s="482">
        <v>92.335670469999997</v>
      </c>
      <c r="P863" s="482" t="s">
        <v>795</v>
      </c>
      <c r="Q863" s="482"/>
      <c r="R863" s="495"/>
      <c r="S863" s="491"/>
      <c r="T863" s="506">
        <v>43300</v>
      </c>
      <c r="U863" s="488"/>
      <c r="V863" s="482"/>
      <c r="W863" s="482"/>
      <c r="X863" s="17"/>
      <c r="Z863" s="17"/>
    </row>
    <row r="864" spans="1:26" ht="14.25" customHeight="1">
      <c r="A864" s="443" t="s">
        <v>2647</v>
      </c>
      <c r="B864" s="444" t="s">
        <v>305</v>
      </c>
      <c r="C864" s="451" t="s">
        <v>2679</v>
      </c>
      <c r="D864" s="485"/>
      <c r="E864" s="445">
        <v>197800</v>
      </c>
      <c r="F864" s="445" t="s">
        <v>2680</v>
      </c>
      <c r="G864" s="445"/>
      <c r="H864" s="445"/>
      <c r="I864" s="445"/>
      <c r="J864" s="396" t="s">
        <v>794</v>
      </c>
      <c r="K864" s="482" t="s">
        <v>794</v>
      </c>
      <c r="L864" s="482" t="s">
        <v>794</v>
      </c>
      <c r="M864" s="445"/>
      <c r="N864" s="445">
        <v>21.363349914550799</v>
      </c>
      <c r="O864" s="445">
        <v>92.280487060546903</v>
      </c>
      <c r="P864" s="396" t="s">
        <v>795</v>
      </c>
      <c r="Q864" s="445" t="s">
        <v>2627</v>
      </c>
      <c r="R864" s="455"/>
      <c r="S864" s="453"/>
      <c r="T864" s="447">
        <v>43580</v>
      </c>
      <c r="U864" s="448" t="s">
        <v>2672</v>
      </c>
      <c r="V864" s="449"/>
      <c r="W864" s="486"/>
      <c r="X864" s="17"/>
      <c r="Z864" s="17"/>
    </row>
    <row r="865" spans="1:26" ht="14.25" customHeight="1">
      <c r="A865" s="396" t="s">
        <v>2647</v>
      </c>
      <c r="B865" s="504" t="s">
        <v>305</v>
      </c>
      <c r="C865" s="503" t="s">
        <v>657</v>
      </c>
      <c r="D865" s="431" t="s">
        <v>1656</v>
      </c>
      <c r="E865" s="484">
        <v>220734</v>
      </c>
      <c r="F865" s="482" t="s">
        <v>2636</v>
      </c>
      <c r="G865" s="396"/>
      <c r="H865" s="396"/>
      <c r="I865" s="396"/>
      <c r="J865" s="396" t="s">
        <v>794</v>
      </c>
      <c r="K865" s="482" t="s">
        <v>794</v>
      </c>
      <c r="L865" s="482" t="s">
        <v>794</v>
      </c>
      <c r="M865" s="396" t="s">
        <v>294</v>
      </c>
      <c r="N865" s="396">
        <v>20.910375599999998</v>
      </c>
      <c r="O865" s="396">
        <v>92.400138850000005</v>
      </c>
      <c r="P865" s="482" t="s">
        <v>795</v>
      </c>
      <c r="Q865" s="396" t="s">
        <v>798</v>
      </c>
      <c r="R865" s="490"/>
      <c r="S865" s="491"/>
      <c r="T865" s="412">
        <v>42926</v>
      </c>
      <c r="U865" s="401" t="s">
        <v>799</v>
      </c>
      <c r="V865" s="396"/>
      <c r="W865" s="396"/>
      <c r="X865" s="17"/>
      <c r="Z865" s="17"/>
    </row>
    <row r="866" spans="1:26" ht="14.25" customHeight="1">
      <c r="A866" s="396" t="s">
        <v>2647</v>
      </c>
      <c r="B866" s="514" t="s">
        <v>305</v>
      </c>
      <c r="C866" s="515" t="s">
        <v>309</v>
      </c>
      <c r="D866" s="485" t="s">
        <v>1656</v>
      </c>
      <c r="E866" s="482"/>
      <c r="F866" s="482"/>
      <c r="G866" s="396"/>
      <c r="H866" s="396"/>
      <c r="I866" s="396"/>
      <c r="J866" s="396" t="s">
        <v>794</v>
      </c>
      <c r="K866" s="482" t="s">
        <v>794</v>
      </c>
      <c r="L866" s="482" t="s">
        <v>794</v>
      </c>
      <c r="M866" s="396" t="s">
        <v>294</v>
      </c>
      <c r="N866" s="396"/>
      <c r="O866" s="482"/>
      <c r="P866" s="396" t="s">
        <v>795</v>
      </c>
      <c r="Q866" s="396" t="s">
        <v>776</v>
      </c>
      <c r="R866" s="495"/>
      <c r="S866" s="491"/>
      <c r="T866" s="412"/>
      <c r="U866" s="401"/>
      <c r="V866" s="396" t="s">
        <v>309</v>
      </c>
      <c r="W866" s="396"/>
      <c r="X866" s="17"/>
      <c r="Z866" s="17"/>
    </row>
    <row r="867" spans="1:26" ht="14.25" customHeight="1">
      <c r="A867" s="396" t="s">
        <v>2647</v>
      </c>
      <c r="B867" s="504" t="s">
        <v>305</v>
      </c>
      <c r="C867" s="484" t="s">
        <v>311</v>
      </c>
      <c r="D867" s="431" t="s">
        <v>1656</v>
      </c>
      <c r="E867" s="396"/>
      <c r="F867" s="482"/>
      <c r="G867" s="68"/>
      <c r="H867" s="68"/>
      <c r="I867" s="68"/>
      <c r="J867" s="68" t="s">
        <v>794</v>
      </c>
      <c r="K867" s="482" t="s">
        <v>794</v>
      </c>
      <c r="L867" s="482" t="s">
        <v>794</v>
      </c>
      <c r="M867" s="68" t="s">
        <v>791</v>
      </c>
      <c r="N867" s="68"/>
      <c r="O867" s="396"/>
      <c r="P867" s="482" t="s">
        <v>795</v>
      </c>
      <c r="Q867" s="482" t="s">
        <v>776</v>
      </c>
      <c r="R867" s="486"/>
      <c r="S867" s="96"/>
      <c r="T867" s="506"/>
      <c r="U867" s="97"/>
      <c r="V867" s="68" t="s">
        <v>1087</v>
      </c>
      <c r="W867" s="396"/>
      <c r="X867" s="17"/>
      <c r="Z867" s="17"/>
    </row>
    <row r="868" spans="1:26" s="68" customFormat="1" ht="14.25" customHeight="1">
      <c r="A868" s="396" t="s">
        <v>2647</v>
      </c>
      <c r="B868" s="504" t="s">
        <v>305</v>
      </c>
      <c r="C868" s="503" t="s">
        <v>2276</v>
      </c>
      <c r="D868" s="431"/>
      <c r="E868" s="523">
        <v>196937</v>
      </c>
      <c r="F868" s="484" t="s">
        <v>2636</v>
      </c>
      <c r="J868" s="68" t="s">
        <v>794</v>
      </c>
      <c r="K868" s="482" t="s">
        <v>794</v>
      </c>
      <c r="L868" s="482" t="s">
        <v>794</v>
      </c>
      <c r="M868" s="68" t="s">
        <v>294</v>
      </c>
      <c r="N868" s="68">
        <v>20.646560668945298</v>
      </c>
      <c r="O868" s="482">
        <v>92.976043701171903</v>
      </c>
      <c r="P868" s="482" t="s">
        <v>795</v>
      </c>
      <c r="Q868" s="482"/>
      <c r="R868" s="490"/>
      <c r="S868" s="491"/>
      <c r="T868" s="506"/>
      <c r="U868" s="97"/>
      <c r="W868" s="396"/>
    </row>
    <row r="869" spans="1:26" ht="14.25" customHeight="1">
      <c r="A869" s="396" t="s">
        <v>2647</v>
      </c>
      <c r="B869" s="504" t="s">
        <v>305</v>
      </c>
      <c r="C869" s="503" t="s">
        <v>2029</v>
      </c>
      <c r="D869" s="431"/>
      <c r="E869" s="489">
        <v>197947</v>
      </c>
      <c r="F869" s="482" t="s">
        <v>2636</v>
      </c>
      <c r="G869" s="482"/>
      <c r="H869" s="482"/>
      <c r="I869" s="482"/>
      <c r="J869" s="482" t="s">
        <v>794</v>
      </c>
      <c r="K869" s="482" t="s">
        <v>794</v>
      </c>
      <c r="L869" s="482" t="s">
        <v>794</v>
      </c>
      <c r="M869" s="482" t="s">
        <v>294</v>
      </c>
      <c r="N869" s="482">
        <v>20.899179459999999</v>
      </c>
      <c r="O869" s="482">
        <v>92.404052730000004</v>
      </c>
      <c r="P869" s="482" t="s">
        <v>795</v>
      </c>
      <c r="Q869" s="482"/>
      <c r="R869" s="486"/>
      <c r="S869" s="487"/>
      <c r="T869" s="506">
        <v>43300</v>
      </c>
      <c r="U869" s="488"/>
      <c r="V869" s="482"/>
      <c r="W869" s="396"/>
      <c r="X869" s="17"/>
      <c r="Z869" s="17"/>
    </row>
    <row r="870" spans="1:26" ht="14.25" customHeight="1">
      <c r="A870" s="396" t="s">
        <v>2647</v>
      </c>
      <c r="B870" s="514" t="s">
        <v>305</v>
      </c>
      <c r="C870" s="515" t="s">
        <v>619</v>
      </c>
      <c r="D870" s="485" t="s">
        <v>1656</v>
      </c>
      <c r="E870" s="484" t="s">
        <v>1404</v>
      </c>
      <c r="F870" s="482"/>
      <c r="G870" s="68"/>
      <c r="H870" s="482" t="s">
        <v>40</v>
      </c>
      <c r="I870" s="68"/>
      <c r="J870" s="68" t="s">
        <v>794</v>
      </c>
      <c r="K870" s="482" t="s">
        <v>794</v>
      </c>
      <c r="L870" s="482" t="s">
        <v>1656</v>
      </c>
      <c r="M870" s="68" t="s">
        <v>791</v>
      </c>
      <c r="N870" s="396">
        <v>20.819958</v>
      </c>
      <c r="O870" s="396">
        <v>92.365793999999994</v>
      </c>
      <c r="P870" s="482" t="s">
        <v>795</v>
      </c>
      <c r="Q870" s="482" t="s">
        <v>776</v>
      </c>
      <c r="R870" s="495"/>
      <c r="S870" s="491"/>
      <c r="T870" s="506">
        <v>43248</v>
      </c>
      <c r="U870" s="97" t="s">
        <v>1897</v>
      </c>
      <c r="V870" s="68"/>
      <c r="W870" s="396"/>
      <c r="X870" s="17"/>
      <c r="Z870" s="17"/>
    </row>
    <row r="871" spans="1:26" ht="14.25" customHeight="1">
      <c r="A871" s="396" t="s">
        <v>2647</v>
      </c>
      <c r="B871" s="504" t="s">
        <v>305</v>
      </c>
      <c r="C871" s="503" t="s">
        <v>2058</v>
      </c>
      <c r="D871" s="431" t="s">
        <v>1656</v>
      </c>
      <c r="E871" s="482">
        <v>197896</v>
      </c>
      <c r="F871" s="482"/>
      <c r="G871" s="68"/>
      <c r="H871" s="68"/>
      <c r="I871" s="68"/>
      <c r="J871" s="68" t="s">
        <v>794</v>
      </c>
      <c r="K871" s="482" t="s">
        <v>794</v>
      </c>
      <c r="L871" s="482" t="s">
        <v>794</v>
      </c>
      <c r="M871" s="68" t="s">
        <v>294</v>
      </c>
      <c r="N871" s="498">
        <v>20.991559980000002</v>
      </c>
      <c r="O871" s="498">
        <v>92.290878300000003</v>
      </c>
      <c r="P871" s="68" t="s">
        <v>795</v>
      </c>
      <c r="Q871" s="68" t="s">
        <v>776</v>
      </c>
      <c r="R871" s="490"/>
      <c r="S871" s="491"/>
      <c r="T871" s="101"/>
      <c r="U871" s="97"/>
      <c r="V871" s="68" t="s">
        <v>668</v>
      </c>
      <c r="W871" s="396"/>
      <c r="X871" s="17"/>
      <c r="Z871" s="17"/>
    </row>
    <row r="872" spans="1:26" ht="14.25" customHeight="1">
      <c r="A872" s="396" t="s">
        <v>2647</v>
      </c>
      <c r="B872" s="504" t="s">
        <v>305</v>
      </c>
      <c r="C872" s="503" t="s">
        <v>2063</v>
      </c>
      <c r="D872" s="431"/>
      <c r="E872" s="482">
        <v>197921</v>
      </c>
      <c r="F872" s="482"/>
      <c r="G872" s="482"/>
      <c r="H872" s="482"/>
      <c r="I872" s="482"/>
      <c r="J872" s="482" t="s">
        <v>794</v>
      </c>
      <c r="K872" s="482" t="s">
        <v>794</v>
      </c>
      <c r="L872" s="482" t="s">
        <v>794</v>
      </c>
      <c r="M872" s="482" t="s">
        <v>791</v>
      </c>
      <c r="N872" s="482">
        <v>20.9467392</v>
      </c>
      <c r="O872" s="482">
        <v>92.330482480000001</v>
      </c>
      <c r="P872" s="482" t="s">
        <v>795</v>
      </c>
      <c r="Q872" s="482"/>
      <c r="R872" s="490"/>
      <c r="S872" s="491"/>
      <c r="T872" s="506">
        <v>43300</v>
      </c>
      <c r="U872" s="488"/>
      <c r="V872" s="482"/>
      <c r="W872" s="396"/>
      <c r="X872" s="17"/>
      <c r="Z872" s="17"/>
    </row>
    <row r="873" spans="1:26" ht="14.25" customHeight="1">
      <c r="A873" s="396" t="s">
        <v>2647</v>
      </c>
      <c r="B873" s="504" t="s">
        <v>305</v>
      </c>
      <c r="C873" s="503" t="s">
        <v>2035</v>
      </c>
      <c r="D873" s="431"/>
      <c r="E873" s="484">
        <v>197970</v>
      </c>
      <c r="F873" s="482"/>
      <c r="G873" s="68"/>
      <c r="H873" s="68"/>
      <c r="I873" s="68"/>
      <c r="J873" s="68" t="s">
        <v>794</v>
      </c>
      <c r="K873" s="482" t="s">
        <v>794</v>
      </c>
      <c r="L873" s="482" t="s">
        <v>794</v>
      </c>
      <c r="M873" s="68" t="s">
        <v>791</v>
      </c>
      <c r="N873" s="498">
        <v>20.86484909</v>
      </c>
      <c r="O873" s="498">
        <v>92.347358700000001</v>
      </c>
      <c r="P873" s="482" t="s">
        <v>795</v>
      </c>
      <c r="Q873" s="68"/>
      <c r="R873" s="490"/>
      <c r="S873" s="491"/>
      <c r="T873" s="101">
        <v>43300</v>
      </c>
      <c r="U873" s="97"/>
      <c r="V873" s="68"/>
      <c r="W873" s="396"/>
      <c r="X873" s="17"/>
      <c r="Z873" s="17"/>
    </row>
    <row r="874" spans="1:26" ht="14.25" customHeight="1">
      <c r="A874" s="482" t="s">
        <v>2647</v>
      </c>
      <c r="B874" s="504" t="s">
        <v>305</v>
      </c>
      <c r="C874" s="503" t="s">
        <v>565</v>
      </c>
      <c r="D874" s="431" t="s">
        <v>1656</v>
      </c>
      <c r="E874" s="482">
        <v>198046</v>
      </c>
      <c r="F874" s="482"/>
      <c r="G874" s="482"/>
      <c r="H874" s="482"/>
      <c r="I874" s="482"/>
      <c r="J874" s="482" t="s">
        <v>794</v>
      </c>
      <c r="K874" s="482" t="s">
        <v>794</v>
      </c>
      <c r="L874" s="482" t="s">
        <v>794</v>
      </c>
      <c r="M874" s="482" t="s">
        <v>791</v>
      </c>
      <c r="N874" s="482">
        <v>20.720169070000001</v>
      </c>
      <c r="O874" s="482">
        <v>92.432983399999998</v>
      </c>
      <c r="P874" s="482" t="s">
        <v>795</v>
      </c>
      <c r="Q874" s="482" t="s">
        <v>776</v>
      </c>
      <c r="R874" s="486"/>
      <c r="S874" s="487"/>
      <c r="T874" s="506"/>
      <c r="U874" s="488"/>
      <c r="V874" s="482" t="s">
        <v>565</v>
      </c>
      <c r="W874" s="482"/>
      <c r="X874" s="17"/>
      <c r="Z874" s="17"/>
    </row>
    <row r="875" spans="1:26" ht="14.25" customHeight="1">
      <c r="A875" s="396" t="s">
        <v>2647</v>
      </c>
      <c r="B875" s="504" t="s">
        <v>305</v>
      </c>
      <c r="C875" s="503" t="s">
        <v>315</v>
      </c>
      <c r="D875" s="431" t="s">
        <v>1656</v>
      </c>
      <c r="E875" s="68"/>
      <c r="F875" s="489"/>
      <c r="G875" s="68"/>
      <c r="H875" s="68"/>
      <c r="I875" s="68"/>
      <c r="J875" s="68" t="s">
        <v>794</v>
      </c>
      <c r="K875" s="482" t="s">
        <v>794</v>
      </c>
      <c r="L875" s="482" t="s">
        <v>794</v>
      </c>
      <c r="M875" s="68" t="s">
        <v>294</v>
      </c>
      <c r="N875" s="396"/>
      <c r="O875" s="396"/>
      <c r="P875" s="68" t="s">
        <v>795</v>
      </c>
      <c r="Q875" s="482" t="s">
        <v>776</v>
      </c>
      <c r="R875" s="490"/>
      <c r="S875" s="491"/>
      <c r="T875" s="506"/>
      <c r="U875" s="97"/>
      <c r="V875" s="68" t="s">
        <v>315</v>
      </c>
      <c r="W875" s="396"/>
      <c r="X875" s="17"/>
      <c r="Z875" s="17"/>
    </row>
    <row r="876" spans="1:26" ht="14.25" customHeight="1">
      <c r="A876" s="482" t="s">
        <v>2647</v>
      </c>
      <c r="B876" s="514" t="s">
        <v>305</v>
      </c>
      <c r="C876" s="515" t="s">
        <v>559</v>
      </c>
      <c r="D876" s="485" t="s">
        <v>1656</v>
      </c>
      <c r="E876" s="482" t="s">
        <v>1399</v>
      </c>
      <c r="F876" s="482"/>
      <c r="G876" s="482"/>
      <c r="H876" s="482" t="s">
        <v>40</v>
      </c>
      <c r="I876" s="482"/>
      <c r="J876" s="482" t="s">
        <v>794</v>
      </c>
      <c r="K876" s="482" t="s">
        <v>794</v>
      </c>
      <c r="L876" s="482" t="s">
        <v>1656</v>
      </c>
      <c r="M876" s="482" t="s">
        <v>791</v>
      </c>
      <c r="N876" s="482">
        <v>20.714846999999999</v>
      </c>
      <c r="O876" s="482">
        <v>92.443427999999997</v>
      </c>
      <c r="P876" s="482" t="s">
        <v>795</v>
      </c>
      <c r="Q876" s="482" t="s">
        <v>776</v>
      </c>
      <c r="R876" s="495"/>
      <c r="S876" s="491"/>
      <c r="T876" s="506">
        <v>43248</v>
      </c>
      <c r="U876" s="488" t="s">
        <v>1897</v>
      </c>
      <c r="V876" s="482"/>
      <c r="W876" s="482"/>
      <c r="X876" s="17"/>
      <c r="Z876" s="17"/>
    </row>
    <row r="877" spans="1:26" ht="14.25" customHeight="1">
      <c r="A877" s="482" t="s">
        <v>2647</v>
      </c>
      <c r="B877" s="514" t="s">
        <v>305</v>
      </c>
      <c r="C877" s="515" t="s">
        <v>317</v>
      </c>
      <c r="D877" s="485" t="s">
        <v>1656</v>
      </c>
      <c r="E877" s="482"/>
      <c r="F877" s="482"/>
      <c r="G877" s="482"/>
      <c r="H877" s="482"/>
      <c r="I877" s="482"/>
      <c r="J877" s="482" t="s">
        <v>794</v>
      </c>
      <c r="K877" s="482" t="s">
        <v>794</v>
      </c>
      <c r="L877" s="482" t="s">
        <v>794</v>
      </c>
      <c r="M877" s="482" t="s">
        <v>791</v>
      </c>
      <c r="N877" s="482"/>
      <c r="O877" s="482"/>
      <c r="P877" s="482" t="s">
        <v>795</v>
      </c>
      <c r="Q877" s="482" t="s">
        <v>776</v>
      </c>
      <c r="R877" s="495"/>
      <c r="S877" s="491"/>
      <c r="T877" s="506"/>
      <c r="U877" s="488"/>
      <c r="V877" s="482" t="s">
        <v>317</v>
      </c>
      <c r="W877" s="482"/>
      <c r="X877" s="17"/>
      <c r="Z877" s="17"/>
    </row>
    <row r="878" spans="1:26" ht="14.25" customHeight="1">
      <c r="A878" s="396" t="s">
        <v>2647</v>
      </c>
      <c r="B878" s="514" t="s">
        <v>305</v>
      </c>
      <c r="C878" s="515" t="s">
        <v>2075</v>
      </c>
      <c r="D878" s="485"/>
      <c r="E878" s="482">
        <v>197934</v>
      </c>
      <c r="F878" s="482"/>
      <c r="G878" s="68"/>
      <c r="H878" s="68"/>
      <c r="I878" s="68"/>
      <c r="J878" s="68" t="s">
        <v>794</v>
      </c>
      <c r="K878" s="482" t="s">
        <v>794</v>
      </c>
      <c r="L878" s="482" t="s">
        <v>794</v>
      </c>
      <c r="M878" s="68" t="s">
        <v>791</v>
      </c>
      <c r="N878" s="482">
        <v>20.857500080000001</v>
      </c>
      <c r="O878" s="482">
        <v>92.357841489999998</v>
      </c>
      <c r="P878" s="482" t="s">
        <v>795</v>
      </c>
      <c r="Q878" s="482"/>
      <c r="R878" s="494"/>
      <c r="S878" s="400"/>
      <c r="T878" s="506">
        <v>43300</v>
      </c>
      <c r="U878" s="97"/>
      <c r="V878" s="68"/>
      <c r="W878" s="396"/>
      <c r="X878" s="17"/>
      <c r="Z878" s="17"/>
    </row>
    <row r="879" spans="1:26" ht="14.25" customHeight="1">
      <c r="A879" s="482" t="s">
        <v>2647</v>
      </c>
      <c r="B879" s="504" t="s">
        <v>305</v>
      </c>
      <c r="C879" s="503" t="s">
        <v>647</v>
      </c>
      <c r="D879" s="431"/>
      <c r="E879" s="484">
        <v>197941</v>
      </c>
      <c r="F879" s="482"/>
      <c r="G879" s="396"/>
      <c r="H879" s="482"/>
      <c r="I879" s="396"/>
      <c r="J879" s="396" t="s">
        <v>794</v>
      </c>
      <c r="K879" s="482" t="s">
        <v>794</v>
      </c>
      <c r="L879" s="482" t="s">
        <v>794</v>
      </c>
      <c r="M879" s="386" t="s">
        <v>791</v>
      </c>
      <c r="N879" s="386">
        <v>20.83185005</v>
      </c>
      <c r="O879" s="482">
        <v>92.359428410000007</v>
      </c>
      <c r="P879" s="482" t="s">
        <v>795</v>
      </c>
      <c r="Q879" s="482"/>
      <c r="R879" s="486"/>
      <c r="S879" s="400"/>
      <c r="T879" s="506">
        <v>43300</v>
      </c>
      <c r="U879" s="488"/>
      <c r="V879" s="386"/>
      <c r="W879" s="482"/>
      <c r="X879" s="17"/>
      <c r="Z879" s="17"/>
    </row>
    <row r="880" spans="1:26" ht="14.25" customHeight="1">
      <c r="A880" s="482" t="s">
        <v>2647</v>
      </c>
      <c r="B880" s="504" t="s">
        <v>305</v>
      </c>
      <c r="C880" s="503" t="s">
        <v>2052</v>
      </c>
      <c r="D880" s="431"/>
      <c r="E880" s="484">
        <v>197872</v>
      </c>
      <c r="F880" s="482"/>
      <c r="G880" s="396"/>
      <c r="H880" s="396"/>
      <c r="I880" s="396"/>
      <c r="J880" s="396" t="s">
        <v>794</v>
      </c>
      <c r="K880" s="396" t="s">
        <v>794</v>
      </c>
      <c r="L880" s="396" t="s">
        <v>794</v>
      </c>
      <c r="M880" s="386" t="s">
        <v>2071</v>
      </c>
      <c r="N880" s="386">
        <v>21.07212067</v>
      </c>
      <c r="O880" s="396">
        <v>92.314163210000004</v>
      </c>
      <c r="P880" s="386" t="s">
        <v>795</v>
      </c>
      <c r="Q880" s="396"/>
      <c r="R880" s="486"/>
      <c r="S880" s="400"/>
      <c r="T880" s="412">
        <v>43300</v>
      </c>
      <c r="U880" s="488"/>
      <c r="V880" s="482"/>
      <c r="W880" s="482"/>
      <c r="X880" s="17"/>
      <c r="Z880" s="17"/>
    </row>
    <row r="881" spans="1:26" ht="14.25" customHeight="1">
      <c r="A881" s="482" t="s">
        <v>2647</v>
      </c>
      <c r="B881" s="504" t="s">
        <v>305</v>
      </c>
      <c r="C881" s="503" t="s">
        <v>2981</v>
      </c>
      <c r="D881" s="431"/>
      <c r="E881" s="482">
        <v>197975</v>
      </c>
      <c r="F881" s="484"/>
      <c r="G881" s="482"/>
      <c r="H881" s="482"/>
      <c r="I881" s="482"/>
      <c r="J881" s="482" t="s">
        <v>794</v>
      </c>
      <c r="K881" s="482" t="s">
        <v>794</v>
      </c>
      <c r="L881" s="482" t="s">
        <v>794</v>
      </c>
      <c r="M881" s="482"/>
      <c r="N881" s="482">
        <v>20.860589981079102</v>
      </c>
      <c r="O881" s="482">
        <v>92.367843627929702</v>
      </c>
      <c r="P881" s="482" t="s">
        <v>795</v>
      </c>
      <c r="Q881" s="482"/>
      <c r="R881" s="486"/>
      <c r="S881" s="487"/>
      <c r="T881" s="506">
        <v>43768</v>
      </c>
      <c r="U881" s="488"/>
      <c r="V881" s="482"/>
      <c r="W881" s="482"/>
      <c r="X881" s="17"/>
      <c r="Z881" s="17"/>
    </row>
    <row r="882" spans="1:26" ht="14.25" customHeight="1">
      <c r="A882" s="396" t="s">
        <v>2647</v>
      </c>
      <c r="B882" s="514" t="s">
        <v>305</v>
      </c>
      <c r="C882" s="515" t="s">
        <v>558</v>
      </c>
      <c r="D882" s="485" t="s">
        <v>1656</v>
      </c>
      <c r="E882" s="396">
        <v>198049</v>
      </c>
      <c r="F882" s="482"/>
      <c r="G882" s="396"/>
      <c r="H882" s="396"/>
      <c r="I882" s="396"/>
      <c r="J882" s="386" t="s">
        <v>794</v>
      </c>
      <c r="K882" s="482" t="s">
        <v>794</v>
      </c>
      <c r="L882" s="482" t="s">
        <v>794</v>
      </c>
      <c r="M882" s="396" t="s">
        <v>791</v>
      </c>
      <c r="N882" s="396">
        <v>20.714559560000001</v>
      </c>
      <c r="O882" s="396">
        <v>92.435226439999994</v>
      </c>
      <c r="P882" s="386" t="s">
        <v>795</v>
      </c>
      <c r="Q882" s="396" t="s">
        <v>776</v>
      </c>
      <c r="R882" s="494"/>
      <c r="S882" s="400"/>
      <c r="T882" s="412"/>
      <c r="U882" s="401"/>
      <c r="V882" s="482" t="s">
        <v>558</v>
      </c>
      <c r="W882" s="396"/>
      <c r="X882" s="17"/>
      <c r="Z882" s="17"/>
    </row>
    <row r="883" spans="1:26" ht="14.25" customHeight="1">
      <c r="A883" s="396" t="s">
        <v>2647</v>
      </c>
      <c r="B883" s="514" t="s">
        <v>305</v>
      </c>
      <c r="C883" s="515" t="s">
        <v>679</v>
      </c>
      <c r="D883" s="485" t="s">
        <v>1656</v>
      </c>
      <c r="E883" s="150">
        <v>220731</v>
      </c>
      <c r="F883" s="482"/>
      <c r="G883" s="386"/>
      <c r="H883" s="386"/>
      <c r="I883" s="386"/>
      <c r="J883" s="386" t="s">
        <v>794</v>
      </c>
      <c r="K883" s="396" t="s">
        <v>794</v>
      </c>
      <c r="L883" s="396" t="s">
        <v>794</v>
      </c>
      <c r="M883" s="386" t="s">
        <v>679</v>
      </c>
      <c r="N883" s="386">
        <v>21.027990339999999</v>
      </c>
      <c r="O883" s="396">
        <v>92.298881530000003</v>
      </c>
      <c r="P883" s="482" t="s">
        <v>795</v>
      </c>
      <c r="Q883" s="482" t="s">
        <v>776</v>
      </c>
      <c r="R883" s="494"/>
      <c r="S883" s="487"/>
      <c r="T883" s="152">
        <v>43300</v>
      </c>
      <c r="U883" s="488"/>
      <c r="V883" s="386" t="s">
        <v>679</v>
      </c>
      <c r="W883" s="482"/>
      <c r="X883" s="17"/>
      <c r="Z883" s="17"/>
    </row>
    <row r="884" spans="1:26" ht="14.25" customHeight="1">
      <c r="A884" s="396" t="s">
        <v>2647</v>
      </c>
      <c r="B884" s="514" t="s">
        <v>305</v>
      </c>
      <c r="C884" s="515" t="s">
        <v>557</v>
      </c>
      <c r="D884" s="485" t="s">
        <v>1656</v>
      </c>
      <c r="E884" s="482" t="s">
        <v>1398</v>
      </c>
      <c r="F884" s="482"/>
      <c r="G884" s="482"/>
      <c r="H884" s="482" t="s">
        <v>40</v>
      </c>
      <c r="I884" s="482"/>
      <c r="J884" s="482" t="s">
        <v>794</v>
      </c>
      <c r="K884" s="482" t="s">
        <v>794</v>
      </c>
      <c r="L884" s="482" t="s">
        <v>1656</v>
      </c>
      <c r="M884" s="482" t="s">
        <v>791</v>
      </c>
      <c r="N884" s="482">
        <v>20.713882999999999</v>
      </c>
      <c r="O884" s="482">
        <v>92.435378</v>
      </c>
      <c r="P884" s="482" t="s">
        <v>795</v>
      </c>
      <c r="Q884" s="482" t="s">
        <v>776</v>
      </c>
      <c r="R884" s="494"/>
      <c r="S884" s="487"/>
      <c r="T884" s="506">
        <v>43248</v>
      </c>
      <c r="U884" s="488" t="s">
        <v>1897</v>
      </c>
      <c r="V884" s="482"/>
      <c r="W884" s="396"/>
      <c r="X884" s="17"/>
      <c r="Z884" s="17"/>
    </row>
    <row r="885" spans="1:26" ht="14.25" customHeight="1">
      <c r="A885" s="396" t="s">
        <v>2647</v>
      </c>
      <c r="B885" s="504" t="s">
        <v>305</v>
      </c>
      <c r="C885" s="503" t="s">
        <v>665</v>
      </c>
      <c r="D885" s="431" t="s">
        <v>1656</v>
      </c>
      <c r="E885" s="482">
        <v>197913</v>
      </c>
      <c r="F885" s="482"/>
      <c r="G885" s="386"/>
      <c r="H885" s="386"/>
      <c r="I885" s="386"/>
      <c r="J885" s="386" t="s">
        <v>794</v>
      </c>
      <c r="K885" s="482" t="s">
        <v>794</v>
      </c>
      <c r="L885" s="482" t="s">
        <v>794</v>
      </c>
      <c r="M885" s="386" t="s">
        <v>294</v>
      </c>
      <c r="N885" s="386">
        <v>20.987419129999999</v>
      </c>
      <c r="O885" s="386">
        <v>92.362136840000005</v>
      </c>
      <c r="P885" s="386" t="s">
        <v>795</v>
      </c>
      <c r="Q885" s="386" t="s">
        <v>798</v>
      </c>
      <c r="R885" s="486"/>
      <c r="S885" s="400"/>
      <c r="T885" s="389">
        <v>42926</v>
      </c>
      <c r="U885" s="388" t="s">
        <v>799</v>
      </c>
      <c r="V885" s="482"/>
      <c r="W885" s="396"/>
      <c r="X885" s="17"/>
      <c r="Z885" s="17"/>
    </row>
    <row r="886" spans="1:26" ht="14.25" customHeight="1">
      <c r="A886" s="396" t="s">
        <v>2647</v>
      </c>
      <c r="B886" s="514" t="s">
        <v>305</v>
      </c>
      <c r="C886" s="515" t="s">
        <v>666</v>
      </c>
      <c r="D886" s="485" t="s">
        <v>1656</v>
      </c>
      <c r="E886" s="386">
        <v>197913</v>
      </c>
      <c r="F886" s="482"/>
      <c r="G886" s="386"/>
      <c r="H886" s="386"/>
      <c r="I886" s="386"/>
      <c r="J886" s="386" t="s">
        <v>794</v>
      </c>
      <c r="K886" s="482" t="s">
        <v>794</v>
      </c>
      <c r="L886" s="482" t="s">
        <v>794</v>
      </c>
      <c r="M886" s="386" t="s">
        <v>791</v>
      </c>
      <c r="N886" s="386">
        <v>20.987419129999999</v>
      </c>
      <c r="O886" s="386">
        <v>92.362136840000005</v>
      </c>
      <c r="P886" s="386" t="s">
        <v>795</v>
      </c>
      <c r="Q886" s="386" t="s">
        <v>776</v>
      </c>
      <c r="R886" s="494"/>
      <c r="S886" s="400"/>
      <c r="T886" s="389">
        <v>42745</v>
      </c>
      <c r="U886" s="388"/>
      <c r="V886" s="482" t="s">
        <v>948</v>
      </c>
      <c r="W886" s="396"/>
      <c r="X886" s="17"/>
      <c r="Z886" s="17"/>
    </row>
    <row r="887" spans="1:26" ht="14.25" customHeight="1">
      <c r="A887" s="396" t="s">
        <v>2647</v>
      </c>
      <c r="B887" s="504" t="s">
        <v>305</v>
      </c>
      <c r="C887" s="503" t="s">
        <v>2079</v>
      </c>
      <c r="D887" s="431"/>
      <c r="E887" s="386">
        <v>197913</v>
      </c>
      <c r="F887" s="482"/>
      <c r="G887" s="386"/>
      <c r="H887" s="386"/>
      <c r="I887" s="386"/>
      <c r="J887" s="386" t="s">
        <v>794</v>
      </c>
      <c r="K887" s="482" t="s">
        <v>794</v>
      </c>
      <c r="L887" s="482" t="s">
        <v>794</v>
      </c>
      <c r="M887" s="386" t="s">
        <v>294</v>
      </c>
      <c r="N887" s="386">
        <v>20.987419129999999</v>
      </c>
      <c r="O887" s="386">
        <v>92.362136840000005</v>
      </c>
      <c r="P887" s="386" t="s">
        <v>795</v>
      </c>
      <c r="Q887" s="386"/>
      <c r="R887" s="486"/>
      <c r="S887" s="400"/>
      <c r="T887" s="389">
        <v>43300</v>
      </c>
      <c r="U887" s="388"/>
      <c r="V887" s="482"/>
      <c r="W887" s="396"/>
      <c r="X887" s="17"/>
      <c r="Z887" s="17"/>
    </row>
    <row r="888" spans="1:26" ht="14.25" customHeight="1">
      <c r="A888" s="396" t="s">
        <v>2647</v>
      </c>
      <c r="B888" s="514" t="s">
        <v>305</v>
      </c>
      <c r="C888" s="515" t="s">
        <v>2066</v>
      </c>
      <c r="D888" s="485"/>
      <c r="E888" s="386">
        <v>198084</v>
      </c>
      <c r="F888" s="396"/>
      <c r="G888" s="386"/>
      <c r="H888" s="386"/>
      <c r="I888" s="386"/>
      <c r="J888" s="386" t="s">
        <v>794</v>
      </c>
      <c r="K888" s="482" t="s">
        <v>794</v>
      </c>
      <c r="L888" s="482" t="s">
        <v>794</v>
      </c>
      <c r="M888" s="386" t="s">
        <v>294</v>
      </c>
      <c r="N888" s="386">
        <v>20.51251984</v>
      </c>
      <c r="O888" s="386">
        <v>92.582893369999994</v>
      </c>
      <c r="P888" s="386" t="s">
        <v>795</v>
      </c>
      <c r="Q888" s="386"/>
      <c r="R888" s="494"/>
      <c r="S888" s="400"/>
      <c r="T888" s="389">
        <v>43300</v>
      </c>
      <c r="U888" s="388"/>
      <c r="V888" s="386"/>
      <c r="W888" s="396"/>
      <c r="X888" s="17"/>
      <c r="Z888" s="17"/>
    </row>
    <row r="889" spans="1:26" ht="14.25" customHeight="1">
      <c r="A889" s="396" t="s">
        <v>2647</v>
      </c>
      <c r="B889" s="504" t="s">
        <v>305</v>
      </c>
      <c r="C889" s="503" t="s">
        <v>2094</v>
      </c>
      <c r="D889" s="431"/>
      <c r="E889" s="482"/>
      <c r="F889" s="482"/>
      <c r="G889" s="396"/>
      <c r="H889" s="396"/>
      <c r="I889" s="396"/>
      <c r="J889" s="396" t="s">
        <v>794</v>
      </c>
      <c r="K889" s="482" t="s">
        <v>794</v>
      </c>
      <c r="L889" s="482" t="s">
        <v>794</v>
      </c>
      <c r="M889" s="396" t="s">
        <v>294</v>
      </c>
      <c r="N889" s="396"/>
      <c r="O889" s="396"/>
      <c r="P889" s="482" t="s">
        <v>795</v>
      </c>
      <c r="Q889" s="396"/>
      <c r="R889" s="486"/>
      <c r="S889" s="487"/>
      <c r="T889" s="412">
        <v>43300</v>
      </c>
      <c r="U889" s="401"/>
      <c r="V889" s="482"/>
      <c r="W889" s="396"/>
      <c r="X889" s="17"/>
      <c r="Z889" s="17"/>
    </row>
    <row r="890" spans="1:26" ht="14.25" customHeight="1">
      <c r="A890" s="396" t="s">
        <v>2647</v>
      </c>
      <c r="B890" s="504" t="s">
        <v>305</v>
      </c>
      <c r="C890" s="503" t="s">
        <v>1900</v>
      </c>
      <c r="D890" s="431"/>
      <c r="E890" s="484">
        <v>197969</v>
      </c>
      <c r="F890" s="482" t="s">
        <v>2534</v>
      </c>
      <c r="G890" s="482"/>
      <c r="H890" s="482"/>
      <c r="I890" s="482"/>
      <c r="J890" s="482" t="s">
        <v>794</v>
      </c>
      <c r="K890" s="482" t="s">
        <v>794</v>
      </c>
      <c r="L890" s="482" t="s">
        <v>794</v>
      </c>
      <c r="M890" s="482" t="s">
        <v>791</v>
      </c>
      <c r="N890" s="482">
        <v>20.866529459999999</v>
      </c>
      <c r="O890" s="482">
        <v>92.364883419999998</v>
      </c>
      <c r="P890" s="482" t="s">
        <v>795</v>
      </c>
      <c r="Q890" s="482" t="s">
        <v>1904</v>
      </c>
      <c r="R890" s="486"/>
      <c r="S890" s="487"/>
      <c r="T890" s="506">
        <v>43245</v>
      </c>
      <c r="U890" s="488"/>
      <c r="V890" s="482"/>
      <c r="W890" s="396"/>
      <c r="X890" s="17"/>
      <c r="Z890" s="17"/>
    </row>
    <row r="891" spans="1:26" ht="14.25" customHeight="1">
      <c r="A891" s="396" t="s">
        <v>2647</v>
      </c>
      <c r="B891" s="504" t="s">
        <v>305</v>
      </c>
      <c r="C891" s="503" t="s">
        <v>2077</v>
      </c>
      <c r="D891" s="431"/>
      <c r="E891" s="482">
        <v>197936</v>
      </c>
      <c r="F891" s="482"/>
      <c r="G891" s="386"/>
      <c r="H891" s="386"/>
      <c r="I891" s="396"/>
      <c r="J891" s="386" t="s">
        <v>794</v>
      </c>
      <c r="K891" s="396" t="s">
        <v>794</v>
      </c>
      <c r="L891" s="396" t="s">
        <v>794</v>
      </c>
      <c r="M891" s="386" t="s">
        <v>294</v>
      </c>
      <c r="N891" s="386">
        <v>20.84993935</v>
      </c>
      <c r="O891" s="482">
        <v>92.348213200000004</v>
      </c>
      <c r="P891" s="386" t="s">
        <v>795</v>
      </c>
      <c r="Q891" s="386"/>
      <c r="R891" s="486"/>
      <c r="S891" s="400"/>
      <c r="T891" s="389">
        <v>43300</v>
      </c>
      <c r="U891" s="388"/>
      <c r="V891" s="386"/>
      <c r="W891" s="396"/>
      <c r="X891" s="17"/>
      <c r="Z891" s="17"/>
    </row>
    <row r="892" spans="1:26" ht="14.25" customHeight="1">
      <c r="A892" s="396" t="s">
        <v>2647</v>
      </c>
      <c r="B892" s="504" t="s">
        <v>305</v>
      </c>
      <c r="C892" s="503" t="s">
        <v>2041</v>
      </c>
      <c r="D892" s="431"/>
      <c r="E892" s="482">
        <v>197986</v>
      </c>
      <c r="F892" s="396"/>
      <c r="G892" s="396"/>
      <c r="H892" s="396"/>
      <c r="I892" s="396"/>
      <c r="J892" s="396" t="s">
        <v>794</v>
      </c>
      <c r="K892" s="396" t="s">
        <v>794</v>
      </c>
      <c r="L892" s="396" t="s">
        <v>794</v>
      </c>
      <c r="M892" s="396" t="s">
        <v>791</v>
      </c>
      <c r="N892" s="396">
        <v>20.819730759999999</v>
      </c>
      <c r="O892" s="396">
        <v>92.376846310000005</v>
      </c>
      <c r="P892" s="482" t="s">
        <v>795</v>
      </c>
      <c r="Q892" s="396"/>
      <c r="R892" s="486"/>
      <c r="S892" s="400"/>
      <c r="T892" s="412">
        <v>43300</v>
      </c>
      <c r="U892" s="401"/>
      <c r="V892" s="396"/>
      <c r="W892" s="396"/>
      <c r="X892" s="17"/>
      <c r="Z892" s="17"/>
    </row>
    <row r="893" spans="1:26" ht="14.25" customHeight="1">
      <c r="A893" s="396" t="s">
        <v>2647</v>
      </c>
      <c r="B893" s="514" t="s">
        <v>305</v>
      </c>
      <c r="C893" s="515" t="s">
        <v>367</v>
      </c>
      <c r="D893" s="485"/>
      <c r="E893" s="482">
        <v>197967</v>
      </c>
      <c r="F893" s="482"/>
      <c r="G893" s="482"/>
      <c r="H893" s="482"/>
      <c r="I893" s="482"/>
      <c r="J893" s="482" t="s">
        <v>794</v>
      </c>
      <c r="K893" s="482" t="s">
        <v>794</v>
      </c>
      <c r="L893" s="482" t="s">
        <v>794</v>
      </c>
      <c r="M893" s="482" t="s">
        <v>791</v>
      </c>
      <c r="N893" s="482">
        <v>20.872419359999999</v>
      </c>
      <c r="O893" s="482">
        <v>92.352493289999998</v>
      </c>
      <c r="P893" s="482" t="s">
        <v>795</v>
      </c>
      <c r="Q893" s="482"/>
      <c r="R893" s="494"/>
      <c r="S893" s="487"/>
      <c r="T893" s="506">
        <v>43300</v>
      </c>
      <c r="U893" s="488"/>
      <c r="V893" s="482"/>
      <c r="W893" s="396"/>
      <c r="X893" s="17"/>
      <c r="Z893" s="17"/>
    </row>
    <row r="894" spans="1:26" ht="14.25" customHeight="1">
      <c r="A894" s="396" t="s">
        <v>2647</v>
      </c>
      <c r="B894" s="504" t="s">
        <v>305</v>
      </c>
      <c r="C894" s="503" t="s">
        <v>2533</v>
      </c>
      <c r="D894" s="431"/>
      <c r="E894" s="482"/>
      <c r="F894" s="482"/>
      <c r="G894" s="482"/>
      <c r="H894" s="482"/>
      <c r="I894" s="482"/>
      <c r="J894" s="482" t="s">
        <v>794</v>
      </c>
      <c r="K894" s="482" t="s">
        <v>794</v>
      </c>
      <c r="L894" s="482" t="s">
        <v>794</v>
      </c>
      <c r="M894" s="482" t="s">
        <v>791</v>
      </c>
      <c r="N894" s="482"/>
      <c r="O894" s="482"/>
      <c r="P894" s="482" t="s">
        <v>795</v>
      </c>
      <c r="Q894" s="482"/>
      <c r="R894" s="486"/>
      <c r="S894" s="487"/>
      <c r="T894" s="506"/>
      <c r="U894" s="488"/>
      <c r="V894" s="482"/>
      <c r="W894" s="396"/>
      <c r="X894" s="17"/>
      <c r="Z894" s="17"/>
    </row>
    <row r="895" spans="1:26" ht="14.25" customHeight="1">
      <c r="A895" s="482" t="s">
        <v>2647</v>
      </c>
      <c r="B895" s="514" t="s">
        <v>305</v>
      </c>
      <c r="C895" s="515" t="s">
        <v>2076</v>
      </c>
      <c r="D895" s="485"/>
      <c r="E895" s="386">
        <v>197935</v>
      </c>
      <c r="F895" s="482"/>
      <c r="G895" s="386"/>
      <c r="H895" s="386"/>
      <c r="I895" s="386"/>
      <c r="J895" s="386" t="s">
        <v>794</v>
      </c>
      <c r="K895" s="482" t="s">
        <v>794</v>
      </c>
      <c r="L895" s="482" t="s">
        <v>794</v>
      </c>
      <c r="M895" s="386" t="s">
        <v>791</v>
      </c>
      <c r="N895" s="386">
        <v>20.85008049</v>
      </c>
      <c r="O895" s="386">
        <v>92.353576660000002</v>
      </c>
      <c r="P895" s="482" t="s">
        <v>795</v>
      </c>
      <c r="Q895" s="386"/>
      <c r="R895" s="494"/>
      <c r="S895" s="400"/>
      <c r="T895" s="389">
        <v>43300</v>
      </c>
      <c r="U895" s="488"/>
      <c r="V895" s="482"/>
      <c r="W895" s="482"/>
      <c r="X895" s="17"/>
      <c r="Z895" s="17"/>
    </row>
    <row r="896" spans="1:26" ht="14.25" customHeight="1">
      <c r="A896" s="396" t="s">
        <v>2647</v>
      </c>
      <c r="B896" s="514" t="s">
        <v>305</v>
      </c>
      <c r="C896" s="515" t="s">
        <v>629</v>
      </c>
      <c r="D896" s="485" t="s">
        <v>1656</v>
      </c>
      <c r="E896" s="386">
        <v>197992</v>
      </c>
      <c r="F896" s="484"/>
      <c r="G896" s="386"/>
      <c r="H896" s="386"/>
      <c r="I896" s="386"/>
      <c r="J896" s="386" t="s">
        <v>794</v>
      </c>
      <c r="K896" s="386" t="s">
        <v>794</v>
      </c>
      <c r="L896" s="386" t="s">
        <v>794</v>
      </c>
      <c r="M896" s="386" t="s">
        <v>791</v>
      </c>
      <c r="N896" s="386">
        <v>20.83049011</v>
      </c>
      <c r="O896" s="386">
        <v>92.393707280000001</v>
      </c>
      <c r="P896" s="482" t="s">
        <v>795</v>
      </c>
      <c r="Q896" s="386" t="s">
        <v>776</v>
      </c>
      <c r="R896" s="494"/>
      <c r="S896" s="400"/>
      <c r="T896" s="389"/>
      <c r="U896" s="388"/>
      <c r="V896" s="386" t="s">
        <v>629</v>
      </c>
      <c r="W896" s="396"/>
      <c r="X896" s="17"/>
      <c r="Z896" s="17"/>
    </row>
    <row r="897" spans="1:26" ht="14.25" customHeight="1">
      <c r="A897" s="396" t="s">
        <v>2647</v>
      </c>
      <c r="B897" s="514" t="s">
        <v>305</v>
      </c>
      <c r="C897" s="503" t="s">
        <v>625</v>
      </c>
      <c r="D897" s="485" t="s">
        <v>1656</v>
      </c>
      <c r="E897" s="482">
        <v>197989</v>
      </c>
      <c r="F897" s="386"/>
      <c r="G897" s="386"/>
      <c r="H897" s="386"/>
      <c r="I897" s="386"/>
      <c r="J897" s="386" t="s">
        <v>794</v>
      </c>
      <c r="K897" s="482" t="s">
        <v>794</v>
      </c>
      <c r="L897" s="482" t="s">
        <v>794</v>
      </c>
      <c r="M897" s="386" t="s">
        <v>791</v>
      </c>
      <c r="N897" s="386">
        <v>20.82498932</v>
      </c>
      <c r="O897" s="386">
        <v>92.390571589999993</v>
      </c>
      <c r="P897" s="482" t="s">
        <v>795</v>
      </c>
      <c r="Q897" s="484" t="s">
        <v>776</v>
      </c>
      <c r="R897" s="494"/>
      <c r="S897" s="400"/>
      <c r="T897" s="507"/>
      <c r="U897" s="388"/>
      <c r="V897" s="386" t="s">
        <v>625</v>
      </c>
      <c r="W897" s="396"/>
      <c r="X897" s="17"/>
      <c r="Z897" s="17"/>
    </row>
    <row r="898" spans="1:26" ht="14.25" customHeight="1">
      <c r="A898" s="396" t="s">
        <v>2647</v>
      </c>
      <c r="B898" s="514" t="s">
        <v>305</v>
      </c>
      <c r="C898" s="515" t="s">
        <v>2026</v>
      </c>
      <c r="D898" s="485"/>
      <c r="E898" s="386">
        <v>197937</v>
      </c>
      <c r="F898" s="482"/>
      <c r="G898" s="386"/>
      <c r="H898" s="386"/>
      <c r="I898" s="386"/>
      <c r="J898" s="386" t="s">
        <v>794</v>
      </c>
      <c r="K898" s="482" t="s">
        <v>794</v>
      </c>
      <c r="L898" s="482" t="s">
        <v>794</v>
      </c>
      <c r="M898" s="386" t="s">
        <v>791</v>
      </c>
      <c r="N898" s="386">
        <v>20.845720289999999</v>
      </c>
      <c r="O898" s="386">
        <v>92.353950499999996</v>
      </c>
      <c r="P898" s="482" t="s">
        <v>795</v>
      </c>
      <c r="Q898" s="386"/>
      <c r="R898" s="494"/>
      <c r="S898" s="400"/>
      <c r="T898" s="389">
        <v>43300</v>
      </c>
      <c r="U898" s="388"/>
      <c r="V898" s="482"/>
      <c r="W898" s="396"/>
      <c r="X898" s="17"/>
      <c r="Z898" s="17"/>
    </row>
    <row r="899" spans="1:26" ht="14.25" customHeight="1">
      <c r="A899" s="396" t="s">
        <v>2647</v>
      </c>
      <c r="B899" s="514" t="s">
        <v>305</v>
      </c>
      <c r="C899" s="515" t="s">
        <v>621</v>
      </c>
      <c r="D899" s="485" t="s">
        <v>1656</v>
      </c>
      <c r="E899" s="482">
        <v>217894</v>
      </c>
      <c r="F899" s="482"/>
      <c r="G899" s="482"/>
      <c r="H899" s="482"/>
      <c r="I899" s="482"/>
      <c r="J899" s="482" t="s">
        <v>794</v>
      </c>
      <c r="K899" s="482" t="s">
        <v>794</v>
      </c>
      <c r="L899" s="482" t="s">
        <v>794</v>
      </c>
      <c r="M899" s="482" t="s">
        <v>294</v>
      </c>
      <c r="N899" s="482">
        <v>20.822059629999998</v>
      </c>
      <c r="O899" s="482">
        <v>92.41690826</v>
      </c>
      <c r="P899" s="482" t="s">
        <v>795</v>
      </c>
      <c r="Q899" s="482" t="s">
        <v>776</v>
      </c>
      <c r="R899" s="494"/>
      <c r="S899" s="487"/>
      <c r="T899" s="506"/>
      <c r="U899" s="488"/>
      <c r="V899" s="482" t="s">
        <v>621</v>
      </c>
      <c r="W899" s="396"/>
      <c r="X899" s="17"/>
      <c r="Z899" s="17"/>
    </row>
    <row r="900" spans="1:26" ht="14.25" customHeight="1">
      <c r="A900" s="487" t="s">
        <v>2647</v>
      </c>
      <c r="B900" s="514" t="s">
        <v>305</v>
      </c>
      <c r="C900" s="515" t="s">
        <v>2809</v>
      </c>
      <c r="D900" s="485"/>
      <c r="E900" s="482">
        <v>217895</v>
      </c>
      <c r="F900" s="512" t="s">
        <v>2815</v>
      </c>
      <c r="G900" s="396"/>
      <c r="H900" s="482"/>
      <c r="I900" s="396"/>
      <c r="J900" s="386" t="s">
        <v>794</v>
      </c>
      <c r="K900" s="396" t="s">
        <v>794</v>
      </c>
      <c r="L900" s="396" t="s">
        <v>794</v>
      </c>
      <c r="M900" s="396" t="s">
        <v>294</v>
      </c>
      <c r="N900" s="396">
        <v>20.8013000488281</v>
      </c>
      <c r="O900" s="396">
        <v>92.423202514648395</v>
      </c>
      <c r="P900" s="482" t="s">
        <v>795</v>
      </c>
      <c r="Q900" s="482" t="s">
        <v>2961</v>
      </c>
      <c r="R900" s="494"/>
      <c r="S900" s="400"/>
      <c r="T900" s="506"/>
      <c r="U900" s="494"/>
      <c r="V900" s="396" t="s">
        <v>603</v>
      </c>
      <c r="W900" s="486"/>
      <c r="X900" s="17"/>
      <c r="Z900" s="17"/>
    </row>
    <row r="901" spans="1:26" ht="14.25" customHeight="1">
      <c r="A901" s="487" t="s">
        <v>2647</v>
      </c>
      <c r="B901" s="514" t="s">
        <v>305</v>
      </c>
      <c r="C901" s="515" t="s">
        <v>2972</v>
      </c>
      <c r="D901" s="485"/>
      <c r="E901" s="386"/>
      <c r="F901" s="512" t="s">
        <v>2815</v>
      </c>
      <c r="G901" s="386"/>
      <c r="H901" s="482"/>
      <c r="I901" s="386"/>
      <c r="J901" s="386" t="s">
        <v>794</v>
      </c>
      <c r="K901" s="386" t="s">
        <v>794</v>
      </c>
      <c r="L901" s="386" t="s">
        <v>794</v>
      </c>
      <c r="M901" s="386" t="s">
        <v>294</v>
      </c>
      <c r="N901" s="386"/>
      <c r="O901" s="396"/>
      <c r="P901" s="482" t="s">
        <v>795</v>
      </c>
      <c r="Q901" s="482" t="s">
        <v>2961</v>
      </c>
      <c r="R901" s="494"/>
      <c r="S901" s="400"/>
      <c r="T901" s="506"/>
      <c r="U901" s="494"/>
      <c r="V901" s="386" t="s">
        <v>603</v>
      </c>
      <c r="W901" s="486"/>
      <c r="X901" s="17"/>
      <c r="Z901" s="17"/>
    </row>
    <row r="902" spans="1:26" ht="14.25" customHeight="1">
      <c r="A902" s="487" t="s">
        <v>2647</v>
      </c>
      <c r="B902" s="514" t="s">
        <v>305</v>
      </c>
      <c r="C902" s="515" t="s">
        <v>2971</v>
      </c>
      <c r="D902" s="485"/>
      <c r="E902" s="482"/>
      <c r="F902" s="512" t="s">
        <v>2815</v>
      </c>
      <c r="G902" s="482"/>
      <c r="H902" s="482"/>
      <c r="I902" s="482"/>
      <c r="J902" s="482" t="s">
        <v>794</v>
      </c>
      <c r="K902" s="482" t="s">
        <v>794</v>
      </c>
      <c r="L902" s="482" t="s">
        <v>794</v>
      </c>
      <c r="M902" s="482" t="s">
        <v>294</v>
      </c>
      <c r="N902" s="482"/>
      <c r="O902" s="482"/>
      <c r="P902" s="482" t="s">
        <v>795</v>
      </c>
      <c r="Q902" s="482" t="s">
        <v>2961</v>
      </c>
      <c r="R902" s="494"/>
      <c r="S902" s="487"/>
      <c r="T902" s="506"/>
      <c r="U902" s="494"/>
      <c r="V902" s="482" t="s">
        <v>603</v>
      </c>
      <c r="W902" s="486"/>
      <c r="X902" s="17"/>
      <c r="Z902" s="17"/>
    </row>
    <row r="903" spans="1:26" ht="14.25" customHeight="1">
      <c r="A903" s="482" t="s">
        <v>2647</v>
      </c>
      <c r="B903" s="504" t="s">
        <v>305</v>
      </c>
      <c r="C903" s="503" t="s">
        <v>2060</v>
      </c>
      <c r="D903" s="485" t="s">
        <v>1656</v>
      </c>
      <c r="E903" s="482">
        <v>197890</v>
      </c>
      <c r="F903" s="482"/>
      <c r="G903" s="482"/>
      <c r="H903" s="482"/>
      <c r="I903" s="482"/>
      <c r="J903" s="482" t="s">
        <v>794</v>
      </c>
      <c r="K903" s="484" t="s">
        <v>794</v>
      </c>
      <c r="L903" s="484" t="s">
        <v>794</v>
      </c>
      <c r="M903" s="482" t="s">
        <v>294</v>
      </c>
      <c r="N903" s="482">
        <v>21.016569140000001</v>
      </c>
      <c r="O903" s="482">
        <v>92.307716369999994</v>
      </c>
      <c r="P903" s="482" t="s">
        <v>795</v>
      </c>
      <c r="Q903" s="482" t="s">
        <v>776</v>
      </c>
      <c r="R903" s="486"/>
      <c r="S903" s="487"/>
      <c r="T903" s="506">
        <v>43300</v>
      </c>
      <c r="U903" s="488"/>
      <c r="V903" s="482" t="s">
        <v>674</v>
      </c>
      <c r="W903" s="482"/>
      <c r="X903" s="17"/>
      <c r="Z903" s="17"/>
    </row>
    <row r="904" spans="1:26" ht="14.25" customHeight="1">
      <c r="A904" s="396" t="s">
        <v>2647</v>
      </c>
      <c r="B904" s="514" t="s">
        <v>305</v>
      </c>
      <c r="C904" s="515" t="s">
        <v>2682</v>
      </c>
      <c r="D904" s="485"/>
      <c r="E904" s="482">
        <v>197817</v>
      </c>
      <c r="F904" s="482"/>
      <c r="G904" s="386"/>
      <c r="H904" s="386"/>
      <c r="I904" s="386"/>
      <c r="J904" s="386" t="s">
        <v>794</v>
      </c>
      <c r="K904" s="386" t="s">
        <v>794</v>
      </c>
      <c r="L904" s="386" t="s">
        <v>794</v>
      </c>
      <c r="M904" s="386"/>
      <c r="N904" s="386">
        <v>21.270368576049801</v>
      </c>
      <c r="O904" s="482">
        <v>92.2763671875</v>
      </c>
      <c r="P904" s="482" t="s">
        <v>795</v>
      </c>
      <c r="Q904" s="386" t="s">
        <v>2961</v>
      </c>
      <c r="R904" s="494"/>
      <c r="S904" s="400"/>
      <c r="T904" s="389">
        <v>43769</v>
      </c>
      <c r="U904" s="494"/>
      <c r="V904" s="386"/>
      <c r="W904" s="486"/>
      <c r="X904" s="17"/>
      <c r="Z904" s="17"/>
    </row>
    <row r="905" spans="1:26" ht="14.25" customHeight="1">
      <c r="A905" s="482" t="s">
        <v>2647</v>
      </c>
      <c r="B905" s="504" t="s">
        <v>305</v>
      </c>
      <c r="C905" s="503" t="s">
        <v>322</v>
      </c>
      <c r="D905" s="431" t="s">
        <v>1656</v>
      </c>
      <c r="E905" s="484"/>
      <c r="F905" s="482"/>
      <c r="G905" s="386"/>
      <c r="H905" s="386"/>
      <c r="I905" s="386"/>
      <c r="J905" s="386" t="s">
        <v>794</v>
      </c>
      <c r="K905" s="484" t="s">
        <v>794</v>
      </c>
      <c r="L905" s="484" t="s">
        <v>794</v>
      </c>
      <c r="M905" s="386" t="s">
        <v>791</v>
      </c>
      <c r="N905" s="482"/>
      <c r="O905" s="482"/>
      <c r="P905" s="386" t="s">
        <v>795</v>
      </c>
      <c r="Q905" s="386" t="s">
        <v>776</v>
      </c>
      <c r="R905" s="486"/>
      <c r="S905" s="400"/>
      <c r="T905" s="389"/>
      <c r="U905" s="488"/>
      <c r="V905" s="482"/>
      <c r="W905" s="482"/>
      <c r="X905" s="17"/>
      <c r="Z905" s="17"/>
    </row>
    <row r="906" spans="1:26" ht="14.25" customHeight="1">
      <c r="A906" s="482" t="s">
        <v>2647</v>
      </c>
      <c r="B906" s="514" t="s">
        <v>305</v>
      </c>
      <c r="C906" s="515" t="s">
        <v>585</v>
      </c>
      <c r="D906" s="485" t="s">
        <v>1656</v>
      </c>
      <c r="E906" s="482">
        <v>220739</v>
      </c>
      <c r="F906" s="482"/>
      <c r="G906" s="386"/>
      <c r="H906" s="386"/>
      <c r="I906" s="386"/>
      <c r="J906" s="386" t="s">
        <v>794</v>
      </c>
      <c r="K906" s="484" t="s">
        <v>794</v>
      </c>
      <c r="L906" s="484" t="s">
        <v>794</v>
      </c>
      <c r="M906" s="386" t="s">
        <v>294</v>
      </c>
      <c r="N906" s="482">
        <v>20.76523972</v>
      </c>
      <c r="O906" s="482">
        <v>92.422332760000003</v>
      </c>
      <c r="P906" s="482" t="s">
        <v>795</v>
      </c>
      <c r="Q906" s="386" t="s">
        <v>776</v>
      </c>
      <c r="R906" s="494"/>
      <c r="S906" s="400"/>
      <c r="T906" s="389"/>
      <c r="U906" s="488"/>
      <c r="V906" s="386" t="s">
        <v>930</v>
      </c>
      <c r="W906" s="482"/>
      <c r="X906" s="17"/>
      <c r="Z906" s="17"/>
    </row>
    <row r="907" spans="1:26" ht="14.25" customHeight="1">
      <c r="A907" s="396" t="s">
        <v>2647</v>
      </c>
      <c r="B907" s="504" t="s">
        <v>305</v>
      </c>
      <c r="C907" s="503" t="s">
        <v>2973</v>
      </c>
      <c r="D907" s="431" t="s">
        <v>1656</v>
      </c>
      <c r="E907" s="482"/>
      <c r="F907" s="482"/>
      <c r="G907" s="482"/>
      <c r="H907" s="482"/>
      <c r="I907" s="482"/>
      <c r="J907" s="482" t="s">
        <v>794</v>
      </c>
      <c r="K907" s="484" t="s">
        <v>794</v>
      </c>
      <c r="L907" s="484" t="s">
        <v>794</v>
      </c>
      <c r="M907" s="482" t="s">
        <v>294</v>
      </c>
      <c r="N907" s="482"/>
      <c r="O907" s="482"/>
      <c r="P907" s="482" t="s">
        <v>795</v>
      </c>
      <c r="Q907" s="482" t="s">
        <v>922</v>
      </c>
      <c r="R907" s="486"/>
      <c r="S907" s="487"/>
      <c r="T907" s="506"/>
      <c r="U907" s="488"/>
      <c r="V907" s="482" t="s">
        <v>926</v>
      </c>
      <c r="W907" s="396"/>
      <c r="X907" s="17"/>
      <c r="Z907" s="17"/>
    </row>
    <row r="908" spans="1:26" ht="14.25" customHeight="1">
      <c r="A908" s="396" t="s">
        <v>2647</v>
      </c>
      <c r="B908" s="504" t="s">
        <v>305</v>
      </c>
      <c r="C908" s="503" t="s">
        <v>560</v>
      </c>
      <c r="D908" s="431" t="s">
        <v>1656</v>
      </c>
      <c r="E908" s="482">
        <v>220744</v>
      </c>
      <c r="F908" s="396"/>
      <c r="G908" s="386"/>
      <c r="H908" s="386"/>
      <c r="I908" s="396"/>
      <c r="J908" s="386" t="s">
        <v>794</v>
      </c>
      <c r="K908" s="484" t="s">
        <v>794</v>
      </c>
      <c r="L908" s="484" t="s">
        <v>794</v>
      </c>
      <c r="M908" s="386" t="s">
        <v>294</v>
      </c>
      <c r="N908" s="386">
        <v>20.71612167</v>
      </c>
      <c r="O908" s="386">
        <v>92.442459110000001</v>
      </c>
      <c r="P908" s="482" t="s">
        <v>795</v>
      </c>
      <c r="Q908" s="386" t="s">
        <v>776</v>
      </c>
      <c r="R908" s="486"/>
      <c r="S908" s="400"/>
      <c r="T908" s="389"/>
      <c r="U908" s="388"/>
      <c r="V908" s="386" t="s">
        <v>926</v>
      </c>
      <c r="W908" s="396"/>
      <c r="X908" s="17"/>
      <c r="Z908" s="17"/>
    </row>
    <row r="909" spans="1:26" ht="14.25" customHeight="1">
      <c r="A909" s="482" t="s">
        <v>2647</v>
      </c>
      <c r="B909" s="514" t="s">
        <v>305</v>
      </c>
      <c r="C909" s="515" t="s">
        <v>526</v>
      </c>
      <c r="D909" s="485" t="s">
        <v>1656</v>
      </c>
      <c r="E909" s="482">
        <v>198024</v>
      </c>
      <c r="F909" s="482"/>
      <c r="G909" s="482"/>
      <c r="H909" s="482"/>
      <c r="I909" s="482"/>
      <c r="J909" s="482" t="s">
        <v>794</v>
      </c>
      <c r="K909" s="484" t="s">
        <v>794</v>
      </c>
      <c r="L909" s="484" t="s">
        <v>794</v>
      </c>
      <c r="M909" s="482" t="s">
        <v>791</v>
      </c>
      <c r="N909" s="482">
        <v>20.669300079999999</v>
      </c>
      <c r="O909" s="482">
        <v>92.46575928</v>
      </c>
      <c r="P909" s="482" t="s">
        <v>795</v>
      </c>
      <c r="Q909" s="482" t="s">
        <v>776</v>
      </c>
      <c r="R909" s="494"/>
      <c r="S909" s="487"/>
      <c r="T909" s="506">
        <v>42745</v>
      </c>
      <c r="U909" s="488"/>
      <c r="V909" s="482" t="s">
        <v>920</v>
      </c>
      <c r="W909" s="482"/>
      <c r="X909" s="17"/>
      <c r="Z909" s="17"/>
    </row>
    <row r="910" spans="1:26" ht="14.25" customHeight="1">
      <c r="A910" s="396" t="s">
        <v>2647</v>
      </c>
      <c r="B910" s="504" t="s">
        <v>305</v>
      </c>
      <c r="C910" s="503" t="s">
        <v>680</v>
      </c>
      <c r="D910" s="431" t="s">
        <v>1656</v>
      </c>
      <c r="E910" s="484">
        <v>197887</v>
      </c>
      <c r="F910" s="482"/>
      <c r="G910" s="396"/>
      <c r="H910" s="482"/>
      <c r="I910" s="396"/>
      <c r="J910" s="396" t="s">
        <v>794</v>
      </c>
      <c r="K910" s="484" t="s">
        <v>794</v>
      </c>
      <c r="L910" s="484" t="s">
        <v>794</v>
      </c>
      <c r="M910" s="396" t="s">
        <v>791</v>
      </c>
      <c r="N910" s="396">
        <v>21.04866028</v>
      </c>
      <c r="O910" s="396">
        <v>92.293350219999994</v>
      </c>
      <c r="P910" s="396" t="s">
        <v>795</v>
      </c>
      <c r="Q910" s="482" t="s">
        <v>776</v>
      </c>
      <c r="R910" s="486"/>
      <c r="S910" s="487"/>
      <c r="T910" s="506"/>
      <c r="U910" s="401"/>
      <c r="V910" s="396" t="s">
        <v>680</v>
      </c>
      <c r="W910" s="396"/>
      <c r="X910" s="17"/>
      <c r="Z910" s="17"/>
    </row>
    <row r="911" spans="1:26" ht="14.25" customHeight="1">
      <c r="A911" s="482" t="s">
        <v>2647</v>
      </c>
      <c r="B911" s="504" t="s">
        <v>305</v>
      </c>
      <c r="C911" s="503" t="s">
        <v>2051</v>
      </c>
      <c r="D911" s="431"/>
      <c r="E911" s="482">
        <v>198094</v>
      </c>
      <c r="F911" s="482"/>
      <c r="G911" s="482"/>
      <c r="H911" s="482"/>
      <c r="I911" s="482"/>
      <c r="J911" s="482" t="s">
        <v>794</v>
      </c>
      <c r="K911" s="482" t="s">
        <v>794</v>
      </c>
      <c r="L911" s="482" t="s">
        <v>794</v>
      </c>
      <c r="M911" s="482" t="s">
        <v>294</v>
      </c>
      <c r="N911" s="482">
        <v>21.157270430000001</v>
      </c>
      <c r="O911" s="482">
        <v>92.209739690000006</v>
      </c>
      <c r="P911" s="482" t="s">
        <v>795</v>
      </c>
      <c r="Q911" s="482"/>
      <c r="R911" s="486"/>
      <c r="S911" s="487"/>
      <c r="T911" s="506">
        <v>43300</v>
      </c>
      <c r="U911" s="488"/>
      <c r="V911" s="482"/>
      <c r="W911" s="482"/>
      <c r="X911" s="17"/>
      <c r="Z911" s="17"/>
    </row>
    <row r="912" spans="1:26" ht="14.25" customHeight="1">
      <c r="A912" s="396" t="s">
        <v>2647</v>
      </c>
      <c r="B912" s="504" t="s">
        <v>305</v>
      </c>
      <c r="C912" s="503" t="s">
        <v>2038</v>
      </c>
      <c r="D912" s="431"/>
      <c r="E912" s="484">
        <v>197950</v>
      </c>
      <c r="F912" s="482"/>
      <c r="G912" s="482"/>
      <c r="H912" s="482"/>
      <c r="I912" s="482"/>
      <c r="J912" s="482" t="s">
        <v>794</v>
      </c>
      <c r="K912" s="482" t="s">
        <v>794</v>
      </c>
      <c r="L912" s="482" t="s">
        <v>794</v>
      </c>
      <c r="M912" s="482" t="s">
        <v>791</v>
      </c>
      <c r="N912" s="482">
        <v>20.914119719999999</v>
      </c>
      <c r="O912" s="484">
        <v>92.3506012</v>
      </c>
      <c r="P912" s="482" t="s">
        <v>795</v>
      </c>
      <c r="Q912" s="482"/>
      <c r="R912" s="486"/>
      <c r="S912" s="487"/>
      <c r="T912" s="506">
        <v>43300</v>
      </c>
      <c r="U912" s="488"/>
      <c r="V912" s="482"/>
      <c r="W912" s="396"/>
      <c r="X912" s="17"/>
      <c r="Z912" s="17"/>
    </row>
    <row r="913" spans="1:26" ht="14.25" customHeight="1">
      <c r="A913" s="396" t="s">
        <v>2647</v>
      </c>
      <c r="B913" s="514" t="s">
        <v>305</v>
      </c>
      <c r="C913" s="515" t="s">
        <v>2067</v>
      </c>
      <c r="D913" s="485"/>
      <c r="E913" s="482">
        <v>198075</v>
      </c>
      <c r="F913" s="396"/>
      <c r="G913" s="386"/>
      <c r="H913" s="386"/>
      <c r="I913" s="386"/>
      <c r="J913" s="386" t="s">
        <v>794</v>
      </c>
      <c r="K913" s="386" t="s">
        <v>794</v>
      </c>
      <c r="L913" s="386" t="s">
        <v>794</v>
      </c>
      <c r="M913" s="386" t="s">
        <v>294</v>
      </c>
      <c r="N913" s="386">
        <v>20.543220519999998</v>
      </c>
      <c r="O913" s="386">
        <v>92.544296259999996</v>
      </c>
      <c r="P913" s="386" t="s">
        <v>795</v>
      </c>
      <c r="Q913" s="386"/>
      <c r="R913" s="494"/>
      <c r="S913" s="400"/>
      <c r="T913" s="389">
        <v>43300</v>
      </c>
      <c r="U913" s="388"/>
      <c r="V913" s="386"/>
      <c r="W913" s="396"/>
      <c r="X913" s="17"/>
      <c r="Z913" s="17"/>
    </row>
    <row r="914" spans="1:26" ht="14.25" customHeight="1">
      <c r="A914" s="482" t="s">
        <v>2647</v>
      </c>
      <c r="B914" s="504" t="s">
        <v>305</v>
      </c>
      <c r="C914" s="503" t="s">
        <v>492</v>
      </c>
      <c r="D914" s="431" t="s">
        <v>1656</v>
      </c>
      <c r="E914" s="482">
        <v>198075</v>
      </c>
      <c r="F914" s="484"/>
      <c r="G914" s="386"/>
      <c r="H914" s="386"/>
      <c r="I914" s="386"/>
      <c r="J914" s="386" t="s">
        <v>794</v>
      </c>
      <c r="K914" s="396" t="s">
        <v>794</v>
      </c>
      <c r="L914" s="396" t="s">
        <v>794</v>
      </c>
      <c r="M914" s="386" t="s">
        <v>294</v>
      </c>
      <c r="N914" s="386">
        <v>20.543220519999998</v>
      </c>
      <c r="O914" s="386">
        <v>92.544296259999996</v>
      </c>
      <c r="P914" s="386" t="s">
        <v>795</v>
      </c>
      <c r="Q914" s="386" t="s">
        <v>776</v>
      </c>
      <c r="R914" s="486"/>
      <c r="S914" s="487"/>
      <c r="T914" s="389"/>
      <c r="U914" s="488"/>
      <c r="V914" s="482" t="s">
        <v>492</v>
      </c>
      <c r="W914" s="482"/>
      <c r="X914" s="17"/>
      <c r="Z914" s="17"/>
    </row>
    <row r="915" spans="1:26" ht="14.25" customHeight="1">
      <c r="A915" s="396" t="s">
        <v>2647</v>
      </c>
      <c r="B915" s="514" t="s">
        <v>305</v>
      </c>
      <c r="C915" s="515" t="s">
        <v>516</v>
      </c>
      <c r="D915" s="485" t="s">
        <v>1656</v>
      </c>
      <c r="E915" s="484">
        <v>198058</v>
      </c>
      <c r="F915" s="484"/>
      <c r="G915" s="482"/>
      <c r="H915" s="482"/>
      <c r="I915" s="482"/>
      <c r="J915" s="482" t="s">
        <v>794</v>
      </c>
      <c r="K915" s="482" t="s">
        <v>794</v>
      </c>
      <c r="L915" s="482" t="s">
        <v>794</v>
      </c>
      <c r="M915" s="482" t="s">
        <v>791</v>
      </c>
      <c r="N915" s="482">
        <v>20.64685059</v>
      </c>
      <c r="O915" s="484">
        <v>92.493553160000005</v>
      </c>
      <c r="P915" s="482" t="s">
        <v>795</v>
      </c>
      <c r="Q915" s="482" t="s">
        <v>776</v>
      </c>
      <c r="R915" s="494"/>
      <c r="S915" s="487"/>
      <c r="T915" s="506"/>
      <c r="U915" s="488"/>
      <c r="V915" s="482" t="s">
        <v>516</v>
      </c>
      <c r="W915" s="396"/>
      <c r="X915" s="17"/>
      <c r="Z915" s="17"/>
    </row>
    <row r="916" spans="1:26" ht="14.25" customHeight="1">
      <c r="A916" s="482" t="s">
        <v>2647</v>
      </c>
      <c r="B916" s="504" t="s">
        <v>305</v>
      </c>
      <c r="C916" s="503" t="s">
        <v>2030</v>
      </c>
      <c r="D916" s="431"/>
      <c r="E916" s="396">
        <v>197943</v>
      </c>
      <c r="F916" s="484"/>
      <c r="G916" s="386"/>
      <c r="H916" s="386"/>
      <c r="I916" s="386"/>
      <c r="J916" s="386" t="s">
        <v>794</v>
      </c>
      <c r="K916" s="484" t="s">
        <v>794</v>
      </c>
      <c r="L916" s="484" t="s">
        <v>794</v>
      </c>
      <c r="M916" s="386" t="s">
        <v>791</v>
      </c>
      <c r="N916" s="386">
        <v>20.895000459999999</v>
      </c>
      <c r="O916" s="386">
        <v>92.398574830000001</v>
      </c>
      <c r="P916" s="386" t="s">
        <v>795</v>
      </c>
      <c r="Q916" s="386"/>
      <c r="R916" s="486"/>
      <c r="S916" s="400"/>
      <c r="T916" s="389">
        <v>43300</v>
      </c>
      <c r="U916" s="488"/>
      <c r="V916" s="386"/>
      <c r="W916" s="482"/>
      <c r="X916" s="17"/>
      <c r="Z916" s="17"/>
    </row>
    <row r="917" spans="1:26" ht="14.25" customHeight="1">
      <c r="A917" s="482" t="s">
        <v>2647</v>
      </c>
      <c r="B917" s="514" t="s">
        <v>305</v>
      </c>
      <c r="C917" s="515" t="s">
        <v>2970</v>
      </c>
      <c r="D917" s="485"/>
      <c r="E917" s="482">
        <v>197943</v>
      </c>
      <c r="F917" s="484"/>
      <c r="G917" s="482"/>
      <c r="H917" s="482"/>
      <c r="I917" s="482"/>
      <c r="J917" s="482" t="s">
        <v>794</v>
      </c>
      <c r="K917" s="482" t="s">
        <v>794</v>
      </c>
      <c r="L917" s="482" t="s">
        <v>794</v>
      </c>
      <c r="M917" s="482" t="s">
        <v>791</v>
      </c>
      <c r="N917" s="482">
        <v>20.895000459999999</v>
      </c>
      <c r="O917" s="482">
        <v>92.398574830000001</v>
      </c>
      <c r="P917" s="482" t="s">
        <v>795</v>
      </c>
      <c r="Q917" s="482"/>
      <c r="R917" s="494"/>
      <c r="S917" s="487"/>
      <c r="T917" s="506">
        <v>43300</v>
      </c>
      <c r="U917" s="488"/>
      <c r="V917" s="482"/>
      <c r="W917" s="482"/>
      <c r="X917" s="17"/>
      <c r="Z917" s="17"/>
    </row>
    <row r="918" spans="1:26" ht="14.25" customHeight="1">
      <c r="A918" s="396" t="s">
        <v>2647</v>
      </c>
      <c r="B918" s="504" t="s">
        <v>305</v>
      </c>
      <c r="C918" s="503" t="s">
        <v>1999</v>
      </c>
      <c r="D918" s="431"/>
      <c r="E918" s="484">
        <v>197878</v>
      </c>
      <c r="F918" s="482" t="s">
        <v>1998</v>
      </c>
      <c r="G918" s="482"/>
      <c r="H918" s="482"/>
      <c r="I918" s="482"/>
      <c r="J918" s="482" t="s">
        <v>794</v>
      </c>
      <c r="K918" s="484" t="s">
        <v>794</v>
      </c>
      <c r="L918" s="484" t="s">
        <v>794</v>
      </c>
      <c r="M918" s="482" t="s">
        <v>791</v>
      </c>
      <c r="N918" s="482">
        <v>21.012830730000001</v>
      </c>
      <c r="O918" s="482">
        <v>92.338958739999995</v>
      </c>
      <c r="P918" s="482" t="s">
        <v>795</v>
      </c>
      <c r="Q918" s="482"/>
      <c r="R918" s="486"/>
      <c r="S918" s="487"/>
      <c r="T918" s="506">
        <v>43300</v>
      </c>
      <c r="U918" s="488"/>
      <c r="V918" s="482"/>
      <c r="W918" s="396"/>
      <c r="X918" s="17"/>
      <c r="Z918" s="17"/>
    </row>
    <row r="919" spans="1:26" ht="14.25" customHeight="1">
      <c r="A919" s="396" t="s">
        <v>2647</v>
      </c>
      <c r="B919" s="504" t="s">
        <v>305</v>
      </c>
      <c r="C919" s="503" t="s">
        <v>676</v>
      </c>
      <c r="D919" s="431" t="s">
        <v>1656</v>
      </c>
      <c r="E919" s="386">
        <v>197880</v>
      </c>
      <c r="F919" s="482"/>
      <c r="G919" s="386"/>
      <c r="H919" s="386"/>
      <c r="I919" s="386"/>
      <c r="J919" s="386" t="s">
        <v>794</v>
      </c>
      <c r="K919" s="484" t="s">
        <v>794</v>
      </c>
      <c r="L919" s="484" t="s">
        <v>794</v>
      </c>
      <c r="M919" s="386" t="s">
        <v>791</v>
      </c>
      <c r="N919" s="386">
        <v>21.021259310000001</v>
      </c>
      <c r="O919" s="396">
        <v>92.339538570000002</v>
      </c>
      <c r="P919" s="482" t="s">
        <v>795</v>
      </c>
      <c r="Q919" s="386" t="s">
        <v>776</v>
      </c>
      <c r="R919" s="486"/>
      <c r="S919" s="400"/>
      <c r="T919" s="389"/>
      <c r="U919" s="388"/>
      <c r="V919" s="386" t="s">
        <v>676</v>
      </c>
      <c r="W919" s="396"/>
      <c r="X919" s="17"/>
      <c r="Z919" s="17"/>
    </row>
    <row r="920" spans="1:26" ht="14.25" customHeight="1">
      <c r="A920" s="396" t="s">
        <v>2647</v>
      </c>
      <c r="B920" s="514" t="s">
        <v>305</v>
      </c>
      <c r="C920" s="515" t="s">
        <v>2034</v>
      </c>
      <c r="D920" s="485"/>
      <c r="E920" s="482"/>
      <c r="F920" s="386"/>
      <c r="G920" s="386"/>
      <c r="H920" s="386"/>
      <c r="I920" s="386"/>
      <c r="J920" s="386" t="s">
        <v>794</v>
      </c>
      <c r="K920" s="484" t="s">
        <v>794</v>
      </c>
      <c r="L920" s="484" t="s">
        <v>794</v>
      </c>
      <c r="M920" s="386" t="s">
        <v>791</v>
      </c>
      <c r="N920" s="482"/>
      <c r="O920" s="482"/>
      <c r="P920" s="386" t="s">
        <v>795</v>
      </c>
      <c r="Q920" s="386"/>
      <c r="R920" s="494"/>
      <c r="S920" s="487"/>
      <c r="T920" s="389">
        <v>43300</v>
      </c>
      <c r="U920" s="388"/>
      <c r="V920" s="386"/>
      <c r="W920" s="396"/>
      <c r="X920" s="17"/>
      <c r="Z920" s="17"/>
    </row>
    <row r="921" spans="1:26" ht="14.25" customHeight="1">
      <c r="A921" s="396" t="s">
        <v>2647</v>
      </c>
      <c r="B921" s="504" t="s">
        <v>305</v>
      </c>
      <c r="C921" s="503" t="s">
        <v>564</v>
      </c>
      <c r="D921" s="431" t="s">
        <v>1656</v>
      </c>
      <c r="E921" s="482">
        <v>198048</v>
      </c>
      <c r="F921" s="484"/>
      <c r="G921" s="482"/>
      <c r="H921" s="482"/>
      <c r="I921" s="482"/>
      <c r="J921" s="482" t="s">
        <v>794</v>
      </c>
      <c r="K921" s="482" t="s">
        <v>794</v>
      </c>
      <c r="L921" s="482" t="s">
        <v>794</v>
      </c>
      <c r="M921" s="482" t="s">
        <v>791</v>
      </c>
      <c r="N921" s="482">
        <v>20.720079420000001</v>
      </c>
      <c r="O921" s="482">
        <v>92.423591610000003</v>
      </c>
      <c r="P921" s="482" t="s">
        <v>795</v>
      </c>
      <c r="Q921" s="482" t="s">
        <v>776</v>
      </c>
      <c r="R921" s="486"/>
      <c r="S921" s="487"/>
      <c r="T921" s="506"/>
      <c r="U921" s="488"/>
      <c r="V921" s="482" t="s">
        <v>564</v>
      </c>
      <c r="W921" s="396"/>
      <c r="X921" s="17"/>
      <c r="Z921" s="17"/>
    </row>
    <row r="922" spans="1:26" ht="14.25" customHeight="1">
      <c r="A922" s="396" t="s">
        <v>2647</v>
      </c>
      <c r="B922" s="514" t="s">
        <v>305</v>
      </c>
      <c r="C922" s="515" t="s">
        <v>2090</v>
      </c>
      <c r="D922" s="485"/>
      <c r="E922" s="386">
        <v>220728</v>
      </c>
      <c r="F922" s="396"/>
      <c r="G922" s="386"/>
      <c r="H922" s="386"/>
      <c r="I922" s="386"/>
      <c r="J922" s="386" t="s">
        <v>794</v>
      </c>
      <c r="K922" s="386" t="s">
        <v>794</v>
      </c>
      <c r="L922" s="386" t="s">
        <v>794</v>
      </c>
      <c r="M922" s="386" t="s">
        <v>2068</v>
      </c>
      <c r="N922" s="386">
        <v>21.090957639999999</v>
      </c>
      <c r="O922" s="386">
        <v>92.361534120000002</v>
      </c>
      <c r="P922" s="482" t="s">
        <v>795</v>
      </c>
      <c r="Q922" s="386"/>
      <c r="R922" s="494"/>
      <c r="S922" s="487"/>
      <c r="T922" s="389">
        <v>43300</v>
      </c>
      <c r="U922" s="388"/>
      <c r="V922" s="386"/>
      <c r="W922" s="396"/>
      <c r="X922" s="17"/>
      <c r="Z922" s="17"/>
    </row>
    <row r="923" spans="1:26" ht="14.25" customHeight="1">
      <c r="A923" s="482" t="s">
        <v>2647</v>
      </c>
      <c r="B923" s="514" t="s">
        <v>305</v>
      </c>
      <c r="C923" s="515" t="s">
        <v>681</v>
      </c>
      <c r="D923" s="485" t="s">
        <v>1656</v>
      </c>
      <c r="E923" s="386">
        <v>197883</v>
      </c>
      <c r="F923" s="386"/>
      <c r="G923" s="386"/>
      <c r="H923" s="386"/>
      <c r="I923" s="386"/>
      <c r="J923" s="386" t="s">
        <v>794</v>
      </c>
      <c r="K923" s="386" t="s">
        <v>794</v>
      </c>
      <c r="L923" s="386" t="s">
        <v>794</v>
      </c>
      <c r="M923" s="386" t="s">
        <v>791</v>
      </c>
      <c r="N923" s="386">
        <v>21.05369949</v>
      </c>
      <c r="O923" s="386">
        <v>92.324119569999993</v>
      </c>
      <c r="P923" s="386" t="s">
        <v>795</v>
      </c>
      <c r="Q923" s="386" t="s">
        <v>776</v>
      </c>
      <c r="R923" s="494"/>
      <c r="S923" s="400"/>
      <c r="T923" s="389"/>
      <c r="U923" s="488"/>
      <c r="V923" s="386" t="s">
        <v>952</v>
      </c>
      <c r="W923" s="482"/>
      <c r="X923" s="17"/>
      <c r="Z923" s="17"/>
    </row>
    <row r="924" spans="1:26" ht="14.25" customHeight="1">
      <c r="A924" s="396" t="s">
        <v>2647</v>
      </c>
      <c r="B924" s="514" t="s">
        <v>305</v>
      </c>
      <c r="C924" s="503" t="s">
        <v>675</v>
      </c>
      <c r="D924" s="485" t="s">
        <v>1656</v>
      </c>
      <c r="E924" s="386">
        <v>197879</v>
      </c>
      <c r="F924" s="484"/>
      <c r="G924" s="386"/>
      <c r="H924" s="386"/>
      <c r="I924" s="386"/>
      <c r="J924" s="386" t="s">
        <v>794</v>
      </c>
      <c r="K924" s="386" t="s">
        <v>794</v>
      </c>
      <c r="L924" s="386" t="s">
        <v>794</v>
      </c>
      <c r="M924" s="386" t="s">
        <v>791</v>
      </c>
      <c r="N924" s="396">
        <v>21.0184803</v>
      </c>
      <c r="O924" s="396">
        <v>92.333999629999994</v>
      </c>
      <c r="P924" s="386" t="s">
        <v>795</v>
      </c>
      <c r="Q924" s="484" t="s">
        <v>776</v>
      </c>
      <c r="R924" s="494"/>
      <c r="S924" s="400"/>
      <c r="T924" s="507"/>
      <c r="U924" s="388"/>
      <c r="V924" s="386" t="s">
        <v>675</v>
      </c>
      <c r="W924" s="396"/>
      <c r="X924" s="17"/>
      <c r="Z924" s="17"/>
    </row>
    <row r="925" spans="1:26" ht="14.25" customHeight="1">
      <c r="A925" s="396" t="s">
        <v>2647</v>
      </c>
      <c r="B925" s="514" t="s">
        <v>305</v>
      </c>
      <c r="C925" s="515" t="s">
        <v>323</v>
      </c>
      <c r="D925" s="485" t="s">
        <v>1656</v>
      </c>
      <c r="E925" s="484"/>
      <c r="F925" s="386"/>
      <c r="G925" s="386"/>
      <c r="H925" s="386"/>
      <c r="I925" s="386"/>
      <c r="J925" s="386" t="s">
        <v>794</v>
      </c>
      <c r="K925" s="386" t="s">
        <v>794</v>
      </c>
      <c r="L925" s="386" t="s">
        <v>794</v>
      </c>
      <c r="M925" s="386" t="s">
        <v>294</v>
      </c>
      <c r="N925" s="386"/>
      <c r="O925" s="484"/>
      <c r="P925" s="386" t="s">
        <v>795</v>
      </c>
      <c r="Q925" s="386" t="s">
        <v>776</v>
      </c>
      <c r="R925" s="494"/>
      <c r="S925" s="487"/>
      <c r="T925" s="389"/>
      <c r="U925" s="388"/>
      <c r="V925" s="386" t="s">
        <v>323</v>
      </c>
      <c r="W925" s="396"/>
      <c r="X925" s="17"/>
      <c r="Z925" s="17"/>
    </row>
    <row r="926" spans="1:26" ht="14.25" customHeight="1">
      <c r="A926" s="482" t="s">
        <v>2647</v>
      </c>
      <c r="B926" s="504" t="s">
        <v>305</v>
      </c>
      <c r="C926" s="503" t="s">
        <v>597</v>
      </c>
      <c r="D926" s="431" t="s">
        <v>1656</v>
      </c>
      <c r="E926" s="484">
        <v>198001</v>
      </c>
      <c r="F926" s="482"/>
      <c r="G926" s="482"/>
      <c r="H926" s="482"/>
      <c r="I926" s="482"/>
      <c r="J926" s="482" t="s">
        <v>794</v>
      </c>
      <c r="K926" s="482" t="s">
        <v>794</v>
      </c>
      <c r="L926" s="482" t="s">
        <v>794</v>
      </c>
      <c r="M926" s="482" t="s">
        <v>791</v>
      </c>
      <c r="N926" s="482">
        <v>20.78729057</v>
      </c>
      <c r="O926" s="482">
        <v>92.401252749999998</v>
      </c>
      <c r="P926" s="482" t="s">
        <v>795</v>
      </c>
      <c r="Q926" s="482" t="s">
        <v>776</v>
      </c>
      <c r="R926" s="486"/>
      <c r="S926" s="487"/>
      <c r="T926" s="506"/>
      <c r="U926" s="488"/>
      <c r="V926" s="482" t="s">
        <v>597</v>
      </c>
      <c r="W926" s="482"/>
      <c r="X926" s="17"/>
      <c r="Z926" s="17"/>
    </row>
    <row r="927" spans="1:26" ht="14.25" customHeight="1">
      <c r="A927" s="482" t="s">
        <v>2647</v>
      </c>
      <c r="B927" s="504" t="s">
        <v>305</v>
      </c>
      <c r="C927" s="503" t="s">
        <v>2042</v>
      </c>
      <c r="D927" s="431"/>
      <c r="E927" s="482">
        <v>197987</v>
      </c>
      <c r="F927" s="484"/>
      <c r="G927" s="482"/>
      <c r="H927" s="482"/>
      <c r="I927" s="482"/>
      <c r="J927" s="482" t="s">
        <v>794</v>
      </c>
      <c r="K927" s="482" t="s">
        <v>794</v>
      </c>
      <c r="L927" s="482" t="s">
        <v>794</v>
      </c>
      <c r="M927" s="482" t="s">
        <v>791</v>
      </c>
      <c r="N927" s="482">
        <v>20.81588936</v>
      </c>
      <c r="O927" s="482">
        <v>92.372566219999996</v>
      </c>
      <c r="P927" s="482" t="s">
        <v>795</v>
      </c>
      <c r="Q927" s="482"/>
      <c r="R927" s="486"/>
      <c r="S927" s="487"/>
      <c r="T927" s="506">
        <v>43300</v>
      </c>
      <c r="U927" s="488"/>
      <c r="V927" s="482"/>
      <c r="W927" s="482"/>
      <c r="X927" s="17"/>
      <c r="Z927" s="17"/>
    </row>
    <row r="928" spans="1:26" ht="14.25" customHeight="1">
      <c r="A928" s="396" t="s">
        <v>2647</v>
      </c>
      <c r="B928" s="514" t="s">
        <v>305</v>
      </c>
      <c r="C928" s="515" t="s">
        <v>2084</v>
      </c>
      <c r="D928" s="485"/>
      <c r="E928" s="396">
        <v>198089</v>
      </c>
      <c r="F928" s="484"/>
      <c r="G928" s="386"/>
      <c r="H928" s="396"/>
      <c r="I928" s="396"/>
      <c r="J928" s="396" t="s">
        <v>794</v>
      </c>
      <c r="K928" s="396" t="s">
        <v>794</v>
      </c>
      <c r="L928" s="396" t="s">
        <v>794</v>
      </c>
      <c r="M928" s="396" t="s">
        <v>2071</v>
      </c>
      <c r="N928" s="482">
        <v>21.19529915</v>
      </c>
      <c r="O928" s="482">
        <v>92.221542360000001</v>
      </c>
      <c r="P928" s="386" t="s">
        <v>795</v>
      </c>
      <c r="Q928" s="396"/>
      <c r="R928" s="494"/>
      <c r="S928" s="400"/>
      <c r="T928" s="412">
        <v>43300</v>
      </c>
      <c r="U928" s="401"/>
      <c r="V928" s="386"/>
      <c r="W928" s="396"/>
      <c r="X928" s="17"/>
      <c r="Z928" s="17"/>
    </row>
    <row r="929" spans="1:26" ht="14.25" customHeight="1">
      <c r="A929" s="482" t="s">
        <v>2647</v>
      </c>
      <c r="B929" s="504" t="s">
        <v>305</v>
      </c>
      <c r="C929" s="503" t="s">
        <v>2064</v>
      </c>
      <c r="D929" s="431"/>
      <c r="E929" s="482">
        <v>197922</v>
      </c>
      <c r="F929" s="482"/>
      <c r="G929" s="482"/>
      <c r="H929" s="482"/>
      <c r="I929" s="482"/>
      <c r="J929" s="386" t="s">
        <v>794</v>
      </c>
      <c r="K929" s="386" t="s">
        <v>794</v>
      </c>
      <c r="L929" s="386" t="s">
        <v>794</v>
      </c>
      <c r="M929" s="482" t="s">
        <v>791</v>
      </c>
      <c r="N929" s="482">
        <v>20.93643951</v>
      </c>
      <c r="O929" s="482">
        <v>92.314498900000004</v>
      </c>
      <c r="P929" s="482" t="s">
        <v>795</v>
      </c>
      <c r="Q929" s="482"/>
      <c r="R929" s="486"/>
      <c r="S929" s="487"/>
      <c r="T929" s="506">
        <v>43300</v>
      </c>
      <c r="U929" s="488"/>
      <c r="V929" s="482"/>
      <c r="W929" s="482"/>
      <c r="X929" s="17"/>
      <c r="Z929" s="17"/>
    </row>
    <row r="930" spans="1:26" ht="14.25" customHeight="1">
      <c r="A930" s="396" t="s">
        <v>2647</v>
      </c>
      <c r="B930" s="504" t="s">
        <v>305</v>
      </c>
      <c r="C930" s="503" t="s">
        <v>1901</v>
      </c>
      <c r="D930" s="431"/>
      <c r="E930" s="482">
        <v>197961</v>
      </c>
      <c r="F930" s="484"/>
      <c r="G930" s="386"/>
      <c r="H930" s="386"/>
      <c r="I930" s="386"/>
      <c r="J930" s="386" t="s">
        <v>794</v>
      </c>
      <c r="K930" s="386" t="s">
        <v>794</v>
      </c>
      <c r="L930" s="396" t="s">
        <v>794</v>
      </c>
      <c r="M930" s="386" t="s">
        <v>791</v>
      </c>
      <c r="N930" s="386">
        <v>20.903369900000001</v>
      </c>
      <c r="O930" s="386">
        <v>92.332237239999998</v>
      </c>
      <c r="P930" s="482" t="s">
        <v>795</v>
      </c>
      <c r="Q930" s="386" t="s">
        <v>1904</v>
      </c>
      <c r="R930" s="486"/>
      <c r="S930" s="400"/>
      <c r="T930" s="389">
        <v>43245</v>
      </c>
      <c r="U930" s="388"/>
      <c r="V930" s="386"/>
      <c r="W930" s="396"/>
      <c r="X930" s="17"/>
      <c r="Z930" s="17"/>
    </row>
    <row r="931" spans="1:26" ht="14.25" customHeight="1">
      <c r="A931" s="482" t="s">
        <v>2647</v>
      </c>
      <c r="B931" s="504" t="s">
        <v>305</v>
      </c>
      <c r="C931" s="503" t="s">
        <v>2974</v>
      </c>
      <c r="D931" s="431"/>
      <c r="E931" s="396">
        <v>197848</v>
      </c>
      <c r="F931" s="484"/>
      <c r="G931" s="396"/>
      <c r="H931" s="396"/>
      <c r="I931" s="396"/>
      <c r="J931" s="386" t="s">
        <v>794</v>
      </c>
      <c r="K931" s="386" t="s">
        <v>794</v>
      </c>
      <c r="L931" s="396" t="s">
        <v>794</v>
      </c>
      <c r="M931" s="386"/>
      <c r="N931" s="386">
        <v>21.139829635620099</v>
      </c>
      <c r="O931" s="386">
        <v>92.330848693847699</v>
      </c>
      <c r="P931" s="396" t="s">
        <v>795</v>
      </c>
      <c r="Q931" s="386"/>
      <c r="R931" s="486"/>
      <c r="S931" s="400"/>
      <c r="T931" s="389">
        <v>43768</v>
      </c>
      <c r="U931" s="488"/>
      <c r="V931" s="396"/>
      <c r="W931" s="482"/>
      <c r="X931" s="17"/>
      <c r="Z931" s="17"/>
    </row>
    <row r="932" spans="1:26" ht="14.25" customHeight="1">
      <c r="A932" s="482" t="s">
        <v>2647</v>
      </c>
      <c r="B932" s="504" t="s">
        <v>305</v>
      </c>
      <c r="C932" s="503" t="s">
        <v>2082</v>
      </c>
      <c r="D932" s="431"/>
      <c r="E932" s="482">
        <v>197847</v>
      </c>
      <c r="F932" s="484"/>
      <c r="G932" s="482"/>
      <c r="H932" s="482"/>
      <c r="I932" s="482"/>
      <c r="J932" s="482" t="s">
        <v>794</v>
      </c>
      <c r="K932" s="482" t="s">
        <v>794</v>
      </c>
      <c r="L932" s="482" t="s">
        <v>794</v>
      </c>
      <c r="M932" s="482" t="s">
        <v>294</v>
      </c>
      <c r="N932" s="482">
        <v>21.134050370000001</v>
      </c>
      <c r="O932" s="482">
        <v>92.323478699999995</v>
      </c>
      <c r="P932" s="482" t="s">
        <v>795</v>
      </c>
      <c r="Q932" s="482"/>
      <c r="R932" s="486"/>
      <c r="S932" s="487"/>
      <c r="T932" s="506">
        <v>43300</v>
      </c>
      <c r="U932" s="488"/>
      <c r="V932" s="482"/>
      <c r="W932" s="482"/>
      <c r="X932" s="17"/>
      <c r="Z932" s="17"/>
    </row>
    <row r="933" spans="1:26" ht="14.25" customHeight="1">
      <c r="A933" s="482" t="s">
        <v>2647</v>
      </c>
      <c r="B933" s="504" t="s">
        <v>305</v>
      </c>
      <c r="C933" s="503" t="s">
        <v>2088</v>
      </c>
      <c r="D933" s="431"/>
      <c r="E933" s="482">
        <v>220706</v>
      </c>
      <c r="F933" s="386"/>
      <c r="G933" s="386"/>
      <c r="H933" s="386"/>
      <c r="I933" s="386"/>
      <c r="J933" s="386" t="s">
        <v>794</v>
      </c>
      <c r="K933" s="386" t="s">
        <v>794</v>
      </c>
      <c r="L933" s="386" t="s">
        <v>794</v>
      </c>
      <c r="M933" s="386" t="s">
        <v>2072</v>
      </c>
      <c r="N933" s="482">
        <v>21.2600956</v>
      </c>
      <c r="O933" s="482">
        <v>92.278442380000001</v>
      </c>
      <c r="P933" s="396" t="s">
        <v>795</v>
      </c>
      <c r="Q933" s="386"/>
      <c r="R933" s="486"/>
      <c r="S933" s="400"/>
      <c r="T933" s="389">
        <v>43300</v>
      </c>
      <c r="U933" s="488"/>
      <c r="V933" s="482"/>
      <c r="W933" s="482"/>
      <c r="X933" s="17"/>
      <c r="Z933" s="17"/>
    </row>
    <row r="934" spans="1:26" ht="14.25" customHeight="1">
      <c r="A934" s="482" t="s">
        <v>2647</v>
      </c>
      <c r="B934" s="504" t="s">
        <v>305</v>
      </c>
      <c r="C934" s="503" t="s">
        <v>2087</v>
      </c>
      <c r="D934" s="431"/>
      <c r="E934" s="482">
        <v>220721</v>
      </c>
      <c r="F934" s="482"/>
      <c r="G934" s="482"/>
      <c r="H934" s="482"/>
      <c r="I934" s="482"/>
      <c r="J934" s="482" t="s">
        <v>794</v>
      </c>
      <c r="K934" s="482" t="s">
        <v>794</v>
      </c>
      <c r="L934" s="482" t="s">
        <v>794</v>
      </c>
      <c r="M934" s="482" t="s">
        <v>294</v>
      </c>
      <c r="N934" s="482">
        <v>21.224542620000001</v>
      </c>
      <c r="O934" s="482">
        <v>92.294197080000004</v>
      </c>
      <c r="P934" s="482" t="s">
        <v>795</v>
      </c>
      <c r="Q934" s="482"/>
      <c r="R934" s="486"/>
      <c r="S934" s="487"/>
      <c r="T934" s="506">
        <v>43300</v>
      </c>
      <c r="U934" s="488"/>
      <c r="V934" s="482"/>
      <c r="W934" s="482"/>
      <c r="X934" s="17"/>
      <c r="Z934" s="17"/>
    </row>
    <row r="935" spans="1:26" ht="14.25" customHeight="1">
      <c r="A935" s="396" t="s">
        <v>2647</v>
      </c>
      <c r="B935" s="514" t="s">
        <v>305</v>
      </c>
      <c r="C935" s="515" t="s">
        <v>328</v>
      </c>
      <c r="D935" s="485" t="s">
        <v>1656</v>
      </c>
      <c r="E935" s="482"/>
      <c r="F935" s="482"/>
      <c r="G935" s="482"/>
      <c r="H935" s="482"/>
      <c r="I935" s="482"/>
      <c r="J935" s="482" t="s">
        <v>794</v>
      </c>
      <c r="K935" s="482" t="s">
        <v>794</v>
      </c>
      <c r="L935" s="482" t="s">
        <v>794</v>
      </c>
      <c r="M935" s="482" t="s">
        <v>791</v>
      </c>
      <c r="N935" s="482"/>
      <c r="O935" s="482"/>
      <c r="P935" s="482" t="s">
        <v>795</v>
      </c>
      <c r="Q935" s="482" t="s">
        <v>776</v>
      </c>
      <c r="R935" s="494"/>
      <c r="S935" s="487"/>
      <c r="T935" s="506"/>
      <c r="U935" s="488"/>
      <c r="V935" s="391" t="s">
        <v>1113</v>
      </c>
      <c r="W935" s="396"/>
      <c r="X935" s="17"/>
      <c r="Z935" s="17"/>
    </row>
    <row r="936" spans="1:26" ht="14.25" customHeight="1">
      <c r="A936" s="482" t="s">
        <v>2647</v>
      </c>
      <c r="B936" s="504" t="s">
        <v>305</v>
      </c>
      <c r="C936" s="503" t="s">
        <v>329</v>
      </c>
      <c r="D936" s="431" t="s">
        <v>1656</v>
      </c>
      <c r="E936" s="482"/>
      <c r="F936" s="482"/>
      <c r="G936" s="482"/>
      <c r="H936" s="482"/>
      <c r="I936" s="482"/>
      <c r="J936" s="482" t="s">
        <v>794</v>
      </c>
      <c r="K936" s="482" t="s">
        <v>794</v>
      </c>
      <c r="L936" s="482" t="s">
        <v>794</v>
      </c>
      <c r="M936" s="482" t="s">
        <v>791</v>
      </c>
      <c r="N936" s="482"/>
      <c r="O936" s="482"/>
      <c r="P936" s="482" t="s">
        <v>795</v>
      </c>
      <c r="Q936" s="482" t="s">
        <v>776</v>
      </c>
      <c r="R936" s="486"/>
      <c r="S936" s="487"/>
      <c r="T936" s="506"/>
      <c r="U936" s="488"/>
      <c r="V936" s="391" t="s">
        <v>1114</v>
      </c>
      <c r="W936" s="482"/>
      <c r="X936" s="17"/>
      <c r="Z936" s="17"/>
    </row>
    <row r="937" spans="1:26" ht="14.25" customHeight="1">
      <c r="A937" s="396" t="s">
        <v>2647</v>
      </c>
      <c r="B937" s="514" t="s">
        <v>305</v>
      </c>
      <c r="C937" s="515" t="s">
        <v>2701</v>
      </c>
      <c r="D937" s="485"/>
      <c r="E937" s="482">
        <v>220725</v>
      </c>
      <c r="F937" s="482"/>
      <c r="G937" s="482"/>
      <c r="H937" s="482"/>
      <c r="I937" s="482"/>
      <c r="J937" s="482" t="s">
        <v>794</v>
      </c>
      <c r="K937" s="482" t="s">
        <v>794</v>
      </c>
      <c r="L937" s="482" t="s">
        <v>794</v>
      </c>
      <c r="M937" s="482" t="s">
        <v>679</v>
      </c>
      <c r="N937" s="482">
        <v>21.089906689999999</v>
      </c>
      <c r="O937" s="482">
        <v>92.341598509999997</v>
      </c>
      <c r="P937" s="482" t="s">
        <v>795</v>
      </c>
      <c r="Q937" s="482"/>
      <c r="R937" s="494"/>
      <c r="S937" s="487"/>
      <c r="T937" s="506">
        <v>43300</v>
      </c>
      <c r="U937" s="488"/>
      <c r="V937" s="482"/>
      <c r="W937" s="396"/>
      <c r="X937" s="17"/>
      <c r="Z937" s="17"/>
    </row>
    <row r="938" spans="1:26" ht="14.25" customHeight="1">
      <c r="A938" s="396" t="s">
        <v>2647</v>
      </c>
      <c r="B938" s="504" t="s">
        <v>305</v>
      </c>
      <c r="C938" s="503" t="s">
        <v>2700</v>
      </c>
      <c r="D938" s="431"/>
      <c r="E938" s="386">
        <v>220725</v>
      </c>
      <c r="F938" s="386"/>
      <c r="G938" s="386"/>
      <c r="H938" s="386"/>
      <c r="I938" s="386"/>
      <c r="J938" s="386" t="s">
        <v>794</v>
      </c>
      <c r="K938" s="386" t="s">
        <v>794</v>
      </c>
      <c r="L938" s="386" t="s">
        <v>794</v>
      </c>
      <c r="M938" s="386" t="s">
        <v>294</v>
      </c>
      <c r="N938" s="386">
        <v>21.089906689999999</v>
      </c>
      <c r="O938" s="386">
        <v>92.341598509999997</v>
      </c>
      <c r="P938" s="386" t="s">
        <v>795</v>
      </c>
      <c r="Q938" s="386"/>
      <c r="R938" s="486"/>
      <c r="S938" s="400"/>
      <c r="T938" s="389">
        <v>43300</v>
      </c>
      <c r="U938" s="388"/>
      <c r="V938" s="386"/>
      <c r="W938" s="396"/>
      <c r="X938" s="17"/>
      <c r="Z938" s="17"/>
    </row>
    <row r="939" spans="1:26" ht="14.25" customHeight="1">
      <c r="A939" s="482" t="s">
        <v>2647</v>
      </c>
      <c r="B939" s="504" t="s">
        <v>305</v>
      </c>
      <c r="C939" s="503" t="s">
        <v>330</v>
      </c>
      <c r="D939" s="431" t="s">
        <v>1656</v>
      </c>
      <c r="E939" s="482"/>
      <c r="F939" s="482"/>
      <c r="G939" s="482"/>
      <c r="H939" s="482"/>
      <c r="I939" s="482"/>
      <c r="J939" s="386" t="s">
        <v>794</v>
      </c>
      <c r="K939" s="386" t="s">
        <v>794</v>
      </c>
      <c r="L939" s="386" t="s">
        <v>794</v>
      </c>
      <c r="M939" s="386" t="s">
        <v>294</v>
      </c>
      <c r="N939" s="386"/>
      <c r="O939" s="386"/>
      <c r="P939" s="386" t="s">
        <v>795</v>
      </c>
      <c r="Q939" s="482" t="s">
        <v>776</v>
      </c>
      <c r="R939" s="486"/>
      <c r="S939" s="487"/>
      <c r="T939" s="506"/>
      <c r="U939" s="488"/>
      <c r="V939" s="391" t="s">
        <v>1115</v>
      </c>
      <c r="W939" s="482"/>
      <c r="X939" s="17"/>
      <c r="Z939" s="17"/>
    </row>
    <row r="940" spans="1:26" ht="14.25" customHeight="1">
      <c r="A940" s="396" t="s">
        <v>2647</v>
      </c>
      <c r="B940" s="504" t="s">
        <v>305</v>
      </c>
      <c r="C940" s="503" t="s">
        <v>2056</v>
      </c>
      <c r="D940" s="431"/>
      <c r="E940" s="482">
        <v>197978</v>
      </c>
      <c r="F940" s="386"/>
      <c r="G940" s="386"/>
      <c r="H940" s="386"/>
      <c r="I940" s="386"/>
      <c r="J940" s="386" t="s">
        <v>794</v>
      </c>
      <c r="K940" s="386" t="s">
        <v>794</v>
      </c>
      <c r="L940" s="386" t="s">
        <v>794</v>
      </c>
      <c r="M940" s="386" t="s">
        <v>791</v>
      </c>
      <c r="N940" s="482">
        <v>20.834230420000001</v>
      </c>
      <c r="O940" s="482">
        <v>92.37967682</v>
      </c>
      <c r="P940" s="386" t="s">
        <v>795</v>
      </c>
      <c r="Q940" s="386"/>
      <c r="R940" s="486"/>
      <c r="S940" s="387"/>
      <c r="T940" s="389">
        <v>43300</v>
      </c>
      <c r="U940" s="388"/>
      <c r="V940" s="386"/>
      <c r="W940" s="396"/>
      <c r="X940" s="17"/>
      <c r="Z940" s="17"/>
    </row>
    <row r="941" spans="1:26" ht="14.25" customHeight="1">
      <c r="A941" s="482" t="s">
        <v>2647</v>
      </c>
      <c r="B941" s="514" t="s">
        <v>305</v>
      </c>
      <c r="C941" s="515" t="s">
        <v>628</v>
      </c>
      <c r="D941" s="485" t="s">
        <v>1656</v>
      </c>
      <c r="E941" s="386" t="s">
        <v>1408</v>
      </c>
      <c r="F941" s="386"/>
      <c r="G941" s="386"/>
      <c r="H941" s="386" t="s">
        <v>40</v>
      </c>
      <c r="I941" s="386"/>
      <c r="J941" s="386" t="s">
        <v>794</v>
      </c>
      <c r="K941" s="386" t="s">
        <v>794</v>
      </c>
      <c r="L941" s="386" t="s">
        <v>1656</v>
      </c>
      <c r="M941" s="386" t="s">
        <v>791</v>
      </c>
      <c r="N941" s="482">
        <v>20.827044000000001</v>
      </c>
      <c r="O941" s="482">
        <v>92.362932999999998</v>
      </c>
      <c r="P941" s="386" t="s">
        <v>795</v>
      </c>
      <c r="Q941" s="386" t="s">
        <v>776</v>
      </c>
      <c r="R941" s="494"/>
      <c r="S941" s="387"/>
      <c r="T941" s="389">
        <v>43248</v>
      </c>
      <c r="U941" s="488" t="s">
        <v>1897</v>
      </c>
      <c r="V941" s="482"/>
      <c r="W941" s="482"/>
      <c r="X941" s="17"/>
      <c r="Z941" s="17"/>
    </row>
    <row r="942" spans="1:26" ht="14.25" customHeight="1">
      <c r="A942" s="396" t="s">
        <v>2647</v>
      </c>
      <c r="B942" s="514" t="s">
        <v>305</v>
      </c>
      <c r="C942" s="515" t="s">
        <v>331</v>
      </c>
      <c r="D942" s="485" t="s">
        <v>1656</v>
      </c>
      <c r="E942" s="482"/>
      <c r="F942" s="482"/>
      <c r="G942" s="386"/>
      <c r="H942" s="386"/>
      <c r="I942" s="386"/>
      <c r="J942" s="386" t="s">
        <v>794</v>
      </c>
      <c r="K942" s="396" t="s">
        <v>794</v>
      </c>
      <c r="L942" s="386" t="s">
        <v>794</v>
      </c>
      <c r="M942" s="386" t="s">
        <v>791</v>
      </c>
      <c r="N942" s="482"/>
      <c r="O942" s="482"/>
      <c r="P942" s="386" t="s">
        <v>795</v>
      </c>
      <c r="Q942" s="386" t="s">
        <v>776</v>
      </c>
      <c r="R942" s="494"/>
      <c r="S942" s="487"/>
      <c r="T942" s="389"/>
      <c r="U942" s="488"/>
      <c r="V942" s="386" t="s">
        <v>331</v>
      </c>
      <c r="W942" s="482"/>
      <c r="X942" s="17"/>
      <c r="Z942" s="17"/>
    </row>
    <row r="943" spans="1:26" ht="14.25" customHeight="1">
      <c r="A943" s="396" t="s">
        <v>2647</v>
      </c>
      <c r="B943" s="514" t="s">
        <v>305</v>
      </c>
      <c r="C943" s="515" t="s">
        <v>332</v>
      </c>
      <c r="D943" s="485" t="s">
        <v>1656</v>
      </c>
      <c r="E943" s="482"/>
      <c r="F943" s="482"/>
      <c r="G943" s="482"/>
      <c r="H943" s="482"/>
      <c r="I943" s="482"/>
      <c r="J943" s="482" t="s">
        <v>794</v>
      </c>
      <c r="K943" s="482" t="s">
        <v>794</v>
      </c>
      <c r="L943" s="482" t="s">
        <v>794</v>
      </c>
      <c r="M943" s="482" t="s">
        <v>791</v>
      </c>
      <c r="N943" s="482"/>
      <c r="O943" s="482"/>
      <c r="P943" s="386" t="s">
        <v>795</v>
      </c>
      <c r="Q943" s="482" t="s">
        <v>776</v>
      </c>
      <c r="R943" s="494"/>
      <c r="S943" s="487"/>
      <c r="T943" s="506"/>
      <c r="U943" s="488"/>
      <c r="V943" s="482" t="s">
        <v>332</v>
      </c>
      <c r="W943" s="396"/>
      <c r="X943" s="17"/>
      <c r="Z943" s="17"/>
    </row>
    <row r="944" spans="1:26" ht="14.25" customHeight="1">
      <c r="A944" s="396" t="s">
        <v>2647</v>
      </c>
      <c r="B944" s="514" t="s">
        <v>305</v>
      </c>
      <c r="C944" s="515" t="s">
        <v>2091</v>
      </c>
      <c r="D944" s="485"/>
      <c r="E944" s="386">
        <v>197894</v>
      </c>
      <c r="F944" s="482"/>
      <c r="G944" s="386"/>
      <c r="H944" s="386"/>
      <c r="I944" s="386"/>
      <c r="J944" s="386" t="s">
        <v>794</v>
      </c>
      <c r="K944" s="386" t="s">
        <v>794</v>
      </c>
      <c r="L944" s="386" t="s">
        <v>794</v>
      </c>
      <c r="M944" s="386" t="s">
        <v>294</v>
      </c>
      <c r="N944" s="482">
        <v>21.025550840000001</v>
      </c>
      <c r="O944" s="482">
        <v>92.29528809</v>
      </c>
      <c r="P944" s="482" t="s">
        <v>795</v>
      </c>
      <c r="Q944" s="386"/>
      <c r="R944" s="494"/>
      <c r="S944" s="400"/>
      <c r="T944" s="389">
        <v>43300</v>
      </c>
      <c r="U944" s="388"/>
      <c r="V944" s="386"/>
      <c r="W944" s="396"/>
      <c r="X944" s="17"/>
      <c r="Z944" s="17"/>
    </row>
    <row r="945" spans="1:26" ht="14.25" customHeight="1">
      <c r="A945" s="396" t="s">
        <v>2647</v>
      </c>
      <c r="B945" s="514" t="s">
        <v>305</v>
      </c>
      <c r="C945" s="515" t="s">
        <v>677</v>
      </c>
      <c r="D945" s="485" t="s">
        <v>1656</v>
      </c>
      <c r="E945" s="482">
        <v>197894</v>
      </c>
      <c r="F945" s="482"/>
      <c r="G945" s="386"/>
      <c r="H945" s="386"/>
      <c r="I945" s="386"/>
      <c r="J945" s="386" t="s">
        <v>794</v>
      </c>
      <c r="K945" s="386" t="s">
        <v>794</v>
      </c>
      <c r="L945" s="386" t="s">
        <v>794</v>
      </c>
      <c r="M945" s="386" t="s">
        <v>791</v>
      </c>
      <c r="N945" s="386">
        <v>21.025550840000001</v>
      </c>
      <c r="O945" s="386">
        <v>92.29528809</v>
      </c>
      <c r="P945" s="386" t="s">
        <v>795</v>
      </c>
      <c r="Q945" s="386" t="s">
        <v>776</v>
      </c>
      <c r="R945" s="494"/>
      <c r="S945" s="487"/>
      <c r="T945" s="389">
        <v>42745</v>
      </c>
      <c r="U945" s="388"/>
      <c r="V945" s="386" t="s">
        <v>951</v>
      </c>
      <c r="W945" s="482"/>
      <c r="X945" s="17"/>
      <c r="Z945" s="17"/>
    </row>
    <row r="946" spans="1:26" ht="14.25" customHeight="1">
      <c r="A946" s="396" t="s">
        <v>2647</v>
      </c>
      <c r="B946" s="514" t="s">
        <v>305</v>
      </c>
      <c r="C946" s="515" t="s">
        <v>2092</v>
      </c>
      <c r="D946" s="485"/>
      <c r="E946" s="482">
        <v>197895</v>
      </c>
      <c r="F946" s="482"/>
      <c r="G946" s="482"/>
      <c r="H946" s="482"/>
      <c r="I946" s="482"/>
      <c r="J946" s="482" t="s">
        <v>794</v>
      </c>
      <c r="K946" s="482" t="s">
        <v>794</v>
      </c>
      <c r="L946" s="482" t="s">
        <v>794</v>
      </c>
      <c r="M946" s="482" t="s">
        <v>791</v>
      </c>
      <c r="N946" s="482">
        <v>21.019170760000002</v>
      </c>
      <c r="O946" s="482">
        <v>92.291992190000002</v>
      </c>
      <c r="P946" s="482" t="s">
        <v>795</v>
      </c>
      <c r="Q946" s="482"/>
      <c r="R946" s="494"/>
      <c r="S946" s="487"/>
      <c r="T946" s="506">
        <v>43300</v>
      </c>
      <c r="U946" s="488"/>
      <c r="V946" s="482"/>
      <c r="W946" s="482"/>
      <c r="X946" s="17"/>
      <c r="Z946" s="17"/>
    </row>
    <row r="947" spans="1:26" ht="14.25" customHeight="1">
      <c r="A947" s="482" t="s">
        <v>2647</v>
      </c>
      <c r="B947" s="504" t="s">
        <v>305</v>
      </c>
      <c r="C947" s="503" t="s">
        <v>2054</v>
      </c>
      <c r="D947" s="431"/>
      <c r="E947" s="386">
        <v>197909</v>
      </c>
      <c r="F947" s="482"/>
      <c r="G947" s="482"/>
      <c r="H947" s="482"/>
      <c r="I947" s="482"/>
      <c r="J947" s="386" t="s">
        <v>794</v>
      </c>
      <c r="K947" s="386" t="s">
        <v>794</v>
      </c>
      <c r="L947" s="386" t="s">
        <v>794</v>
      </c>
      <c r="M947" s="386" t="s">
        <v>791</v>
      </c>
      <c r="N947" s="386">
        <v>21.003770830000001</v>
      </c>
      <c r="O947" s="386">
        <v>92.351142879999998</v>
      </c>
      <c r="P947" s="386" t="s">
        <v>795</v>
      </c>
      <c r="Q947" s="482"/>
      <c r="R947" s="486"/>
      <c r="S947" s="487"/>
      <c r="T947" s="506">
        <v>43300</v>
      </c>
      <c r="U947" s="488"/>
      <c r="V947" s="386"/>
      <c r="W947" s="482"/>
      <c r="X947" s="17"/>
      <c r="Z947" s="17"/>
    </row>
    <row r="948" spans="1:26" ht="14.25" customHeight="1">
      <c r="A948" s="396" t="s">
        <v>2647</v>
      </c>
      <c r="B948" s="155" t="s">
        <v>305</v>
      </c>
      <c r="C948" s="515" t="s">
        <v>672</v>
      </c>
      <c r="D948" s="485" t="s">
        <v>1656</v>
      </c>
      <c r="E948" s="638">
        <v>197910</v>
      </c>
      <c r="F948" s="150"/>
      <c r="G948" s="150"/>
      <c r="H948" s="150"/>
      <c r="I948" s="150"/>
      <c r="J948" s="150" t="s">
        <v>794</v>
      </c>
      <c r="K948" s="150" t="s">
        <v>794</v>
      </c>
      <c r="L948" s="150" t="s">
        <v>794</v>
      </c>
      <c r="M948" s="150" t="s">
        <v>294</v>
      </c>
      <c r="N948" s="150">
        <v>21.007270810000001</v>
      </c>
      <c r="O948" s="150">
        <v>92.358520510000005</v>
      </c>
      <c r="P948" s="150" t="s">
        <v>795</v>
      </c>
      <c r="Q948" s="150" t="s">
        <v>798</v>
      </c>
      <c r="R948" s="151"/>
      <c r="S948" s="149"/>
      <c r="T948" s="152">
        <v>42926</v>
      </c>
      <c r="U948" s="153" t="s">
        <v>799</v>
      </c>
      <c r="V948" s="150"/>
      <c r="W948" s="482"/>
      <c r="X948" s="17"/>
      <c r="Z948" s="17"/>
    </row>
    <row r="949" spans="1:26" ht="14.25" customHeight="1">
      <c r="A949" s="396" t="s">
        <v>2647</v>
      </c>
      <c r="B949" s="514" t="s">
        <v>305</v>
      </c>
      <c r="C949" s="515" t="s">
        <v>2053</v>
      </c>
      <c r="D949" s="485"/>
      <c r="E949" s="396">
        <v>197874</v>
      </c>
      <c r="F949" s="396"/>
      <c r="G949" s="396"/>
      <c r="H949" s="386"/>
      <c r="I949" s="386"/>
      <c r="J949" s="386" t="s">
        <v>794</v>
      </c>
      <c r="K949" s="396" t="s">
        <v>794</v>
      </c>
      <c r="L949" s="396" t="s">
        <v>794</v>
      </c>
      <c r="M949" s="386" t="s">
        <v>791</v>
      </c>
      <c r="N949" s="482">
        <v>21.035009380000002</v>
      </c>
      <c r="O949" s="482">
        <v>92.332046509999998</v>
      </c>
      <c r="P949" s="482" t="s">
        <v>795</v>
      </c>
      <c r="Q949" s="386"/>
      <c r="R949" s="494"/>
      <c r="S949" s="487"/>
      <c r="T949" s="389">
        <v>43300</v>
      </c>
      <c r="U949" s="401"/>
      <c r="V949" s="396"/>
      <c r="W949" s="482"/>
      <c r="X949" s="17"/>
      <c r="Z949" s="17"/>
    </row>
    <row r="950" spans="1:26" ht="14.25" customHeight="1">
      <c r="A950" s="396" t="s">
        <v>2647</v>
      </c>
      <c r="B950" s="504" t="s">
        <v>305</v>
      </c>
      <c r="C950" s="503" t="s">
        <v>517</v>
      </c>
      <c r="D950" s="431" t="s">
        <v>1656</v>
      </c>
      <c r="E950" s="482"/>
      <c r="F950" s="386"/>
      <c r="G950" s="386"/>
      <c r="H950" s="386"/>
      <c r="I950" s="386"/>
      <c r="J950" s="386" t="s">
        <v>794</v>
      </c>
      <c r="K950" s="386" t="s">
        <v>794</v>
      </c>
      <c r="L950" s="386" t="s">
        <v>794</v>
      </c>
      <c r="M950" s="386" t="s">
        <v>294</v>
      </c>
      <c r="N950" s="386">
        <v>20.651159289999999</v>
      </c>
      <c r="O950" s="386">
        <v>92.605712890000007</v>
      </c>
      <c r="P950" s="482" t="s">
        <v>795</v>
      </c>
      <c r="Q950" s="386" t="s">
        <v>776</v>
      </c>
      <c r="R950" s="486"/>
      <c r="S950" s="487"/>
      <c r="T950" s="389"/>
      <c r="U950" s="388"/>
      <c r="V950" s="396" t="s">
        <v>517</v>
      </c>
      <c r="W950" s="482"/>
      <c r="X950" s="17"/>
      <c r="Z950" s="17"/>
    </row>
    <row r="951" spans="1:26" ht="14.25" customHeight="1">
      <c r="A951" s="482" t="s">
        <v>2647</v>
      </c>
      <c r="B951" s="514" t="s">
        <v>305</v>
      </c>
      <c r="C951" s="515" t="s">
        <v>594</v>
      </c>
      <c r="D951" s="485" t="s">
        <v>1656</v>
      </c>
      <c r="E951" s="482">
        <v>197999</v>
      </c>
      <c r="F951" s="482"/>
      <c r="G951" s="482"/>
      <c r="H951" s="482"/>
      <c r="I951" s="482"/>
      <c r="J951" s="482" t="s">
        <v>794</v>
      </c>
      <c r="K951" s="482" t="s">
        <v>794</v>
      </c>
      <c r="L951" s="482" t="s">
        <v>794</v>
      </c>
      <c r="M951" s="482" t="s">
        <v>791</v>
      </c>
      <c r="N951" s="482">
        <v>20.785320280000001</v>
      </c>
      <c r="O951" s="482">
        <v>92.406509400000004</v>
      </c>
      <c r="P951" s="386" t="s">
        <v>795</v>
      </c>
      <c r="Q951" s="482" t="s">
        <v>776</v>
      </c>
      <c r="R951" s="494"/>
      <c r="S951" s="487"/>
      <c r="T951" s="506"/>
      <c r="U951" s="488"/>
      <c r="V951" s="503" t="s">
        <v>594</v>
      </c>
      <c r="W951" s="482"/>
      <c r="X951" s="17"/>
      <c r="Z951" s="17"/>
    </row>
    <row r="952" spans="1:26" ht="14.25" customHeight="1">
      <c r="A952" s="396" t="s">
        <v>2647</v>
      </c>
      <c r="B952" s="504" t="s">
        <v>305</v>
      </c>
      <c r="C952" s="503" t="s">
        <v>544</v>
      </c>
      <c r="D952" s="431"/>
      <c r="E952" s="396">
        <v>197993</v>
      </c>
      <c r="F952" s="396" t="s">
        <v>544</v>
      </c>
      <c r="G952" s="396"/>
      <c r="H952" s="396"/>
      <c r="I952" s="396"/>
      <c r="J952" s="386" t="s">
        <v>794</v>
      </c>
      <c r="K952" s="396" t="s">
        <v>794</v>
      </c>
      <c r="L952" s="396" t="s">
        <v>794</v>
      </c>
      <c r="M952" s="386" t="s">
        <v>791</v>
      </c>
      <c r="N952" s="396">
        <v>20.809099199999999</v>
      </c>
      <c r="O952" s="396">
        <v>92.39829254</v>
      </c>
      <c r="P952" s="386" t="s">
        <v>795</v>
      </c>
      <c r="Q952" s="386"/>
      <c r="R952" s="486"/>
      <c r="S952" s="400"/>
      <c r="T952" s="389">
        <v>43300</v>
      </c>
      <c r="U952" s="401"/>
      <c r="V952" s="482"/>
      <c r="W952" s="482"/>
      <c r="X952" s="17"/>
      <c r="Z952" s="17"/>
    </row>
    <row r="953" spans="1:26" ht="14.25" customHeight="1">
      <c r="A953" s="396" t="s">
        <v>2647</v>
      </c>
      <c r="B953" s="514" t="s">
        <v>305</v>
      </c>
      <c r="C953" s="515" t="s">
        <v>475</v>
      </c>
      <c r="D953" s="485" t="s">
        <v>2288</v>
      </c>
      <c r="E953" s="386" t="s">
        <v>1406</v>
      </c>
      <c r="F953" s="484" t="s">
        <v>1753</v>
      </c>
      <c r="G953" s="386" t="s">
        <v>1753</v>
      </c>
      <c r="H953" s="396" t="s">
        <v>40</v>
      </c>
      <c r="I953" s="386"/>
      <c r="J953" s="386" t="s">
        <v>794</v>
      </c>
      <c r="K953" s="386" t="s">
        <v>794</v>
      </c>
      <c r="L953" s="386" t="s">
        <v>879</v>
      </c>
      <c r="M953" s="386" t="s">
        <v>294</v>
      </c>
      <c r="N953" s="396">
        <v>20.824777999999998</v>
      </c>
      <c r="O953" s="396">
        <v>92.362196999999995</v>
      </c>
      <c r="P953" s="386" t="s">
        <v>795</v>
      </c>
      <c r="Q953" s="386"/>
      <c r="R953" s="486">
        <v>17</v>
      </c>
      <c r="S953" s="487">
        <v>109</v>
      </c>
      <c r="T953" s="389"/>
      <c r="U953" s="388" t="s">
        <v>856</v>
      </c>
      <c r="V953" s="386" t="s">
        <v>475</v>
      </c>
      <c r="W953" s="482"/>
      <c r="X953" s="17"/>
      <c r="Z953" s="17"/>
    </row>
    <row r="954" spans="1:26" ht="14.25" customHeight="1">
      <c r="A954" s="482" t="s">
        <v>2647</v>
      </c>
      <c r="B954" s="514" t="s">
        <v>305</v>
      </c>
      <c r="C954" s="515" t="s">
        <v>2081</v>
      </c>
      <c r="D954" s="485"/>
      <c r="E954" s="484">
        <v>197858</v>
      </c>
      <c r="F954" s="482"/>
      <c r="G954" s="386"/>
      <c r="H954" s="386"/>
      <c r="I954" s="386"/>
      <c r="J954" s="386" t="s">
        <v>794</v>
      </c>
      <c r="K954" s="386" t="s">
        <v>794</v>
      </c>
      <c r="L954" s="386" t="s">
        <v>794</v>
      </c>
      <c r="M954" s="386" t="s">
        <v>2068</v>
      </c>
      <c r="N954" s="482">
        <v>21.160549159999999</v>
      </c>
      <c r="O954" s="482">
        <v>92.330261230000005</v>
      </c>
      <c r="P954" s="482" t="s">
        <v>795</v>
      </c>
      <c r="Q954" s="386"/>
      <c r="R954" s="494"/>
      <c r="S954" s="387"/>
      <c r="T954" s="389">
        <v>43300</v>
      </c>
      <c r="U954" s="488"/>
      <c r="V954" s="482"/>
      <c r="W954" s="482"/>
      <c r="X954" s="17"/>
      <c r="Z954" s="17"/>
    </row>
    <row r="955" spans="1:26" ht="14.25" customHeight="1">
      <c r="A955" s="487" t="s">
        <v>2647</v>
      </c>
      <c r="B955" s="514" t="s">
        <v>305</v>
      </c>
      <c r="C955" s="515" t="s">
        <v>2979</v>
      </c>
      <c r="D955" s="485"/>
      <c r="E955" s="482">
        <v>220746</v>
      </c>
      <c r="F955" s="512" t="s">
        <v>2980</v>
      </c>
      <c r="G955" s="482"/>
      <c r="H955" s="482"/>
      <c r="I955" s="482"/>
      <c r="J955" s="482" t="s">
        <v>794</v>
      </c>
      <c r="K955" s="482" t="s">
        <v>794</v>
      </c>
      <c r="L955" s="482" t="s">
        <v>794</v>
      </c>
      <c r="M955" s="482"/>
      <c r="N955" s="482">
        <v>20.5168571472168</v>
      </c>
      <c r="O955" s="482">
        <v>92.577987670898395</v>
      </c>
      <c r="P955" s="482" t="s">
        <v>795</v>
      </c>
      <c r="Q955" s="482" t="s">
        <v>2961</v>
      </c>
      <c r="R955" s="494"/>
      <c r="S955" s="487"/>
      <c r="T955" s="506">
        <v>43768</v>
      </c>
      <c r="U955" s="494"/>
      <c r="V955" s="482"/>
      <c r="W955" s="486"/>
      <c r="X955" s="17"/>
      <c r="Z955" s="17"/>
    </row>
    <row r="956" spans="1:26" ht="14.25" customHeight="1">
      <c r="A956" s="482" t="s">
        <v>2647</v>
      </c>
      <c r="B956" s="504" t="s">
        <v>305</v>
      </c>
      <c r="C956" s="503" t="s">
        <v>2043</v>
      </c>
      <c r="D956" s="485"/>
      <c r="E956" s="482">
        <v>197996</v>
      </c>
      <c r="F956" s="482"/>
      <c r="G956" s="482"/>
      <c r="H956" s="487"/>
      <c r="I956" s="482"/>
      <c r="J956" s="482" t="s">
        <v>794</v>
      </c>
      <c r="K956" s="482" t="s">
        <v>794</v>
      </c>
      <c r="L956" s="482" t="s">
        <v>794</v>
      </c>
      <c r="M956" s="482" t="s">
        <v>791</v>
      </c>
      <c r="N956" s="482">
        <v>20.805980680000001</v>
      </c>
      <c r="O956" s="482">
        <v>92.383308409999998</v>
      </c>
      <c r="P956" s="482" t="s">
        <v>795</v>
      </c>
      <c r="Q956" s="484"/>
      <c r="R956" s="486"/>
      <c r="S956" s="487"/>
      <c r="T956" s="507">
        <v>43300</v>
      </c>
      <c r="U956" s="488"/>
      <c r="V956" s="482"/>
      <c r="W956" s="482"/>
      <c r="X956" s="17"/>
      <c r="Z956" s="17"/>
    </row>
    <row r="957" spans="1:26" ht="14.25" customHeight="1">
      <c r="A957" s="482" t="s">
        <v>2647</v>
      </c>
      <c r="B957" s="514" t="s">
        <v>305</v>
      </c>
      <c r="C957" s="515" t="s">
        <v>1902</v>
      </c>
      <c r="D957" s="485"/>
      <c r="E957" s="482">
        <v>197971</v>
      </c>
      <c r="F957" s="482" t="s">
        <v>1902</v>
      </c>
      <c r="G957" s="482"/>
      <c r="H957" s="482"/>
      <c r="I957" s="482"/>
      <c r="J957" s="396" t="s">
        <v>794</v>
      </c>
      <c r="K957" s="386" t="s">
        <v>794</v>
      </c>
      <c r="L957" s="386" t="s">
        <v>794</v>
      </c>
      <c r="M957" s="482" t="s">
        <v>791</v>
      </c>
      <c r="N957" s="482">
        <v>20.872400280000001</v>
      </c>
      <c r="O957" s="482">
        <v>92.337608340000003</v>
      </c>
      <c r="P957" s="386" t="s">
        <v>795</v>
      </c>
      <c r="Q957" s="482" t="s">
        <v>1904</v>
      </c>
      <c r="R957" s="494"/>
      <c r="S957" s="487"/>
      <c r="T957" s="506">
        <v>43245</v>
      </c>
      <c r="U957" s="488"/>
      <c r="V957" s="482"/>
      <c r="W957" s="482"/>
      <c r="X957" s="17"/>
      <c r="Z957" s="17"/>
    </row>
    <row r="958" spans="1:26" ht="14.25" customHeight="1">
      <c r="A958" s="482" t="s">
        <v>2647</v>
      </c>
      <c r="B958" s="155" t="s">
        <v>305</v>
      </c>
      <c r="C958" s="515" t="s">
        <v>335</v>
      </c>
      <c r="D958" s="485" t="s">
        <v>1656</v>
      </c>
      <c r="E958" s="150"/>
      <c r="F958" s="150"/>
      <c r="G958" s="150"/>
      <c r="H958" s="150"/>
      <c r="I958" s="150"/>
      <c r="J958" s="150" t="s">
        <v>794</v>
      </c>
      <c r="K958" s="150" t="s">
        <v>794</v>
      </c>
      <c r="L958" s="150" t="s">
        <v>794</v>
      </c>
      <c r="M958" s="150" t="s">
        <v>791</v>
      </c>
      <c r="N958" s="510"/>
      <c r="O958" s="510"/>
      <c r="P958" s="150" t="s">
        <v>795</v>
      </c>
      <c r="Q958" s="150" t="s">
        <v>776</v>
      </c>
      <c r="R958" s="151"/>
      <c r="S958" s="149"/>
      <c r="T958" s="152"/>
      <c r="U958" s="153"/>
      <c r="V958" s="150" t="s">
        <v>335</v>
      </c>
      <c r="W958" s="482"/>
      <c r="X958" s="17"/>
      <c r="Z958" s="17"/>
    </row>
    <row r="959" spans="1:26" ht="14.25" customHeight="1">
      <c r="A959" s="482" t="s">
        <v>2647</v>
      </c>
      <c r="B959" s="514" t="s">
        <v>305</v>
      </c>
      <c r="C959" s="515" t="s">
        <v>599</v>
      </c>
      <c r="D959" s="485" t="s">
        <v>1656</v>
      </c>
      <c r="E959" s="386">
        <v>198000</v>
      </c>
      <c r="F959" s="386"/>
      <c r="G959" s="386"/>
      <c r="H959" s="386"/>
      <c r="I959" s="396"/>
      <c r="J959" s="386" t="s">
        <v>794</v>
      </c>
      <c r="K959" s="386" t="s">
        <v>794</v>
      </c>
      <c r="L959" s="386" t="s">
        <v>794</v>
      </c>
      <c r="M959" s="386" t="s">
        <v>791</v>
      </c>
      <c r="N959" s="482">
        <v>20.788669590000001</v>
      </c>
      <c r="O959" s="482">
        <v>92.397300720000004</v>
      </c>
      <c r="P959" s="386" t="s">
        <v>795</v>
      </c>
      <c r="Q959" s="386" t="s">
        <v>776</v>
      </c>
      <c r="R959" s="494"/>
      <c r="S959" s="400"/>
      <c r="T959" s="389"/>
      <c r="U959" s="488"/>
      <c r="V959" s="482" t="s">
        <v>599</v>
      </c>
      <c r="W959" s="482"/>
      <c r="X959" s="17"/>
      <c r="Z959" s="17"/>
    </row>
    <row r="960" spans="1:26" ht="14.25" customHeight="1">
      <c r="A960" s="396" t="s">
        <v>2647</v>
      </c>
      <c r="B960" s="514" t="s">
        <v>305</v>
      </c>
      <c r="C960" s="515" t="s">
        <v>2036</v>
      </c>
      <c r="D960" s="485"/>
      <c r="E960" s="482">
        <v>197972</v>
      </c>
      <c r="F960" s="484"/>
      <c r="G960" s="386"/>
      <c r="H960" s="396"/>
      <c r="I960" s="396"/>
      <c r="J960" s="386" t="s">
        <v>794</v>
      </c>
      <c r="K960" s="396" t="s">
        <v>794</v>
      </c>
      <c r="L960" s="396" t="s">
        <v>794</v>
      </c>
      <c r="M960" s="386" t="s">
        <v>791</v>
      </c>
      <c r="N960" s="396">
        <v>20.879430769999999</v>
      </c>
      <c r="O960" s="396">
        <v>92.334373470000003</v>
      </c>
      <c r="P960" s="386" t="s">
        <v>795</v>
      </c>
      <c r="Q960" s="386"/>
      <c r="R960" s="494"/>
      <c r="S960" s="400"/>
      <c r="T960" s="389">
        <v>43300</v>
      </c>
      <c r="U960" s="388"/>
      <c r="V960" s="386"/>
      <c r="W960" s="482"/>
      <c r="X960" s="17"/>
      <c r="Z960" s="17"/>
    </row>
    <row r="961" spans="1:26" ht="14.25" customHeight="1">
      <c r="A961" s="482" t="s">
        <v>2647</v>
      </c>
      <c r="B961" s="504" t="s">
        <v>305</v>
      </c>
      <c r="C961" s="503" t="s">
        <v>294</v>
      </c>
      <c r="D961" s="431" t="s">
        <v>1656</v>
      </c>
      <c r="E961" s="482"/>
      <c r="F961" s="482"/>
      <c r="G961" s="482"/>
      <c r="H961" s="482"/>
      <c r="I961" s="482"/>
      <c r="J961" s="386" t="s">
        <v>794</v>
      </c>
      <c r="K961" s="386" t="s">
        <v>794</v>
      </c>
      <c r="L961" s="386" t="s">
        <v>794</v>
      </c>
      <c r="M961" s="482" t="s">
        <v>294</v>
      </c>
      <c r="N961" s="498"/>
      <c r="O961" s="498"/>
      <c r="P961" s="386" t="s">
        <v>795</v>
      </c>
      <c r="Q961" s="482" t="s">
        <v>776</v>
      </c>
      <c r="R961" s="486"/>
      <c r="S961" s="487"/>
      <c r="T961" s="506"/>
      <c r="U961" s="488"/>
      <c r="V961" s="482" t="s">
        <v>294</v>
      </c>
      <c r="W961" s="482"/>
      <c r="X961" s="17"/>
      <c r="Z961" s="17"/>
    </row>
    <row r="962" spans="1:26" ht="14.25" customHeight="1">
      <c r="A962" s="396" t="s">
        <v>2647</v>
      </c>
      <c r="B962" s="504" t="s">
        <v>305</v>
      </c>
      <c r="C962" s="503" t="s">
        <v>340</v>
      </c>
      <c r="D962" s="431" t="s">
        <v>1656</v>
      </c>
      <c r="E962" s="482"/>
      <c r="F962" s="386"/>
      <c r="G962" s="386"/>
      <c r="H962" s="386"/>
      <c r="I962" s="386"/>
      <c r="J962" s="386" t="s">
        <v>794</v>
      </c>
      <c r="K962" s="386" t="s">
        <v>794</v>
      </c>
      <c r="L962" s="386" t="s">
        <v>794</v>
      </c>
      <c r="M962" s="386" t="s">
        <v>294</v>
      </c>
      <c r="N962" s="482"/>
      <c r="O962" s="482"/>
      <c r="P962" s="386" t="s">
        <v>795</v>
      </c>
      <c r="Q962" s="386" t="s">
        <v>776</v>
      </c>
      <c r="R962" s="486"/>
      <c r="S962" s="400"/>
      <c r="T962" s="389"/>
      <c r="U962" s="388"/>
      <c r="V962" s="482"/>
      <c r="W962" s="482"/>
      <c r="X962" s="17"/>
      <c r="Z962" s="17"/>
    </row>
    <row r="963" spans="1:26" ht="14.25" customHeight="1">
      <c r="A963" s="482" t="s">
        <v>2647</v>
      </c>
      <c r="B963" s="514" t="s">
        <v>305</v>
      </c>
      <c r="C963" s="515" t="s">
        <v>1131</v>
      </c>
      <c r="D963" s="485" t="s">
        <v>1656</v>
      </c>
      <c r="E963" s="482"/>
      <c r="F963" s="482"/>
      <c r="G963" s="482"/>
      <c r="H963" s="482"/>
      <c r="I963" s="482"/>
      <c r="J963" s="386" t="s">
        <v>794</v>
      </c>
      <c r="K963" s="386" t="s">
        <v>794</v>
      </c>
      <c r="L963" s="386" t="s">
        <v>794</v>
      </c>
      <c r="M963" s="482" t="s">
        <v>791</v>
      </c>
      <c r="N963" s="482"/>
      <c r="O963" s="482"/>
      <c r="P963" s="386" t="s">
        <v>795</v>
      </c>
      <c r="Q963" s="386"/>
      <c r="R963" s="494"/>
      <c r="S963" s="487"/>
      <c r="T963" s="389"/>
      <c r="U963" s="488"/>
      <c r="V963" s="482" t="s">
        <v>340</v>
      </c>
      <c r="W963" s="482"/>
      <c r="X963" s="17"/>
      <c r="Z963" s="17"/>
    </row>
    <row r="964" spans="1:26" ht="14.25" customHeight="1">
      <c r="A964" s="396" t="s">
        <v>2647</v>
      </c>
      <c r="B964" s="514" t="s">
        <v>305</v>
      </c>
      <c r="C964" s="515" t="s">
        <v>341</v>
      </c>
      <c r="D964" s="485" t="s">
        <v>1656</v>
      </c>
      <c r="E964" s="386"/>
      <c r="F964" s="386"/>
      <c r="G964" s="386"/>
      <c r="H964" s="396"/>
      <c r="I964" s="396"/>
      <c r="J964" s="386" t="s">
        <v>794</v>
      </c>
      <c r="K964" s="386" t="s">
        <v>794</v>
      </c>
      <c r="L964" s="386" t="s">
        <v>794</v>
      </c>
      <c r="M964" s="386" t="s">
        <v>294</v>
      </c>
      <c r="N964" s="482"/>
      <c r="O964" s="482"/>
      <c r="P964" s="386" t="s">
        <v>795</v>
      </c>
      <c r="Q964" s="386" t="s">
        <v>776</v>
      </c>
      <c r="R964" s="494"/>
      <c r="S964" s="487"/>
      <c r="T964" s="389"/>
      <c r="U964" s="388"/>
      <c r="V964" s="386" t="s">
        <v>340</v>
      </c>
      <c r="W964" s="482"/>
      <c r="X964" s="17"/>
      <c r="Z964" s="17"/>
    </row>
    <row r="965" spans="1:26" ht="14.25" customHeight="1">
      <c r="A965" s="482" t="s">
        <v>2647</v>
      </c>
      <c r="B965" s="504" t="s">
        <v>305</v>
      </c>
      <c r="C965" s="503" t="s">
        <v>342</v>
      </c>
      <c r="D965" s="431" t="s">
        <v>1656</v>
      </c>
      <c r="E965" s="482"/>
      <c r="F965" s="482"/>
      <c r="G965" s="482"/>
      <c r="H965" s="482"/>
      <c r="I965" s="482"/>
      <c r="J965" s="386" t="s">
        <v>794</v>
      </c>
      <c r="K965" s="386" t="s">
        <v>794</v>
      </c>
      <c r="L965" s="386" t="s">
        <v>794</v>
      </c>
      <c r="M965" s="482" t="s">
        <v>791</v>
      </c>
      <c r="N965" s="482"/>
      <c r="O965" s="482"/>
      <c r="P965" s="386" t="s">
        <v>795</v>
      </c>
      <c r="Q965" s="482" t="s">
        <v>776</v>
      </c>
      <c r="R965" s="486"/>
      <c r="S965" s="487"/>
      <c r="T965" s="506"/>
      <c r="U965" s="488"/>
      <c r="V965" s="482" t="s">
        <v>342</v>
      </c>
      <c r="W965" s="482"/>
      <c r="X965" s="17"/>
      <c r="Z965" s="17"/>
    </row>
    <row r="966" spans="1:26" ht="14.25" customHeight="1">
      <c r="A966" s="482" t="s">
        <v>2647</v>
      </c>
      <c r="B966" s="514" t="s">
        <v>305</v>
      </c>
      <c r="C966" s="515" t="s">
        <v>2059</v>
      </c>
      <c r="D966" s="485"/>
      <c r="E966" s="482">
        <v>197897</v>
      </c>
      <c r="F966" s="482"/>
      <c r="G966" s="482"/>
      <c r="H966" s="482"/>
      <c r="I966" s="482"/>
      <c r="J966" s="386" t="s">
        <v>794</v>
      </c>
      <c r="K966" s="386" t="s">
        <v>794</v>
      </c>
      <c r="L966" s="386" t="s">
        <v>794</v>
      </c>
      <c r="M966" s="482" t="s">
        <v>294</v>
      </c>
      <c r="N966" s="482">
        <v>21.004550930000001</v>
      </c>
      <c r="O966" s="482">
        <v>92.294601439999994</v>
      </c>
      <c r="P966" s="482" t="s">
        <v>795</v>
      </c>
      <c r="Q966" s="386"/>
      <c r="R966" s="495"/>
      <c r="S966" s="491"/>
      <c r="T966" s="389">
        <v>43300</v>
      </c>
      <c r="U966" s="488"/>
      <c r="V966" s="482"/>
      <c r="W966" s="482"/>
      <c r="X966" s="17"/>
      <c r="Z966" s="17"/>
    </row>
    <row r="967" spans="1:26" ht="14.25" customHeight="1">
      <c r="A967" s="396" t="s">
        <v>2647</v>
      </c>
      <c r="B967" s="155" t="s">
        <v>305</v>
      </c>
      <c r="C967" s="156" t="s">
        <v>683</v>
      </c>
      <c r="D967" s="485" t="s">
        <v>1656</v>
      </c>
      <c r="E967" s="150">
        <v>197866</v>
      </c>
      <c r="F967" s="150"/>
      <c r="G967" s="150"/>
      <c r="H967" s="150"/>
      <c r="I967" s="150"/>
      <c r="J967" s="150" t="s">
        <v>794</v>
      </c>
      <c r="K967" s="150" t="s">
        <v>794</v>
      </c>
      <c r="L967" s="150" t="s">
        <v>794</v>
      </c>
      <c r="M967" s="150" t="s">
        <v>791</v>
      </c>
      <c r="N967" s="150">
        <v>21.05834961</v>
      </c>
      <c r="O967" s="150">
        <v>92.336326600000007</v>
      </c>
      <c r="P967" s="150" t="s">
        <v>795</v>
      </c>
      <c r="Q967" s="150" t="s">
        <v>776</v>
      </c>
      <c r="R967" s="436"/>
      <c r="S967" s="435"/>
      <c r="T967" s="152">
        <v>42745</v>
      </c>
      <c r="U967" s="153"/>
      <c r="V967" s="150" t="s">
        <v>683</v>
      </c>
      <c r="W967" s="482"/>
      <c r="X967" s="17"/>
      <c r="Z967" s="17"/>
    </row>
    <row r="968" spans="1:26" ht="14.25" customHeight="1">
      <c r="A968" s="482" t="s">
        <v>2647</v>
      </c>
      <c r="B968" s="514" t="s">
        <v>305</v>
      </c>
      <c r="C968" s="515" t="s">
        <v>671</v>
      </c>
      <c r="D968" s="485" t="s">
        <v>1656</v>
      </c>
      <c r="E968" s="482"/>
      <c r="F968" s="482"/>
      <c r="G968" s="482"/>
      <c r="H968" s="482"/>
      <c r="I968" s="482"/>
      <c r="J968" s="386" t="s">
        <v>794</v>
      </c>
      <c r="K968" s="386" t="s">
        <v>794</v>
      </c>
      <c r="L968" s="386" t="s">
        <v>794</v>
      </c>
      <c r="M968" s="482" t="s">
        <v>294</v>
      </c>
      <c r="N968" s="482">
        <v>21.004550930000001</v>
      </c>
      <c r="O968" s="482">
        <v>92.294601439999994</v>
      </c>
      <c r="P968" s="386" t="s">
        <v>795</v>
      </c>
      <c r="Q968" s="482" t="s">
        <v>776</v>
      </c>
      <c r="R968" s="494"/>
      <c r="S968" s="487"/>
      <c r="T968" s="506"/>
      <c r="U968" s="488"/>
      <c r="V968" s="482" t="s">
        <v>671</v>
      </c>
      <c r="W968" s="482"/>
      <c r="X968" s="17"/>
      <c r="Z968" s="17"/>
    </row>
    <row r="969" spans="1:26" ht="14.25" customHeight="1">
      <c r="A969" s="482" t="s">
        <v>2647</v>
      </c>
      <c r="B969" s="504" t="s">
        <v>305</v>
      </c>
      <c r="C969" s="503" t="s">
        <v>2057</v>
      </c>
      <c r="D969" s="431"/>
      <c r="E969" s="482">
        <v>197983</v>
      </c>
      <c r="F969" s="482"/>
      <c r="G969" s="482"/>
      <c r="H969" s="482"/>
      <c r="I969" s="482"/>
      <c r="J969" s="386" t="s">
        <v>794</v>
      </c>
      <c r="K969" s="386" t="s">
        <v>794</v>
      </c>
      <c r="L969" s="386" t="s">
        <v>794</v>
      </c>
      <c r="M969" s="482" t="s">
        <v>679</v>
      </c>
      <c r="N969" s="482">
        <v>20.834699629999999</v>
      </c>
      <c r="O969" s="482">
        <v>92.372390749999994</v>
      </c>
      <c r="P969" s="386" t="s">
        <v>795</v>
      </c>
      <c r="Q969" s="482"/>
      <c r="R969" s="486"/>
      <c r="S969" s="487"/>
      <c r="T969" s="506">
        <v>43300</v>
      </c>
      <c r="U969" s="488"/>
      <c r="V969" s="482"/>
      <c r="W969" s="482"/>
      <c r="X969" s="17"/>
      <c r="Z969" s="17"/>
    </row>
    <row r="970" spans="1:26" ht="14.25" customHeight="1">
      <c r="A970" s="396" t="s">
        <v>2647</v>
      </c>
      <c r="B970" s="504" t="s">
        <v>305</v>
      </c>
      <c r="C970" s="503" t="s">
        <v>562</v>
      </c>
      <c r="D970" s="431" t="s">
        <v>1656</v>
      </c>
      <c r="E970" s="482">
        <v>198047</v>
      </c>
      <c r="F970" s="386"/>
      <c r="G970" s="386"/>
      <c r="H970" s="386"/>
      <c r="I970" s="482"/>
      <c r="J970" s="386" t="s">
        <v>794</v>
      </c>
      <c r="K970" s="386" t="s">
        <v>794</v>
      </c>
      <c r="L970" s="482" t="s">
        <v>794</v>
      </c>
      <c r="M970" s="386" t="s">
        <v>791</v>
      </c>
      <c r="N970" s="482">
        <v>20.717479709999999</v>
      </c>
      <c r="O970" s="482">
        <v>92.437492370000001</v>
      </c>
      <c r="P970" s="386" t="s">
        <v>795</v>
      </c>
      <c r="Q970" s="386" t="s">
        <v>776</v>
      </c>
      <c r="R970" s="486"/>
      <c r="S970" s="487"/>
      <c r="T970" s="389"/>
      <c r="U970" s="388"/>
      <c r="V970" s="386" t="s">
        <v>562</v>
      </c>
      <c r="W970" s="482"/>
      <c r="X970" s="17"/>
      <c r="Z970" s="17"/>
    </row>
    <row r="971" spans="1:26" ht="14.25" customHeight="1">
      <c r="A971" s="482" t="s">
        <v>2647</v>
      </c>
      <c r="B971" s="504" t="s">
        <v>305</v>
      </c>
      <c r="C971" s="503" t="s">
        <v>2530</v>
      </c>
      <c r="D971" s="431"/>
      <c r="E971" s="482"/>
      <c r="F971" s="482" t="s">
        <v>2637</v>
      </c>
      <c r="G971" s="482"/>
      <c r="H971" s="482"/>
      <c r="I971" s="482"/>
      <c r="J971" s="482" t="s">
        <v>794</v>
      </c>
      <c r="K971" s="482" t="s">
        <v>794</v>
      </c>
      <c r="L971" s="482" t="s">
        <v>794</v>
      </c>
      <c r="M971" s="482" t="s">
        <v>294</v>
      </c>
      <c r="N971" s="482"/>
      <c r="O971" s="482"/>
      <c r="P971" s="482" t="s">
        <v>795</v>
      </c>
      <c r="Q971" s="482"/>
      <c r="R971" s="486"/>
      <c r="S971" s="487"/>
      <c r="T971" s="506"/>
      <c r="U971" s="488"/>
      <c r="V971" s="482"/>
      <c r="W971" s="482"/>
      <c r="X971" s="17"/>
      <c r="Z971" s="17"/>
    </row>
    <row r="972" spans="1:26" ht="14.25" customHeight="1">
      <c r="A972" s="487" t="s">
        <v>2647</v>
      </c>
      <c r="B972" s="514" t="s">
        <v>305</v>
      </c>
      <c r="C972" s="515" t="s">
        <v>2810</v>
      </c>
      <c r="D972" s="485"/>
      <c r="E972" s="482"/>
      <c r="F972" s="386"/>
      <c r="G972" s="386"/>
      <c r="H972" s="396"/>
      <c r="I972" s="396"/>
      <c r="J972" s="386" t="s">
        <v>794</v>
      </c>
      <c r="K972" s="386" t="s">
        <v>794</v>
      </c>
      <c r="L972" s="386" t="s">
        <v>794</v>
      </c>
      <c r="M972" s="386"/>
      <c r="N972" s="482"/>
      <c r="O972" s="482"/>
      <c r="P972" s="386" t="s">
        <v>795</v>
      </c>
      <c r="Q972" s="386"/>
      <c r="R972" s="494"/>
      <c r="S972" s="487"/>
      <c r="T972" s="389"/>
      <c r="U972" s="494"/>
      <c r="V972" s="484"/>
      <c r="W972" s="486"/>
      <c r="X972" s="17"/>
      <c r="Z972" s="17"/>
    </row>
    <row r="973" spans="1:26" ht="14.25" customHeight="1">
      <c r="A973" s="482" t="s">
        <v>2647</v>
      </c>
      <c r="B973" s="514" t="s">
        <v>305</v>
      </c>
      <c r="C973" s="515" t="s">
        <v>2044</v>
      </c>
      <c r="D973" s="485"/>
      <c r="E973" s="482">
        <v>220737</v>
      </c>
      <c r="F973" s="482" t="s">
        <v>544</v>
      </c>
      <c r="G973" s="482"/>
      <c r="H973" s="482"/>
      <c r="I973" s="482"/>
      <c r="J973" s="386" t="s">
        <v>794</v>
      </c>
      <c r="K973" s="386" t="s">
        <v>794</v>
      </c>
      <c r="L973" s="386" t="s">
        <v>794</v>
      </c>
      <c r="M973" s="482" t="s">
        <v>294</v>
      </c>
      <c r="N973" s="482">
        <v>20.806211470000001</v>
      </c>
      <c r="O973" s="482">
        <v>92.404357910000002</v>
      </c>
      <c r="P973" s="386" t="s">
        <v>795</v>
      </c>
      <c r="Q973" s="482"/>
      <c r="R973" s="494"/>
      <c r="S973" s="487"/>
      <c r="T973" s="506">
        <v>43300</v>
      </c>
      <c r="U973" s="488"/>
      <c r="V973" s="482"/>
      <c r="W973" s="482"/>
      <c r="X973" s="17"/>
      <c r="Z973" s="17"/>
    </row>
    <row r="974" spans="1:26" ht="14.25" customHeight="1">
      <c r="A974" s="396" t="s">
        <v>2647</v>
      </c>
      <c r="B974" s="504" t="s">
        <v>305</v>
      </c>
      <c r="C974" s="503" t="s">
        <v>2028</v>
      </c>
      <c r="D974" s="431"/>
      <c r="E974" s="386">
        <v>197940</v>
      </c>
      <c r="F974" s="482"/>
      <c r="G974" s="386"/>
      <c r="H974" s="386"/>
      <c r="I974" s="396"/>
      <c r="J974" s="386" t="s">
        <v>794</v>
      </c>
      <c r="K974" s="386" t="s">
        <v>794</v>
      </c>
      <c r="L974" s="386" t="s">
        <v>794</v>
      </c>
      <c r="M974" s="386" t="s">
        <v>791</v>
      </c>
      <c r="N974" s="482">
        <v>20.836729049999999</v>
      </c>
      <c r="O974" s="482">
        <v>92.350952149999998</v>
      </c>
      <c r="P974" s="386" t="s">
        <v>795</v>
      </c>
      <c r="Q974" s="386"/>
      <c r="R974" s="486"/>
      <c r="S974" s="487"/>
      <c r="T974" s="389">
        <v>43300</v>
      </c>
      <c r="U974" s="388"/>
      <c r="V974" s="386"/>
      <c r="W974" s="482"/>
      <c r="X974" s="17"/>
      <c r="Z974" s="17"/>
    </row>
    <row r="975" spans="1:26" ht="14.25" customHeight="1">
      <c r="A975" s="396" t="s">
        <v>2647</v>
      </c>
      <c r="B975" s="514" t="s">
        <v>305</v>
      </c>
      <c r="C975" s="515" t="s">
        <v>2027</v>
      </c>
      <c r="D975" s="485"/>
      <c r="E975" s="386">
        <v>197940</v>
      </c>
      <c r="F975" s="482"/>
      <c r="G975" s="386"/>
      <c r="H975" s="396"/>
      <c r="I975" s="396"/>
      <c r="J975" s="386" t="s">
        <v>794</v>
      </c>
      <c r="K975" s="386" t="s">
        <v>794</v>
      </c>
      <c r="L975" s="386" t="s">
        <v>794</v>
      </c>
      <c r="M975" s="386" t="s">
        <v>791</v>
      </c>
      <c r="N975" s="482">
        <v>20.836729049999999</v>
      </c>
      <c r="O975" s="482">
        <v>92.350952149999998</v>
      </c>
      <c r="P975" s="482" t="s">
        <v>795</v>
      </c>
      <c r="Q975" s="386"/>
      <c r="R975" s="494"/>
      <c r="S975" s="487"/>
      <c r="T975" s="389">
        <v>43300</v>
      </c>
      <c r="U975" s="388"/>
      <c r="V975" s="386"/>
      <c r="W975" s="482"/>
      <c r="X975" s="17"/>
      <c r="Z975" s="17"/>
    </row>
    <row r="976" spans="1:26" ht="14.25" customHeight="1">
      <c r="A976" s="482" t="s">
        <v>2647</v>
      </c>
      <c r="B976" s="514" t="s">
        <v>305</v>
      </c>
      <c r="C976" s="515" t="s">
        <v>2025</v>
      </c>
      <c r="D976" s="485"/>
      <c r="E976" s="484">
        <v>197940</v>
      </c>
      <c r="F976" s="482"/>
      <c r="G976" s="482"/>
      <c r="H976" s="482"/>
      <c r="I976" s="482"/>
      <c r="J976" s="386" t="s">
        <v>794</v>
      </c>
      <c r="K976" s="386" t="s">
        <v>794</v>
      </c>
      <c r="L976" s="386" t="s">
        <v>794</v>
      </c>
      <c r="M976" s="386" t="s">
        <v>791</v>
      </c>
      <c r="N976" s="482">
        <v>20.836729049999999</v>
      </c>
      <c r="O976" s="482">
        <v>92.350952149999998</v>
      </c>
      <c r="P976" s="386" t="s">
        <v>795</v>
      </c>
      <c r="Q976" s="482"/>
      <c r="R976" s="494"/>
      <c r="S976" s="487"/>
      <c r="T976" s="506">
        <v>43300</v>
      </c>
      <c r="U976" s="488"/>
      <c r="V976" s="482"/>
      <c r="W976" s="482"/>
      <c r="X976" s="17"/>
      <c r="Z976" s="17"/>
    </row>
    <row r="977" spans="1:26" ht="14.25" customHeight="1">
      <c r="A977" s="396" t="s">
        <v>2647</v>
      </c>
      <c r="B977" s="411" t="s">
        <v>305</v>
      </c>
      <c r="C977" s="410" t="s">
        <v>2093</v>
      </c>
      <c r="D977" s="431"/>
      <c r="E977" s="482">
        <v>197940</v>
      </c>
      <c r="F977" s="482"/>
      <c r="G977" s="386"/>
      <c r="H977" s="396"/>
      <c r="I977" s="396"/>
      <c r="J977" s="386" t="s">
        <v>794</v>
      </c>
      <c r="K977" s="386" t="s">
        <v>794</v>
      </c>
      <c r="L977" s="396" t="s">
        <v>794</v>
      </c>
      <c r="M977" s="386" t="s">
        <v>679</v>
      </c>
      <c r="N977" s="482">
        <v>20.836729049999999</v>
      </c>
      <c r="O977" s="482">
        <v>92.350952149999998</v>
      </c>
      <c r="P977" s="386" t="s">
        <v>795</v>
      </c>
      <c r="Q977" s="386"/>
      <c r="R977" s="486"/>
      <c r="S977" s="487"/>
      <c r="T977" s="389">
        <v>43300</v>
      </c>
      <c r="U977" s="388"/>
      <c r="V977" s="386"/>
      <c r="W977" s="482"/>
      <c r="X977" s="17"/>
      <c r="Z977" s="17"/>
    </row>
    <row r="978" spans="1:26" ht="14.25" customHeight="1">
      <c r="A978" s="396" t="s">
        <v>2647</v>
      </c>
      <c r="B978" s="411" t="s">
        <v>305</v>
      </c>
      <c r="C978" s="410" t="s">
        <v>2074</v>
      </c>
      <c r="D978" s="431"/>
      <c r="E978" s="386">
        <v>197933</v>
      </c>
      <c r="F978" s="482"/>
      <c r="G978" s="386"/>
      <c r="H978" s="396"/>
      <c r="I978" s="396"/>
      <c r="J978" s="386" t="s">
        <v>794</v>
      </c>
      <c r="K978" s="386" t="s">
        <v>794</v>
      </c>
      <c r="L978" s="396" t="s">
        <v>794</v>
      </c>
      <c r="M978" s="386" t="s">
        <v>791</v>
      </c>
      <c r="N978" s="482">
        <v>20.85235977</v>
      </c>
      <c r="O978" s="482">
        <v>92.352790830000004</v>
      </c>
      <c r="P978" s="396" t="s">
        <v>795</v>
      </c>
      <c r="Q978" s="386"/>
      <c r="R978" s="486"/>
      <c r="S978" s="487"/>
      <c r="T978" s="389">
        <v>43300</v>
      </c>
      <c r="U978" s="388"/>
      <c r="V978" s="386"/>
      <c r="W978" s="482"/>
      <c r="X978" s="17"/>
      <c r="Z978" s="17"/>
    </row>
    <row r="979" spans="1:26" ht="14.25" customHeight="1">
      <c r="A979" s="482" t="s">
        <v>2647</v>
      </c>
      <c r="B979" s="504" t="s">
        <v>305</v>
      </c>
      <c r="C979" s="503" t="s">
        <v>684</v>
      </c>
      <c r="D979" s="431" t="s">
        <v>1656</v>
      </c>
      <c r="E979" s="482" t="s">
        <v>1415</v>
      </c>
      <c r="F979" s="482"/>
      <c r="G979" s="482"/>
      <c r="H979" s="482" t="s">
        <v>40</v>
      </c>
      <c r="I979" s="482"/>
      <c r="J979" s="386" t="s">
        <v>794</v>
      </c>
      <c r="K979" s="386" t="s">
        <v>794</v>
      </c>
      <c r="L979" s="482" t="s">
        <v>1656</v>
      </c>
      <c r="M979" s="386" t="s">
        <v>791</v>
      </c>
      <c r="N979" s="482">
        <v>21.066663999999999</v>
      </c>
      <c r="O979" s="482">
        <v>92.338031000000001</v>
      </c>
      <c r="P979" s="386" t="s">
        <v>795</v>
      </c>
      <c r="Q979" s="482" t="s">
        <v>776</v>
      </c>
      <c r="R979" s="486"/>
      <c r="S979" s="487"/>
      <c r="T979" s="506">
        <v>43248</v>
      </c>
      <c r="U979" s="488" t="s">
        <v>1897</v>
      </c>
      <c r="V979" s="482"/>
      <c r="W979" s="482"/>
      <c r="X979" s="17"/>
      <c r="Z979" s="17"/>
    </row>
    <row r="980" spans="1:26" ht="14.25" customHeight="1">
      <c r="A980" s="482" t="s">
        <v>2647</v>
      </c>
      <c r="B980" s="514" t="s">
        <v>305</v>
      </c>
      <c r="C980" s="515" t="s">
        <v>2000</v>
      </c>
      <c r="D980" s="485"/>
      <c r="E980" s="482">
        <v>197830</v>
      </c>
      <c r="F980" s="482" t="s">
        <v>1996</v>
      </c>
      <c r="G980" s="482"/>
      <c r="H980" s="482"/>
      <c r="I980" s="482"/>
      <c r="J980" s="482" t="s">
        <v>794</v>
      </c>
      <c r="K980" s="482" t="s">
        <v>794</v>
      </c>
      <c r="L980" s="482" t="s">
        <v>794</v>
      </c>
      <c r="M980" s="482" t="s">
        <v>294</v>
      </c>
      <c r="N980" s="482">
        <v>21.218200679999999</v>
      </c>
      <c r="O980" s="482">
        <v>92.323173519999997</v>
      </c>
      <c r="P980" s="482" t="s">
        <v>795</v>
      </c>
      <c r="Q980" s="482"/>
      <c r="R980" s="494"/>
      <c r="S980" s="487"/>
      <c r="T980" s="506">
        <v>43294</v>
      </c>
      <c r="U980" s="488" t="s">
        <v>1994</v>
      </c>
      <c r="V980" s="482"/>
      <c r="W980" s="482"/>
      <c r="X980" s="17"/>
      <c r="Z980" s="17"/>
    </row>
    <row r="981" spans="1:26" ht="14.25" customHeight="1">
      <c r="A981" s="482" t="s">
        <v>2647</v>
      </c>
      <c r="B981" s="514" t="s">
        <v>305</v>
      </c>
      <c r="C981" s="515" t="s">
        <v>2086</v>
      </c>
      <c r="D981" s="485"/>
      <c r="E981" s="386">
        <v>197835</v>
      </c>
      <c r="F981" s="482"/>
      <c r="G981" s="386"/>
      <c r="H981" s="386"/>
      <c r="I981" s="386"/>
      <c r="J981" s="396" t="s">
        <v>794</v>
      </c>
      <c r="K981" s="396" t="s">
        <v>794</v>
      </c>
      <c r="L981" s="396" t="s">
        <v>794</v>
      </c>
      <c r="M981" s="386" t="s">
        <v>294</v>
      </c>
      <c r="N981" s="482">
        <v>21.218610760000001</v>
      </c>
      <c r="O981" s="482">
        <v>92.300231929999995</v>
      </c>
      <c r="P981" s="386" t="s">
        <v>795</v>
      </c>
      <c r="Q981" s="386"/>
      <c r="R981" s="494"/>
      <c r="S981" s="487"/>
      <c r="T981" s="389">
        <v>43300</v>
      </c>
      <c r="U981" s="488"/>
      <c r="V981" s="482"/>
      <c r="W981" s="482"/>
      <c r="X981" s="17"/>
      <c r="Z981" s="17"/>
    </row>
    <row r="982" spans="1:26" ht="14.25" customHeight="1">
      <c r="A982" s="487" t="s">
        <v>2647</v>
      </c>
      <c r="B982" s="514" t="s">
        <v>305</v>
      </c>
      <c r="C982" s="515" t="s">
        <v>2811</v>
      </c>
      <c r="D982" s="485"/>
      <c r="E982" s="386">
        <v>198002</v>
      </c>
      <c r="F982" s="482" t="s">
        <v>2815</v>
      </c>
      <c r="G982" s="386"/>
      <c r="H982" s="386"/>
      <c r="I982" s="386"/>
      <c r="J982" s="386" t="s">
        <v>794</v>
      </c>
      <c r="K982" s="386" t="s">
        <v>794</v>
      </c>
      <c r="L982" s="386" t="s">
        <v>794</v>
      </c>
      <c r="M982" s="386" t="s">
        <v>791</v>
      </c>
      <c r="N982" s="396">
        <v>20.7818698883057</v>
      </c>
      <c r="O982" s="396">
        <v>92.393142700195298</v>
      </c>
      <c r="P982" s="386" t="s">
        <v>795</v>
      </c>
      <c r="Q982" s="386" t="s">
        <v>776</v>
      </c>
      <c r="R982" s="494"/>
      <c r="S982" s="487"/>
      <c r="T982" s="389"/>
      <c r="U982" s="494"/>
      <c r="V982" s="484" t="s">
        <v>590</v>
      </c>
      <c r="W982" s="486"/>
      <c r="X982" s="17"/>
      <c r="Z982" s="17"/>
    </row>
    <row r="983" spans="1:26" ht="14.25" customHeight="1">
      <c r="A983" s="396" t="s">
        <v>2647</v>
      </c>
      <c r="B983" s="411" t="s">
        <v>305</v>
      </c>
      <c r="C983" s="410" t="s">
        <v>2050</v>
      </c>
      <c r="D983" s="431"/>
      <c r="E983" s="386" t="s">
        <v>2095</v>
      </c>
      <c r="F983" s="482"/>
      <c r="G983" s="386"/>
      <c r="H983" s="386"/>
      <c r="I983" s="386"/>
      <c r="J983" s="386" t="s">
        <v>794</v>
      </c>
      <c r="K983" s="386" t="s">
        <v>794</v>
      </c>
      <c r="L983" s="386" t="s">
        <v>794</v>
      </c>
      <c r="M983" s="386" t="s">
        <v>294</v>
      </c>
      <c r="N983" s="396"/>
      <c r="O983" s="396"/>
      <c r="P983" s="386" t="s">
        <v>795</v>
      </c>
      <c r="Q983" s="386"/>
      <c r="R983" s="399"/>
      <c r="S983" s="487"/>
      <c r="T983" s="389">
        <v>43300</v>
      </c>
      <c r="U983" s="388"/>
      <c r="V983" s="386"/>
      <c r="W983" s="482"/>
      <c r="X983" s="17"/>
      <c r="Z983" s="17"/>
    </row>
    <row r="984" spans="1:26" ht="14.25" customHeight="1">
      <c r="A984" s="482" t="s">
        <v>2647</v>
      </c>
      <c r="B984" s="504" t="s">
        <v>305</v>
      </c>
      <c r="C984" s="503" t="s">
        <v>2049</v>
      </c>
      <c r="D984" s="431"/>
      <c r="E984" s="386" t="s">
        <v>2096</v>
      </c>
      <c r="F984" s="482"/>
      <c r="G984" s="482"/>
      <c r="H984" s="482"/>
      <c r="I984" s="482"/>
      <c r="J984" s="386" t="s">
        <v>794</v>
      </c>
      <c r="K984" s="386" t="s">
        <v>794</v>
      </c>
      <c r="L984" s="386" t="s">
        <v>794</v>
      </c>
      <c r="M984" s="386" t="s">
        <v>294</v>
      </c>
      <c r="N984" s="482"/>
      <c r="O984" s="482"/>
      <c r="P984" s="386" t="s">
        <v>795</v>
      </c>
      <c r="Q984" s="482"/>
      <c r="R984" s="486"/>
      <c r="S984" s="487"/>
      <c r="T984" s="506">
        <v>43300</v>
      </c>
      <c r="U984" s="488"/>
      <c r="V984" s="482"/>
      <c r="W984" s="482"/>
      <c r="X984" s="17"/>
      <c r="Z984" s="17"/>
    </row>
    <row r="985" spans="1:26" ht="14.25" customHeight="1">
      <c r="A985" s="482" t="s">
        <v>2647</v>
      </c>
      <c r="B985" s="504" t="s">
        <v>305</v>
      </c>
      <c r="C985" s="503" t="s">
        <v>2048</v>
      </c>
      <c r="D985" s="431"/>
      <c r="E985" s="396" t="s">
        <v>2097</v>
      </c>
      <c r="F985" s="396"/>
      <c r="G985" s="396"/>
      <c r="H985" s="396"/>
      <c r="I985" s="396"/>
      <c r="J985" s="386" t="s">
        <v>794</v>
      </c>
      <c r="K985" s="386" t="s">
        <v>794</v>
      </c>
      <c r="L985" s="386" t="s">
        <v>794</v>
      </c>
      <c r="M985" s="386" t="s">
        <v>294</v>
      </c>
      <c r="N985" s="396"/>
      <c r="O985" s="396"/>
      <c r="P985" s="386" t="s">
        <v>795</v>
      </c>
      <c r="Q985" s="386"/>
      <c r="R985" s="486"/>
      <c r="S985" s="487"/>
      <c r="T985" s="389">
        <v>43300</v>
      </c>
      <c r="U985" s="488"/>
      <c r="V985" s="386"/>
      <c r="W985" s="482"/>
      <c r="X985" s="17"/>
      <c r="Z985" s="17"/>
    </row>
    <row r="986" spans="1:26" ht="14.25" customHeight="1">
      <c r="A986" s="396" t="s">
        <v>2647</v>
      </c>
      <c r="B986" s="411" t="s">
        <v>305</v>
      </c>
      <c r="C986" s="410" t="s">
        <v>2047</v>
      </c>
      <c r="D986" s="431"/>
      <c r="E986" s="386" t="s">
        <v>2098</v>
      </c>
      <c r="F986" s="386"/>
      <c r="G986" s="386"/>
      <c r="H986" s="386"/>
      <c r="I986" s="386"/>
      <c r="J986" s="386" t="s">
        <v>794</v>
      </c>
      <c r="K986" s="386" t="s">
        <v>794</v>
      </c>
      <c r="L986" s="386" t="s">
        <v>794</v>
      </c>
      <c r="M986" s="386" t="s">
        <v>294</v>
      </c>
      <c r="N986" s="396"/>
      <c r="O986" s="396"/>
      <c r="P986" s="386" t="s">
        <v>795</v>
      </c>
      <c r="Q986" s="386"/>
      <c r="R986" s="486"/>
      <c r="S986" s="487"/>
      <c r="T986" s="389">
        <v>43300</v>
      </c>
      <c r="U986" s="388"/>
      <c r="V986" s="482"/>
      <c r="W986" s="482"/>
      <c r="X986" s="17"/>
      <c r="Z986" s="17"/>
    </row>
    <row r="987" spans="1:26" ht="14.25" customHeight="1">
      <c r="A987" s="396" t="s">
        <v>2647</v>
      </c>
      <c r="B987" s="504" t="s">
        <v>305</v>
      </c>
      <c r="C987" s="503" t="s">
        <v>1905</v>
      </c>
      <c r="D987" s="431"/>
      <c r="E987" s="386">
        <v>198016</v>
      </c>
      <c r="F987" s="482"/>
      <c r="G987" s="386"/>
      <c r="H987" s="386"/>
      <c r="I987" s="386"/>
      <c r="J987" s="386" t="s">
        <v>794</v>
      </c>
      <c r="K987" s="386" t="s">
        <v>794</v>
      </c>
      <c r="L987" s="386" t="s">
        <v>794</v>
      </c>
      <c r="M987" s="386" t="s">
        <v>294</v>
      </c>
      <c r="N987" s="386">
        <v>20.731571200000001</v>
      </c>
      <c r="O987" s="386">
        <v>92.428176879999995</v>
      </c>
      <c r="P987" s="386" t="s">
        <v>795</v>
      </c>
      <c r="Q987" s="386" t="s">
        <v>1904</v>
      </c>
      <c r="R987" s="486"/>
      <c r="S987" s="487"/>
      <c r="T987" s="389">
        <v>43245</v>
      </c>
      <c r="U987" s="388"/>
      <c r="V987" s="482"/>
      <c r="W987" s="482"/>
      <c r="X987" s="17"/>
      <c r="Z987" s="17"/>
    </row>
    <row r="988" spans="1:26" ht="14.25" customHeight="1">
      <c r="A988" s="396" t="s">
        <v>2647</v>
      </c>
      <c r="B988" s="514" t="s">
        <v>305</v>
      </c>
      <c r="C988" s="515" t="s">
        <v>2685</v>
      </c>
      <c r="D988" s="485"/>
      <c r="E988" s="482">
        <v>198085</v>
      </c>
      <c r="F988" s="445" t="s">
        <v>2671</v>
      </c>
      <c r="G988" s="386"/>
      <c r="H988" s="386"/>
      <c r="I988" s="396"/>
      <c r="J988" s="396" t="s">
        <v>794</v>
      </c>
      <c r="K988" s="396" t="s">
        <v>794</v>
      </c>
      <c r="L988" s="396" t="s">
        <v>794</v>
      </c>
      <c r="M988" s="386"/>
      <c r="N988" s="396">
        <v>20.4804992675781</v>
      </c>
      <c r="O988" s="396">
        <v>92.611358642578097</v>
      </c>
      <c r="P988" s="386" t="s">
        <v>795</v>
      </c>
      <c r="Q988" s="386" t="s">
        <v>2961</v>
      </c>
      <c r="R988" s="494"/>
      <c r="S988" s="487"/>
      <c r="T988" s="389">
        <v>43769</v>
      </c>
      <c r="U988" s="494"/>
      <c r="V988" s="386"/>
      <c r="W988" s="486"/>
      <c r="X988" s="17"/>
      <c r="Z988" s="17"/>
    </row>
    <row r="989" spans="1:26" ht="14.25" customHeight="1">
      <c r="A989" s="482" t="s">
        <v>2647</v>
      </c>
      <c r="B989" s="504" t="s">
        <v>305</v>
      </c>
      <c r="C989" s="503" t="s">
        <v>1748</v>
      </c>
      <c r="D989" s="431"/>
      <c r="E989" s="482">
        <v>197917</v>
      </c>
      <c r="F989" s="386"/>
      <c r="G989" s="386"/>
      <c r="H989" s="482"/>
      <c r="I989" s="482"/>
      <c r="J989" s="482" t="s">
        <v>794</v>
      </c>
      <c r="K989" s="482" t="s">
        <v>794</v>
      </c>
      <c r="L989" s="482" t="s">
        <v>794</v>
      </c>
      <c r="M989" s="482" t="s">
        <v>294</v>
      </c>
      <c r="N989" s="482">
        <v>20.943050379999999</v>
      </c>
      <c r="O989" s="482">
        <v>92.315856929999995</v>
      </c>
      <c r="P989" s="386" t="s">
        <v>795</v>
      </c>
      <c r="Q989" s="482"/>
      <c r="R989" s="486"/>
      <c r="S989" s="487"/>
      <c r="T989" s="506">
        <v>43300</v>
      </c>
      <c r="U989" s="488"/>
      <c r="V989" s="482"/>
      <c r="W989" s="482"/>
      <c r="X989" s="17"/>
      <c r="Z989" s="17"/>
    </row>
    <row r="990" spans="1:26" ht="14.25" customHeight="1">
      <c r="A990" s="396" t="s">
        <v>2647</v>
      </c>
      <c r="B990" s="514" t="s">
        <v>305</v>
      </c>
      <c r="C990" s="515" t="s">
        <v>2689</v>
      </c>
      <c r="D990" s="485"/>
      <c r="E990" s="482">
        <v>220747</v>
      </c>
      <c r="F990" s="482"/>
      <c r="G990" s="482"/>
      <c r="H990" s="482"/>
      <c r="I990" s="482"/>
      <c r="J990" s="386" t="s">
        <v>794</v>
      </c>
      <c r="K990" s="386" t="s">
        <v>794</v>
      </c>
      <c r="L990" s="386" t="s">
        <v>794</v>
      </c>
      <c r="M990" s="482" t="s">
        <v>2070</v>
      </c>
      <c r="N990" s="482">
        <v>21.153581620000001</v>
      </c>
      <c r="O990" s="482">
        <v>92.250885010000005</v>
      </c>
      <c r="P990" s="386" t="s">
        <v>795</v>
      </c>
      <c r="Q990" s="482"/>
      <c r="R990" s="494"/>
      <c r="S990" s="487"/>
      <c r="T990" s="506">
        <v>43300</v>
      </c>
      <c r="U990" s="488"/>
      <c r="V990" s="482"/>
      <c r="W990" s="482"/>
      <c r="X990" s="17"/>
      <c r="Z990" s="17"/>
    </row>
    <row r="991" spans="1:26" ht="14.25" customHeight="1">
      <c r="A991" s="482" t="s">
        <v>2647</v>
      </c>
      <c r="B991" s="504" t="s">
        <v>305</v>
      </c>
      <c r="C991" s="503" t="s">
        <v>2688</v>
      </c>
      <c r="D991" s="431"/>
      <c r="E991" s="484">
        <v>220747</v>
      </c>
      <c r="F991" s="482" t="s">
        <v>1997</v>
      </c>
      <c r="G991" s="482"/>
      <c r="H991" s="482"/>
      <c r="I991" s="482"/>
      <c r="J991" s="386" t="s">
        <v>794</v>
      </c>
      <c r="K991" s="386" t="s">
        <v>794</v>
      </c>
      <c r="L991" s="386" t="s">
        <v>794</v>
      </c>
      <c r="M991" s="482" t="s">
        <v>294</v>
      </c>
      <c r="N991" s="482">
        <v>21.153581620000001</v>
      </c>
      <c r="O991" s="482">
        <v>92.250885010000005</v>
      </c>
      <c r="P991" s="386" t="s">
        <v>795</v>
      </c>
      <c r="Q991" s="482"/>
      <c r="R991" s="486"/>
      <c r="S991" s="487"/>
      <c r="T991" s="506">
        <v>43294</v>
      </c>
      <c r="U991" s="488" t="s">
        <v>1994</v>
      </c>
      <c r="V991" s="482"/>
      <c r="W991" s="482"/>
      <c r="X991" s="17"/>
      <c r="Z991" s="17"/>
    </row>
    <row r="992" spans="1:26" ht="14.25" customHeight="1">
      <c r="A992" s="482" t="s">
        <v>2647</v>
      </c>
      <c r="B992" s="514" t="s">
        <v>305</v>
      </c>
      <c r="C992" s="503" t="s">
        <v>2037</v>
      </c>
      <c r="D992" s="432"/>
      <c r="E992" s="484">
        <v>197957</v>
      </c>
      <c r="F992" s="484"/>
      <c r="G992" s="484"/>
      <c r="H992" s="484"/>
      <c r="I992" s="484"/>
      <c r="J992" s="484" t="s">
        <v>794</v>
      </c>
      <c r="K992" s="484" t="s">
        <v>794</v>
      </c>
      <c r="L992" s="484" t="s">
        <v>794</v>
      </c>
      <c r="M992" s="484" t="s">
        <v>791</v>
      </c>
      <c r="N992" s="484">
        <v>20.900329589999998</v>
      </c>
      <c r="O992" s="484">
        <v>92.362213130000001</v>
      </c>
      <c r="P992" s="386" t="s">
        <v>795</v>
      </c>
      <c r="Q992" s="484"/>
      <c r="R992" s="495"/>
      <c r="S992" s="491"/>
      <c r="T992" s="507">
        <v>43300</v>
      </c>
      <c r="U992" s="492"/>
      <c r="V992" s="484"/>
      <c r="W992" s="482"/>
      <c r="X992" s="17"/>
      <c r="Z992" s="17"/>
    </row>
    <row r="993" spans="1:26" ht="14.25" customHeight="1">
      <c r="A993" s="482" t="s">
        <v>2647</v>
      </c>
      <c r="B993" s="504" t="s">
        <v>305</v>
      </c>
      <c r="C993" s="503" t="s">
        <v>687</v>
      </c>
      <c r="D993" s="431" t="s">
        <v>1656</v>
      </c>
      <c r="E993" s="482">
        <v>220722</v>
      </c>
      <c r="F993" s="482"/>
      <c r="G993" s="482"/>
      <c r="H993" s="482"/>
      <c r="I993" s="482"/>
      <c r="J993" s="386" t="s">
        <v>794</v>
      </c>
      <c r="K993" s="386" t="s">
        <v>794</v>
      </c>
      <c r="L993" s="482" t="s">
        <v>794</v>
      </c>
      <c r="M993" s="482" t="s">
        <v>791</v>
      </c>
      <c r="N993" s="482">
        <v>21.200752260000002</v>
      </c>
      <c r="O993" s="482">
        <v>92.309303279999995</v>
      </c>
      <c r="P993" s="386" t="s">
        <v>795</v>
      </c>
      <c r="Q993" s="482" t="s">
        <v>776</v>
      </c>
      <c r="R993" s="486"/>
      <c r="S993" s="487"/>
      <c r="T993" s="506"/>
      <c r="U993" s="488"/>
      <c r="V993" s="482" t="s">
        <v>955</v>
      </c>
      <c r="W993" s="482"/>
      <c r="X993" s="17"/>
      <c r="Z993" s="17"/>
    </row>
    <row r="994" spans="1:26" ht="14.25" customHeight="1">
      <c r="A994" s="482" t="s">
        <v>2647</v>
      </c>
      <c r="B994" s="514" t="s">
        <v>305</v>
      </c>
      <c r="C994" s="515" t="s">
        <v>622</v>
      </c>
      <c r="D994" s="485" t="s">
        <v>1656</v>
      </c>
      <c r="E994" s="386" t="s">
        <v>1405</v>
      </c>
      <c r="F994" s="386"/>
      <c r="G994" s="386"/>
      <c r="H994" s="386" t="s">
        <v>40</v>
      </c>
      <c r="I994" s="386"/>
      <c r="J994" s="386" t="s">
        <v>794</v>
      </c>
      <c r="K994" s="386" t="s">
        <v>794</v>
      </c>
      <c r="L994" s="396" t="s">
        <v>1656</v>
      </c>
      <c r="M994" s="386" t="s">
        <v>791</v>
      </c>
      <c r="N994" s="396">
        <v>20.824517</v>
      </c>
      <c r="O994" s="396">
        <v>92.401293999999993</v>
      </c>
      <c r="P994" s="386" t="s">
        <v>795</v>
      </c>
      <c r="Q994" s="386"/>
      <c r="R994" s="494"/>
      <c r="S994" s="487"/>
      <c r="T994" s="389">
        <v>43248</v>
      </c>
      <c r="U994" s="488" t="s">
        <v>1897</v>
      </c>
      <c r="V994" s="386" t="s">
        <v>937</v>
      </c>
      <c r="W994" s="482"/>
      <c r="X994" s="17"/>
      <c r="Z994" s="17"/>
    </row>
    <row r="995" spans="1:26" ht="14.25" customHeight="1">
      <c r="A995" s="396" t="s">
        <v>2647</v>
      </c>
      <c r="B995" s="514" t="s">
        <v>305</v>
      </c>
      <c r="C995" s="515" t="s">
        <v>2039</v>
      </c>
      <c r="D995" s="485"/>
      <c r="E995" s="386">
        <v>197951</v>
      </c>
      <c r="F995" s="482"/>
      <c r="G995" s="386"/>
      <c r="H995" s="386"/>
      <c r="I995" s="396"/>
      <c r="J995" s="386" t="s">
        <v>794</v>
      </c>
      <c r="K995" s="386" t="s">
        <v>794</v>
      </c>
      <c r="L995" s="396" t="s">
        <v>794</v>
      </c>
      <c r="M995" s="386" t="s">
        <v>791</v>
      </c>
      <c r="N995" s="396">
        <v>20.905330660000001</v>
      </c>
      <c r="O995" s="396">
        <v>92.344802860000001</v>
      </c>
      <c r="P995" s="386" t="s">
        <v>795</v>
      </c>
      <c r="Q995" s="386"/>
      <c r="R995" s="494"/>
      <c r="S995" s="487"/>
      <c r="T995" s="389">
        <v>43300</v>
      </c>
      <c r="U995" s="388"/>
      <c r="V995" s="386"/>
      <c r="W995" s="482"/>
      <c r="X995" s="17"/>
      <c r="Z995" s="17"/>
    </row>
    <row r="996" spans="1:26" ht="14.25" customHeight="1">
      <c r="A996" s="482" t="s">
        <v>2647</v>
      </c>
      <c r="B996" s="514" t="s">
        <v>305</v>
      </c>
      <c r="C996" s="515" t="s">
        <v>2040</v>
      </c>
      <c r="D996" s="485"/>
      <c r="E996" s="482">
        <v>197952</v>
      </c>
      <c r="F996" s="482"/>
      <c r="G996" s="386"/>
      <c r="H996" s="396"/>
      <c r="I996" s="396"/>
      <c r="J996" s="386" t="s">
        <v>794</v>
      </c>
      <c r="K996" s="386" t="s">
        <v>794</v>
      </c>
      <c r="L996" s="386" t="s">
        <v>794</v>
      </c>
      <c r="M996" s="386" t="s">
        <v>791</v>
      </c>
      <c r="N996" s="396">
        <v>20.90098953</v>
      </c>
      <c r="O996" s="396">
        <v>92.355827329999997</v>
      </c>
      <c r="P996" s="386" t="s">
        <v>795</v>
      </c>
      <c r="Q996" s="386"/>
      <c r="R996" s="494"/>
      <c r="S996" s="487"/>
      <c r="T996" s="389">
        <v>43300</v>
      </c>
      <c r="U996" s="488"/>
      <c r="V996" s="503"/>
      <c r="W996" s="482"/>
      <c r="X996" s="17"/>
      <c r="Z996" s="17"/>
    </row>
    <row r="997" spans="1:26" ht="14.25" customHeight="1">
      <c r="A997" s="482" t="s">
        <v>2647</v>
      </c>
      <c r="B997" s="504" t="s">
        <v>305</v>
      </c>
      <c r="C997" s="503" t="s">
        <v>686</v>
      </c>
      <c r="D997" s="431" t="s">
        <v>1656</v>
      </c>
      <c r="E997" s="482">
        <v>197839</v>
      </c>
      <c r="F997" s="482"/>
      <c r="G997" s="386"/>
      <c r="H997" s="386"/>
      <c r="I997" s="386"/>
      <c r="J997" s="386" t="s">
        <v>794</v>
      </c>
      <c r="K997" s="386" t="s">
        <v>794</v>
      </c>
      <c r="L997" s="386" t="s">
        <v>794</v>
      </c>
      <c r="M997" s="386" t="s">
        <v>791</v>
      </c>
      <c r="N997" s="482">
        <v>21.18890953</v>
      </c>
      <c r="O997" s="482">
        <v>92.306762699999993</v>
      </c>
      <c r="P997" s="386" t="s">
        <v>795</v>
      </c>
      <c r="Q997" s="386" t="s">
        <v>776</v>
      </c>
      <c r="R997" s="486"/>
      <c r="S997" s="487"/>
      <c r="T997" s="389"/>
      <c r="U997" s="488"/>
      <c r="V997" s="484" t="s">
        <v>954</v>
      </c>
      <c r="W997" s="482"/>
      <c r="X997" s="17"/>
      <c r="Z997" s="17"/>
    </row>
    <row r="998" spans="1:26" ht="14.25" customHeight="1">
      <c r="A998" s="482" t="s">
        <v>2647</v>
      </c>
      <c r="B998" s="504" t="s">
        <v>305</v>
      </c>
      <c r="C998" s="503" t="s">
        <v>2055</v>
      </c>
      <c r="D998" s="431"/>
      <c r="E998" s="482"/>
      <c r="F998" s="386"/>
      <c r="G998" s="386"/>
      <c r="H998" s="482"/>
      <c r="I998" s="482"/>
      <c r="J998" s="482" t="s">
        <v>794</v>
      </c>
      <c r="K998" s="482" t="s">
        <v>794</v>
      </c>
      <c r="L998" s="482" t="s">
        <v>794</v>
      </c>
      <c r="M998" s="482" t="s">
        <v>2068</v>
      </c>
      <c r="N998" s="482"/>
      <c r="O998" s="482"/>
      <c r="P998" s="386" t="s">
        <v>795</v>
      </c>
      <c r="Q998" s="482"/>
      <c r="R998" s="486"/>
      <c r="S998" s="487"/>
      <c r="T998" s="506">
        <v>43300</v>
      </c>
      <c r="U998" s="488"/>
      <c r="V998" s="396"/>
      <c r="W998" s="482"/>
      <c r="X998" s="17"/>
      <c r="Z998" s="17"/>
    </row>
    <row r="999" spans="1:26" ht="14.25" customHeight="1">
      <c r="A999" s="396" t="s">
        <v>2647</v>
      </c>
      <c r="B999" s="504" t="s">
        <v>305</v>
      </c>
      <c r="C999" s="503" t="s">
        <v>2702</v>
      </c>
      <c r="D999" s="431"/>
      <c r="E999" s="482">
        <v>198101</v>
      </c>
      <c r="F999" s="482"/>
      <c r="G999" s="482"/>
      <c r="H999" s="482"/>
      <c r="I999" s="482"/>
      <c r="J999" s="386" t="s">
        <v>794</v>
      </c>
      <c r="K999" s="396" t="s">
        <v>794</v>
      </c>
      <c r="L999" s="396" t="s">
        <v>794</v>
      </c>
      <c r="M999" s="482" t="s">
        <v>2070</v>
      </c>
      <c r="N999" s="482">
        <v>21.177719119999999</v>
      </c>
      <c r="O999" s="482">
        <v>92.239547729999998</v>
      </c>
      <c r="P999" s="386" t="s">
        <v>795</v>
      </c>
      <c r="Q999" s="482"/>
      <c r="R999" s="490"/>
      <c r="S999" s="491"/>
      <c r="T999" s="506">
        <v>43300</v>
      </c>
      <c r="U999" s="488"/>
      <c r="V999" s="482"/>
      <c r="W999" s="482"/>
      <c r="X999" s="17"/>
      <c r="Z999" s="17"/>
    </row>
    <row r="1000" spans="1:26" ht="14.25" customHeight="1">
      <c r="A1000" s="396" t="s">
        <v>2647</v>
      </c>
      <c r="B1000" s="504" t="s">
        <v>305</v>
      </c>
      <c r="C1000" s="503" t="s">
        <v>1995</v>
      </c>
      <c r="D1000" s="431"/>
      <c r="E1000" s="386">
        <v>198101</v>
      </c>
      <c r="F1000" s="482" t="s">
        <v>1997</v>
      </c>
      <c r="G1000" s="386"/>
      <c r="H1000" s="386"/>
      <c r="I1000" s="482"/>
      <c r="J1000" s="386" t="s">
        <v>794</v>
      </c>
      <c r="K1000" s="386" t="s">
        <v>794</v>
      </c>
      <c r="L1000" s="482" t="s">
        <v>794</v>
      </c>
      <c r="M1000" s="386" t="s">
        <v>294</v>
      </c>
      <c r="N1000" s="482">
        <v>21.177719119999999</v>
      </c>
      <c r="O1000" s="482">
        <v>92.239547729999998</v>
      </c>
      <c r="P1000" s="386" t="s">
        <v>795</v>
      </c>
      <c r="Q1000" s="386"/>
      <c r="R1000" s="486"/>
      <c r="S1000" s="487"/>
      <c r="T1000" s="389">
        <v>43294</v>
      </c>
      <c r="U1000" s="388" t="s">
        <v>1994</v>
      </c>
      <c r="V1000" s="484"/>
      <c r="W1000" s="482"/>
      <c r="X1000" s="17"/>
      <c r="Z1000" s="17"/>
    </row>
    <row r="1001" spans="1:26" ht="14.25" customHeight="1">
      <c r="A1001" s="482" t="s">
        <v>2647</v>
      </c>
      <c r="B1001" s="504" t="s">
        <v>305</v>
      </c>
      <c r="C1001" s="503" t="s">
        <v>345</v>
      </c>
      <c r="D1001" s="431" t="s">
        <v>1656</v>
      </c>
      <c r="E1001" s="482"/>
      <c r="F1001" s="482"/>
      <c r="G1001" s="482"/>
      <c r="H1001" s="482"/>
      <c r="I1001" s="482"/>
      <c r="J1001" s="482" t="s">
        <v>794</v>
      </c>
      <c r="K1001" s="482" t="s">
        <v>794</v>
      </c>
      <c r="L1001" s="482" t="s">
        <v>794</v>
      </c>
      <c r="M1001" s="482" t="s">
        <v>294</v>
      </c>
      <c r="N1001" s="482"/>
      <c r="O1001" s="482"/>
      <c r="P1001" s="482" t="s">
        <v>795</v>
      </c>
      <c r="Q1001" s="482" t="s">
        <v>776</v>
      </c>
      <c r="R1001" s="486"/>
      <c r="S1001" s="487"/>
      <c r="T1001" s="506"/>
      <c r="U1001" s="488"/>
      <c r="V1001" s="482" t="s">
        <v>345</v>
      </c>
      <c r="W1001" s="482"/>
      <c r="X1001" s="17"/>
      <c r="Z1001" s="17"/>
    </row>
    <row r="1002" spans="1:26" ht="14.25" customHeight="1">
      <c r="A1002" s="482" t="s">
        <v>2647</v>
      </c>
      <c r="B1002" s="504" t="s">
        <v>305</v>
      </c>
      <c r="C1002" s="503" t="s">
        <v>346</v>
      </c>
      <c r="D1002" s="431" t="s">
        <v>1656</v>
      </c>
      <c r="E1002" s="482"/>
      <c r="F1002" s="482"/>
      <c r="G1002" s="482"/>
      <c r="H1002" s="482"/>
      <c r="I1002" s="482"/>
      <c r="J1002" s="482" t="s">
        <v>794</v>
      </c>
      <c r="K1002" s="482" t="s">
        <v>794</v>
      </c>
      <c r="L1002" s="482" t="s">
        <v>794</v>
      </c>
      <c r="M1002" s="482" t="s">
        <v>791</v>
      </c>
      <c r="N1002" s="482"/>
      <c r="O1002" s="482"/>
      <c r="P1002" s="482" t="s">
        <v>795</v>
      </c>
      <c r="Q1002" s="482" t="s">
        <v>776</v>
      </c>
      <c r="R1002" s="486"/>
      <c r="S1002" s="487"/>
      <c r="T1002" s="506"/>
      <c r="U1002" s="488"/>
      <c r="V1002" s="482" t="s">
        <v>346</v>
      </c>
      <c r="W1002" s="482"/>
      <c r="X1002" s="17"/>
      <c r="Z1002" s="17"/>
    </row>
    <row r="1003" spans="1:26" ht="14.25" customHeight="1">
      <c r="A1003" s="396" t="s">
        <v>2647</v>
      </c>
      <c r="B1003" s="504" t="s">
        <v>305</v>
      </c>
      <c r="C1003" s="503" t="s">
        <v>347</v>
      </c>
      <c r="D1003" s="431" t="s">
        <v>1656</v>
      </c>
      <c r="E1003" s="386"/>
      <c r="F1003" s="386"/>
      <c r="G1003" s="386"/>
      <c r="H1003" s="386"/>
      <c r="I1003" s="386"/>
      <c r="J1003" s="386" t="s">
        <v>794</v>
      </c>
      <c r="K1003" s="386" t="s">
        <v>794</v>
      </c>
      <c r="L1003" s="386" t="s">
        <v>794</v>
      </c>
      <c r="M1003" s="386" t="s">
        <v>791</v>
      </c>
      <c r="N1003" s="386"/>
      <c r="O1003" s="482"/>
      <c r="P1003" s="386" t="s">
        <v>795</v>
      </c>
      <c r="Q1003" s="386" t="s">
        <v>776</v>
      </c>
      <c r="R1003" s="486"/>
      <c r="S1003" s="487"/>
      <c r="T1003" s="389"/>
      <c r="U1003" s="388"/>
      <c r="V1003" s="386" t="s">
        <v>347</v>
      </c>
      <c r="W1003" s="482"/>
      <c r="X1003" s="17"/>
      <c r="Z1003" s="17"/>
    </row>
    <row r="1004" spans="1:26" ht="14.25" customHeight="1">
      <c r="A1004" s="482" t="s">
        <v>2647</v>
      </c>
      <c r="B1004" s="504" t="s">
        <v>305</v>
      </c>
      <c r="C1004" s="503" t="s">
        <v>2089</v>
      </c>
      <c r="D1004" s="431"/>
      <c r="E1004" s="386">
        <v>197825</v>
      </c>
      <c r="F1004" s="482"/>
      <c r="G1004" s="482"/>
      <c r="H1004" s="482"/>
      <c r="I1004" s="482"/>
      <c r="J1004" s="386" t="s">
        <v>794</v>
      </c>
      <c r="K1004" s="386" t="s">
        <v>794</v>
      </c>
      <c r="L1004" s="386" t="s">
        <v>794</v>
      </c>
      <c r="M1004" s="386" t="s">
        <v>2073</v>
      </c>
      <c r="N1004" s="396">
        <v>21.239080430000001</v>
      </c>
      <c r="O1004" s="396">
        <v>92.288932799999998</v>
      </c>
      <c r="P1004" s="386" t="s">
        <v>795</v>
      </c>
      <c r="Q1004" s="482"/>
      <c r="R1004" s="486"/>
      <c r="S1004" s="487"/>
      <c r="T1004" s="506">
        <v>43300</v>
      </c>
      <c r="U1004" s="488"/>
      <c r="V1004" s="482"/>
      <c r="W1004" s="482"/>
      <c r="X1004" s="17"/>
      <c r="Z1004" s="17"/>
    </row>
    <row r="1005" spans="1:26" ht="14.25" customHeight="1">
      <c r="A1005" s="482" t="s">
        <v>2647</v>
      </c>
      <c r="B1005" s="504" t="s">
        <v>305</v>
      </c>
      <c r="C1005" s="503" t="s">
        <v>348</v>
      </c>
      <c r="D1005" s="431" t="s">
        <v>1656</v>
      </c>
      <c r="E1005" s="386">
        <v>197826</v>
      </c>
      <c r="F1005" s="482"/>
      <c r="G1005" s="386"/>
      <c r="H1005" s="396"/>
      <c r="I1005" s="396"/>
      <c r="J1005" s="386" t="s">
        <v>794</v>
      </c>
      <c r="K1005" s="386" t="s">
        <v>794</v>
      </c>
      <c r="L1005" s="386" t="s">
        <v>794</v>
      </c>
      <c r="M1005" s="386" t="s">
        <v>1989</v>
      </c>
      <c r="N1005" s="498"/>
      <c r="O1005" s="498"/>
      <c r="P1005" s="386" t="s">
        <v>795</v>
      </c>
      <c r="Q1005" s="386" t="s">
        <v>776</v>
      </c>
      <c r="R1005" s="486"/>
      <c r="S1005" s="487"/>
      <c r="T1005" s="389"/>
      <c r="U1005" s="488"/>
      <c r="V1005" s="482" t="s">
        <v>1143</v>
      </c>
      <c r="W1005" s="482"/>
      <c r="X1005" s="17"/>
      <c r="Z1005" s="17"/>
    </row>
    <row r="1006" spans="1:26" ht="14.25" customHeight="1">
      <c r="A1006" s="482" t="s">
        <v>2647</v>
      </c>
      <c r="B1006" s="504" t="s">
        <v>305</v>
      </c>
      <c r="C1006" s="503" t="s">
        <v>2065</v>
      </c>
      <c r="D1006" s="431"/>
      <c r="E1006" s="386">
        <v>197930</v>
      </c>
      <c r="F1006" s="386"/>
      <c r="G1006" s="386"/>
      <c r="H1006" s="396"/>
      <c r="I1006" s="396"/>
      <c r="J1006" s="386" t="s">
        <v>794</v>
      </c>
      <c r="K1006" s="386" t="s">
        <v>794</v>
      </c>
      <c r="L1006" s="386" t="s">
        <v>794</v>
      </c>
      <c r="M1006" s="386" t="s">
        <v>791</v>
      </c>
      <c r="N1006" s="396">
        <v>20.9400692</v>
      </c>
      <c r="O1006" s="396">
        <v>92.337913510000007</v>
      </c>
      <c r="P1006" s="386" t="s">
        <v>795</v>
      </c>
      <c r="Q1006" s="386"/>
      <c r="R1006" s="486"/>
      <c r="S1006" s="487"/>
      <c r="T1006" s="389">
        <v>43300</v>
      </c>
      <c r="U1006" s="488"/>
      <c r="V1006" s="386"/>
      <c r="W1006" s="482"/>
      <c r="X1006" s="17"/>
      <c r="Z1006" s="17"/>
    </row>
    <row r="1007" spans="1:26" ht="14.25" customHeight="1">
      <c r="A1007" s="482" t="s">
        <v>2647</v>
      </c>
      <c r="B1007" s="504" t="s">
        <v>305</v>
      </c>
      <c r="C1007" s="503" t="s">
        <v>2083</v>
      </c>
      <c r="D1007" s="431"/>
      <c r="E1007" s="482">
        <v>220741</v>
      </c>
      <c r="F1007" s="482"/>
      <c r="G1007" s="482"/>
      <c r="H1007" s="482"/>
      <c r="I1007" s="482"/>
      <c r="J1007" s="396" t="s">
        <v>794</v>
      </c>
      <c r="K1007" s="396" t="s">
        <v>794</v>
      </c>
      <c r="L1007" s="396" t="s">
        <v>794</v>
      </c>
      <c r="M1007" s="482" t="s">
        <v>294</v>
      </c>
      <c r="N1007" s="482">
        <v>20.680984500000001</v>
      </c>
      <c r="O1007" s="482">
        <v>92.473495479999997</v>
      </c>
      <c r="P1007" s="386" t="s">
        <v>795</v>
      </c>
      <c r="Q1007" s="482"/>
      <c r="R1007" s="486"/>
      <c r="S1007" s="487"/>
      <c r="T1007" s="506">
        <v>43300</v>
      </c>
      <c r="U1007" s="488"/>
      <c r="V1007" s="484"/>
      <c r="W1007" s="482"/>
      <c r="X1007" s="17"/>
      <c r="Z1007" s="17"/>
    </row>
    <row r="1008" spans="1:26" ht="14.25" customHeight="1">
      <c r="A1008" s="396" t="s">
        <v>2647</v>
      </c>
      <c r="B1008" s="504" t="s">
        <v>305</v>
      </c>
      <c r="C1008" s="503" t="s">
        <v>351</v>
      </c>
      <c r="D1008" s="431" t="s">
        <v>1656</v>
      </c>
      <c r="E1008" s="386"/>
      <c r="F1008" s="482"/>
      <c r="G1008" s="386"/>
      <c r="H1008" s="396"/>
      <c r="I1008" s="396"/>
      <c r="J1008" s="396" t="s">
        <v>794</v>
      </c>
      <c r="K1008" s="396" t="s">
        <v>794</v>
      </c>
      <c r="L1008" s="396" t="s">
        <v>794</v>
      </c>
      <c r="M1008" s="386" t="s">
        <v>294</v>
      </c>
      <c r="N1008" s="396"/>
      <c r="O1008" s="482"/>
      <c r="P1008" s="386" t="s">
        <v>795</v>
      </c>
      <c r="Q1008" s="386" t="s">
        <v>776</v>
      </c>
      <c r="R1008" s="486"/>
      <c r="S1008" s="487"/>
      <c r="T1008" s="389"/>
      <c r="U1008" s="388"/>
      <c r="V1008" s="484" t="s">
        <v>351</v>
      </c>
      <c r="W1008" s="482"/>
      <c r="X1008" s="17"/>
      <c r="Z1008" s="17"/>
    </row>
    <row r="1009" spans="1:26" ht="14.25" customHeight="1">
      <c r="A1009" s="482" t="s">
        <v>2647</v>
      </c>
      <c r="B1009" s="504" t="s">
        <v>305</v>
      </c>
      <c r="C1009" s="503" t="s">
        <v>2531</v>
      </c>
      <c r="D1009" s="431"/>
      <c r="E1009" s="386">
        <v>220736</v>
      </c>
      <c r="F1009" s="482" t="s">
        <v>2638</v>
      </c>
      <c r="G1009" s="386"/>
      <c r="H1009" s="386"/>
      <c r="I1009" s="482"/>
      <c r="J1009" s="386" t="s">
        <v>794</v>
      </c>
      <c r="K1009" s="386" t="s">
        <v>794</v>
      </c>
      <c r="L1009" s="482" t="s">
        <v>794</v>
      </c>
      <c r="M1009" s="386" t="s">
        <v>294</v>
      </c>
      <c r="N1009" s="386"/>
      <c r="O1009" s="386"/>
      <c r="P1009" s="386" t="s">
        <v>795</v>
      </c>
      <c r="Q1009" s="386"/>
      <c r="R1009" s="486"/>
      <c r="S1009" s="487"/>
      <c r="T1009" s="389"/>
      <c r="U1009" s="488"/>
      <c r="V1009" s="482"/>
      <c r="W1009" s="482"/>
      <c r="X1009" s="17"/>
      <c r="Z1009" s="17"/>
    </row>
    <row r="1010" spans="1:26" ht="14.25" customHeight="1">
      <c r="A1010" s="482" t="s">
        <v>2647</v>
      </c>
      <c r="B1010" s="504" t="s">
        <v>305</v>
      </c>
      <c r="C1010" s="503" t="s">
        <v>632</v>
      </c>
      <c r="D1010" s="431" t="s">
        <v>1656</v>
      </c>
      <c r="E1010" s="482" t="s">
        <v>1409</v>
      </c>
      <c r="F1010" s="482"/>
      <c r="G1010" s="482"/>
      <c r="H1010" s="482" t="s">
        <v>40</v>
      </c>
      <c r="I1010" s="482"/>
      <c r="J1010" s="482" t="s">
        <v>794</v>
      </c>
      <c r="K1010" s="482" t="s">
        <v>794</v>
      </c>
      <c r="L1010" s="482" t="s">
        <v>1656</v>
      </c>
      <c r="M1010" s="482" t="s">
        <v>791</v>
      </c>
      <c r="N1010" s="482">
        <v>20.833831</v>
      </c>
      <c r="O1010" s="482">
        <v>92.416683000000006</v>
      </c>
      <c r="P1010" s="482" t="s">
        <v>795</v>
      </c>
      <c r="Q1010" s="482" t="s">
        <v>776</v>
      </c>
      <c r="R1010" s="486"/>
      <c r="S1010" s="487"/>
      <c r="T1010" s="506">
        <v>43248</v>
      </c>
      <c r="U1010" s="488" t="s">
        <v>1897</v>
      </c>
      <c r="V1010" s="482"/>
      <c r="W1010" s="482"/>
      <c r="X1010" s="17"/>
      <c r="Z1010" s="17"/>
    </row>
    <row r="1011" spans="1:26" ht="14.25" customHeight="1">
      <c r="A1011" s="482" t="s">
        <v>2647</v>
      </c>
      <c r="B1011" s="504" t="s">
        <v>305</v>
      </c>
      <c r="C1011" s="503" t="s">
        <v>1146</v>
      </c>
      <c r="D1011" s="431" t="s">
        <v>1656</v>
      </c>
      <c r="E1011" s="386"/>
      <c r="F1011" s="482"/>
      <c r="G1011" s="386"/>
      <c r="H1011" s="386"/>
      <c r="I1011" s="396"/>
      <c r="J1011" s="386" t="s">
        <v>794</v>
      </c>
      <c r="K1011" s="386" t="s">
        <v>794</v>
      </c>
      <c r="L1011" s="396" t="s">
        <v>794</v>
      </c>
      <c r="M1011" s="386" t="s">
        <v>791</v>
      </c>
      <c r="N1011" s="498"/>
      <c r="O1011" s="498"/>
      <c r="P1011" s="386" t="s">
        <v>795</v>
      </c>
      <c r="Q1011" s="386"/>
      <c r="R1011" s="486"/>
      <c r="S1011" s="487"/>
      <c r="T1011" s="389"/>
      <c r="U1011" s="488"/>
      <c r="V1011" s="386" t="s">
        <v>1146</v>
      </c>
      <c r="W1011" s="482"/>
      <c r="X1011" s="17"/>
      <c r="Z1011" s="17"/>
    </row>
    <row r="1012" spans="1:26" ht="14.25" customHeight="1">
      <c r="A1012" s="443" t="s">
        <v>2647</v>
      </c>
      <c r="B1012" s="444" t="s">
        <v>305</v>
      </c>
      <c r="C1012" s="451" t="s">
        <v>2683</v>
      </c>
      <c r="D1012" s="485"/>
      <c r="E1012" s="445">
        <v>197860</v>
      </c>
      <c r="F1012" s="445" t="s">
        <v>2683</v>
      </c>
      <c r="G1012" s="445"/>
      <c r="H1012" s="445"/>
      <c r="I1012" s="445"/>
      <c r="J1012" s="386" t="s">
        <v>794</v>
      </c>
      <c r="K1012" s="386" t="s">
        <v>794</v>
      </c>
      <c r="L1012" s="482" t="s">
        <v>794</v>
      </c>
      <c r="M1012" s="445"/>
      <c r="N1012" s="445">
        <v>21.1420993804932</v>
      </c>
      <c r="O1012" s="445">
        <v>92.338172912597699</v>
      </c>
      <c r="P1012" s="386" t="s">
        <v>795</v>
      </c>
      <c r="Q1012" s="386" t="s">
        <v>2961</v>
      </c>
      <c r="R1012" s="446"/>
      <c r="S1012" s="443"/>
      <c r="T1012" s="389">
        <v>43769</v>
      </c>
      <c r="U1012" s="448"/>
      <c r="V1012" s="449"/>
      <c r="W1012" s="486"/>
      <c r="X1012" s="17"/>
      <c r="Z1012" s="17"/>
    </row>
    <row r="1013" spans="1:26" ht="14.25" customHeight="1">
      <c r="A1013" s="396" t="s">
        <v>2647</v>
      </c>
      <c r="B1013" s="504" t="s">
        <v>305</v>
      </c>
      <c r="C1013" s="503" t="s">
        <v>2080</v>
      </c>
      <c r="D1013" s="431"/>
      <c r="E1013" s="482">
        <v>197861</v>
      </c>
      <c r="F1013" s="482"/>
      <c r="G1013" s="482"/>
      <c r="H1013" s="482"/>
      <c r="I1013" s="482"/>
      <c r="J1013" s="482" t="s">
        <v>794</v>
      </c>
      <c r="K1013" s="482" t="s">
        <v>794</v>
      </c>
      <c r="L1013" s="482" t="s">
        <v>794</v>
      </c>
      <c r="M1013" s="482" t="s">
        <v>2068</v>
      </c>
      <c r="N1013" s="482">
        <v>21.131010060000001</v>
      </c>
      <c r="O1013" s="482">
        <v>92.354011540000002</v>
      </c>
      <c r="P1013" s="482" t="s">
        <v>795</v>
      </c>
      <c r="Q1013" s="482"/>
      <c r="R1013" s="399"/>
      <c r="S1013" s="487"/>
      <c r="T1013" s="506">
        <v>43300</v>
      </c>
      <c r="U1013" s="488"/>
      <c r="V1013" s="482"/>
      <c r="W1013" s="482"/>
      <c r="X1013" s="17"/>
      <c r="Z1013" s="17"/>
    </row>
    <row r="1014" spans="1:26" ht="14.25" customHeight="1">
      <c r="A1014" s="443" t="s">
        <v>2647</v>
      </c>
      <c r="B1014" s="444" t="s">
        <v>305</v>
      </c>
      <c r="C1014" s="451" t="s">
        <v>2681</v>
      </c>
      <c r="D1014" s="485"/>
      <c r="E1014" s="445">
        <v>197841</v>
      </c>
      <c r="F1014" s="445" t="s">
        <v>2681</v>
      </c>
      <c r="G1014" s="445"/>
      <c r="H1014" s="445"/>
      <c r="I1014" s="445"/>
      <c r="J1014" s="386" t="s">
        <v>794</v>
      </c>
      <c r="K1014" s="386" t="s">
        <v>794</v>
      </c>
      <c r="L1014" s="386" t="s">
        <v>794</v>
      </c>
      <c r="M1014" s="445"/>
      <c r="N1014" s="445">
        <v>21.2080974578857</v>
      </c>
      <c r="O1014" s="445">
        <v>92.308609008789105</v>
      </c>
      <c r="P1014" s="386" t="s">
        <v>795</v>
      </c>
      <c r="Q1014" s="445" t="s">
        <v>2627</v>
      </c>
      <c r="R1014" s="446"/>
      <c r="S1014" s="443"/>
      <c r="T1014" s="447">
        <v>43580</v>
      </c>
      <c r="U1014" s="448" t="s">
        <v>2672</v>
      </c>
      <c r="V1014" s="449"/>
      <c r="W1014" s="486"/>
      <c r="X1014" s="17"/>
      <c r="Z1014" s="17"/>
    </row>
    <row r="1015" spans="1:26" ht="14.25" customHeight="1">
      <c r="A1015" s="482" t="s">
        <v>2647</v>
      </c>
      <c r="B1015" s="504" t="s">
        <v>305</v>
      </c>
      <c r="C1015" s="503" t="s">
        <v>2085</v>
      </c>
      <c r="D1015" s="431"/>
      <c r="E1015" s="386">
        <v>197842</v>
      </c>
      <c r="F1015" s="386"/>
      <c r="G1015" s="386"/>
      <c r="H1015" s="386"/>
      <c r="I1015" s="386"/>
      <c r="J1015" s="386" t="s">
        <v>794</v>
      </c>
      <c r="K1015" s="386" t="s">
        <v>794</v>
      </c>
      <c r="L1015" s="386" t="s">
        <v>794</v>
      </c>
      <c r="M1015" s="386" t="s">
        <v>2070</v>
      </c>
      <c r="N1015" s="386">
        <v>21.210039139999999</v>
      </c>
      <c r="O1015" s="386">
        <v>92.297286990000003</v>
      </c>
      <c r="P1015" s="386" t="s">
        <v>795</v>
      </c>
      <c r="Q1015" s="386"/>
      <c r="R1015" s="486"/>
      <c r="S1015" s="487"/>
      <c r="T1015" s="389">
        <v>43300</v>
      </c>
      <c r="U1015" s="488"/>
      <c r="V1015" s="386"/>
      <c r="W1015" s="482"/>
      <c r="X1015" s="17"/>
      <c r="Z1015" s="17"/>
    </row>
    <row r="1016" spans="1:26" ht="14.25" customHeight="1">
      <c r="A1016" s="396" t="s">
        <v>2647</v>
      </c>
      <c r="B1016" s="411" t="s">
        <v>305</v>
      </c>
      <c r="C1016" s="410" t="s">
        <v>682</v>
      </c>
      <c r="D1016" s="431" t="s">
        <v>1656</v>
      </c>
      <c r="E1016" s="482">
        <v>197867</v>
      </c>
      <c r="F1016" s="482"/>
      <c r="G1016" s="386"/>
      <c r="H1016" s="386"/>
      <c r="I1016" s="386"/>
      <c r="J1016" s="386" t="s">
        <v>794</v>
      </c>
      <c r="K1016" s="386" t="s">
        <v>794</v>
      </c>
      <c r="L1016" s="386" t="s">
        <v>794</v>
      </c>
      <c r="M1016" s="386" t="s">
        <v>791</v>
      </c>
      <c r="N1016" s="386">
        <v>21.057630540000002</v>
      </c>
      <c r="O1016" s="386">
        <v>92.340232850000007</v>
      </c>
      <c r="P1016" s="386" t="s">
        <v>795</v>
      </c>
      <c r="Q1016" s="386" t="s">
        <v>776</v>
      </c>
      <c r="R1016" s="486"/>
      <c r="S1016" s="487"/>
      <c r="T1016" s="389"/>
      <c r="U1016" s="388"/>
      <c r="V1016" s="482" t="s">
        <v>682</v>
      </c>
      <c r="W1016" s="482"/>
      <c r="X1016" s="17"/>
      <c r="Z1016" s="17"/>
    </row>
    <row r="1017" spans="1:26" ht="14.25" customHeight="1">
      <c r="A1017" s="482" t="s">
        <v>2647</v>
      </c>
      <c r="B1017" s="504" t="s">
        <v>305</v>
      </c>
      <c r="C1017" s="503" t="s">
        <v>673</v>
      </c>
      <c r="D1017" s="431" t="s">
        <v>1656</v>
      </c>
      <c r="E1017" s="484">
        <v>197893</v>
      </c>
      <c r="F1017" s="396"/>
      <c r="G1017" s="386"/>
      <c r="H1017" s="386"/>
      <c r="I1017" s="482"/>
      <c r="J1017" s="396" t="s">
        <v>794</v>
      </c>
      <c r="K1017" s="396" t="s">
        <v>794</v>
      </c>
      <c r="L1017" s="482" t="s">
        <v>794</v>
      </c>
      <c r="M1017" s="386" t="s">
        <v>294</v>
      </c>
      <c r="N1017" s="396">
        <v>21.009420389999999</v>
      </c>
      <c r="O1017" s="396">
        <v>92.318077090000003</v>
      </c>
      <c r="P1017" s="386" t="s">
        <v>795</v>
      </c>
      <c r="Q1017" s="386" t="s">
        <v>798</v>
      </c>
      <c r="R1017" s="486"/>
      <c r="S1017" s="487"/>
      <c r="T1017" s="389">
        <v>42926</v>
      </c>
      <c r="U1017" s="488" t="s">
        <v>799</v>
      </c>
      <c r="V1017" s="484"/>
      <c r="W1017" s="482"/>
      <c r="X1017" s="17"/>
      <c r="Z1017" s="17"/>
    </row>
    <row r="1018" spans="1:26" ht="14.25" customHeight="1">
      <c r="A1018" s="396" t="s">
        <v>2647</v>
      </c>
      <c r="B1018" s="504" t="s">
        <v>305</v>
      </c>
      <c r="C1018" s="503" t="s">
        <v>623</v>
      </c>
      <c r="D1018" s="431" t="s">
        <v>1656</v>
      </c>
      <c r="E1018" s="484">
        <v>197990</v>
      </c>
      <c r="F1018" s="482"/>
      <c r="G1018" s="482"/>
      <c r="H1018" s="482"/>
      <c r="I1018" s="482"/>
      <c r="J1018" s="482" t="s">
        <v>794</v>
      </c>
      <c r="K1018" s="482" t="s">
        <v>794</v>
      </c>
      <c r="L1018" s="482" t="s">
        <v>794</v>
      </c>
      <c r="M1018" s="482" t="s">
        <v>791</v>
      </c>
      <c r="N1018" s="498">
        <v>20.824769969999998</v>
      </c>
      <c r="O1018" s="498">
        <v>92.398788449999998</v>
      </c>
      <c r="P1018" s="482" t="s">
        <v>795</v>
      </c>
      <c r="Q1018" s="482" t="s">
        <v>776</v>
      </c>
      <c r="R1018" s="399"/>
      <c r="S1018" s="487"/>
      <c r="T1018" s="506"/>
      <c r="U1018" s="488"/>
      <c r="V1018" s="482" t="s">
        <v>938</v>
      </c>
      <c r="W1018" s="482"/>
      <c r="X1018" s="17"/>
      <c r="Z1018" s="17"/>
    </row>
    <row r="1019" spans="1:26" ht="14.25" customHeight="1">
      <c r="A1019" s="396" t="s">
        <v>2647</v>
      </c>
      <c r="B1019" s="504" t="s">
        <v>305</v>
      </c>
      <c r="C1019" s="503" t="s">
        <v>624</v>
      </c>
      <c r="D1019" s="431" t="s">
        <v>1656</v>
      </c>
      <c r="E1019" s="482">
        <v>197990</v>
      </c>
      <c r="F1019" s="482"/>
      <c r="G1019" s="386"/>
      <c r="H1019" s="482"/>
      <c r="I1019" s="482"/>
      <c r="J1019" s="482" t="s">
        <v>794</v>
      </c>
      <c r="K1019" s="482" t="s">
        <v>794</v>
      </c>
      <c r="L1019" s="482" t="s">
        <v>794</v>
      </c>
      <c r="M1019" s="482" t="s">
        <v>791</v>
      </c>
      <c r="N1019" s="498">
        <v>20.824769969999998</v>
      </c>
      <c r="O1019" s="498">
        <v>92.398788449999998</v>
      </c>
      <c r="P1019" s="386" t="s">
        <v>795</v>
      </c>
      <c r="Q1019" s="482" t="s">
        <v>776</v>
      </c>
      <c r="R1019" s="486"/>
      <c r="S1019" s="487"/>
      <c r="T1019" s="506"/>
      <c r="U1019" s="488"/>
      <c r="V1019" s="386" t="s">
        <v>938</v>
      </c>
      <c r="W1019" s="482"/>
      <c r="X1019" s="17"/>
      <c r="Z1019" s="17"/>
    </row>
    <row r="1020" spans="1:26" ht="14.25" customHeight="1">
      <c r="A1020" s="396" t="s">
        <v>2647</v>
      </c>
      <c r="B1020" s="504" t="s">
        <v>305</v>
      </c>
      <c r="C1020" s="503" t="s">
        <v>352</v>
      </c>
      <c r="D1020" s="431" t="s">
        <v>1656</v>
      </c>
      <c r="E1020" s="482"/>
      <c r="F1020" s="396"/>
      <c r="G1020" s="396"/>
      <c r="H1020" s="482"/>
      <c r="I1020" s="482"/>
      <c r="J1020" s="482" t="s">
        <v>794</v>
      </c>
      <c r="K1020" s="482" t="s">
        <v>794</v>
      </c>
      <c r="L1020" s="482" t="s">
        <v>794</v>
      </c>
      <c r="M1020" s="482" t="s">
        <v>791</v>
      </c>
      <c r="N1020" s="498"/>
      <c r="O1020" s="498"/>
      <c r="P1020" s="396" t="s">
        <v>795</v>
      </c>
      <c r="Q1020" s="482" t="s">
        <v>776</v>
      </c>
      <c r="R1020" s="486"/>
      <c r="S1020" s="487"/>
      <c r="T1020" s="506"/>
      <c r="U1020" s="488"/>
      <c r="V1020" s="396" t="s">
        <v>352</v>
      </c>
      <c r="W1020" s="482"/>
      <c r="X1020" s="17"/>
      <c r="Z1020" s="17"/>
    </row>
    <row r="1021" spans="1:26" ht="14.25" customHeight="1">
      <c r="A1021" s="482" t="s">
        <v>2647</v>
      </c>
      <c r="B1021" s="504" t="s">
        <v>305</v>
      </c>
      <c r="C1021" s="503" t="s">
        <v>353</v>
      </c>
      <c r="D1021" s="431" t="s">
        <v>1656</v>
      </c>
      <c r="E1021" s="386"/>
      <c r="F1021" s="482"/>
      <c r="G1021" s="386"/>
      <c r="H1021" s="386"/>
      <c r="I1021" s="386"/>
      <c r="J1021" s="386" t="s">
        <v>794</v>
      </c>
      <c r="K1021" s="386" t="s">
        <v>794</v>
      </c>
      <c r="L1021" s="386" t="s">
        <v>794</v>
      </c>
      <c r="M1021" s="386" t="s">
        <v>294</v>
      </c>
      <c r="N1021" s="498"/>
      <c r="O1021" s="498"/>
      <c r="P1021" s="386" t="s">
        <v>795</v>
      </c>
      <c r="Q1021" s="386" t="s">
        <v>776</v>
      </c>
      <c r="R1021" s="486"/>
      <c r="S1021" s="487"/>
      <c r="T1021" s="389"/>
      <c r="U1021" s="488"/>
      <c r="V1021" s="482" t="s">
        <v>353</v>
      </c>
      <c r="W1021" s="482"/>
      <c r="X1021" s="17"/>
      <c r="Z1021" s="17"/>
    </row>
    <row r="1022" spans="1:26" ht="14.25" customHeight="1">
      <c r="A1022" s="396" t="s">
        <v>2647</v>
      </c>
      <c r="B1022" s="504" t="s">
        <v>305</v>
      </c>
      <c r="C1022" s="503" t="s">
        <v>626</v>
      </c>
      <c r="D1022" s="431" t="s">
        <v>1656</v>
      </c>
      <c r="E1022" s="386" t="s">
        <v>1407</v>
      </c>
      <c r="F1022" s="484"/>
      <c r="G1022" s="386"/>
      <c r="H1022" s="386" t="s">
        <v>40</v>
      </c>
      <c r="I1022" s="386"/>
      <c r="J1022" s="386" t="s">
        <v>794</v>
      </c>
      <c r="K1022" s="386" t="s">
        <v>794</v>
      </c>
      <c r="L1022" s="482" t="s">
        <v>1656</v>
      </c>
      <c r="M1022" s="386" t="s">
        <v>791</v>
      </c>
      <c r="N1022" s="498">
        <v>20.825306000000001</v>
      </c>
      <c r="O1022" s="498">
        <v>92.367852999999997</v>
      </c>
      <c r="P1022" s="386" t="s">
        <v>795</v>
      </c>
      <c r="Q1022" s="386" t="s">
        <v>776</v>
      </c>
      <c r="R1022" s="486"/>
      <c r="S1022" s="487"/>
      <c r="T1022" s="389">
        <v>43248</v>
      </c>
      <c r="U1022" s="388" t="s">
        <v>1897</v>
      </c>
      <c r="V1022" s="386"/>
      <c r="W1022" s="482"/>
      <c r="X1022" s="17"/>
      <c r="Z1022" s="17"/>
    </row>
    <row r="1023" spans="1:26" ht="14.25" customHeight="1">
      <c r="A1023" s="396" t="s">
        <v>2647</v>
      </c>
      <c r="B1023" s="504" t="s">
        <v>305</v>
      </c>
      <c r="C1023" s="503" t="s">
        <v>611</v>
      </c>
      <c r="D1023" s="431" t="s">
        <v>1656</v>
      </c>
      <c r="E1023" s="396">
        <v>197996</v>
      </c>
      <c r="F1023" s="512" t="s">
        <v>2043</v>
      </c>
      <c r="G1023" s="396"/>
      <c r="H1023" s="396"/>
      <c r="I1023" s="396"/>
      <c r="J1023" s="396" t="s">
        <v>794</v>
      </c>
      <c r="K1023" s="396" t="s">
        <v>794</v>
      </c>
      <c r="L1023" s="482" t="s">
        <v>794</v>
      </c>
      <c r="M1023" s="396" t="s">
        <v>791</v>
      </c>
      <c r="N1023" s="396">
        <v>20.805980680000001</v>
      </c>
      <c r="O1023" s="396">
        <v>92.383308409999998</v>
      </c>
      <c r="P1023" s="396" t="s">
        <v>795</v>
      </c>
      <c r="Q1023" s="396" t="s">
        <v>776</v>
      </c>
      <c r="R1023" s="486"/>
      <c r="S1023" s="487"/>
      <c r="T1023" s="412"/>
      <c r="U1023" s="401"/>
      <c r="V1023" s="396" t="s">
        <v>933</v>
      </c>
      <c r="W1023" s="482"/>
      <c r="X1023" s="17"/>
      <c r="Z1023" s="17"/>
    </row>
    <row r="1024" spans="1:26" ht="14.25" customHeight="1">
      <c r="A1024" s="396" t="s">
        <v>2647</v>
      </c>
      <c r="B1024" s="411" t="s">
        <v>305</v>
      </c>
      <c r="C1024" s="410" t="s">
        <v>612</v>
      </c>
      <c r="D1024" s="431" t="s">
        <v>1656</v>
      </c>
      <c r="E1024" s="396">
        <v>197996</v>
      </c>
      <c r="F1024" s="396"/>
      <c r="G1024" s="396"/>
      <c r="H1024" s="396"/>
      <c r="I1024" s="396"/>
      <c r="J1024" s="396" t="s">
        <v>794</v>
      </c>
      <c r="K1024" s="396" t="s">
        <v>794</v>
      </c>
      <c r="L1024" s="396" t="s">
        <v>794</v>
      </c>
      <c r="M1024" s="396" t="s">
        <v>791</v>
      </c>
      <c r="N1024" s="396">
        <v>20.805980680000001</v>
      </c>
      <c r="O1024" s="396">
        <v>92.383308409999998</v>
      </c>
      <c r="P1024" s="396" t="s">
        <v>795</v>
      </c>
      <c r="Q1024" s="396" t="s">
        <v>776</v>
      </c>
      <c r="R1024" s="486"/>
      <c r="S1024" s="487"/>
      <c r="T1024" s="412"/>
      <c r="U1024" s="401"/>
      <c r="V1024" s="482" t="s">
        <v>934</v>
      </c>
      <c r="W1024" s="482"/>
      <c r="X1024" s="17"/>
      <c r="Z1024" s="17"/>
    </row>
    <row r="1025" spans="1:26" ht="14.25" customHeight="1">
      <c r="A1025" s="443" t="s">
        <v>2647</v>
      </c>
      <c r="B1025" s="444" t="s">
        <v>305</v>
      </c>
      <c r="C1025" s="451" t="s">
        <v>563</v>
      </c>
      <c r="D1025" s="431" t="s">
        <v>1656</v>
      </c>
      <c r="E1025" s="396">
        <v>198045</v>
      </c>
      <c r="F1025" s="445"/>
      <c r="G1025" s="445"/>
      <c r="H1025" s="445"/>
      <c r="I1025" s="445"/>
      <c r="J1025" s="396" t="s">
        <v>794</v>
      </c>
      <c r="K1025" s="396" t="s">
        <v>794</v>
      </c>
      <c r="L1025" s="396" t="s">
        <v>794</v>
      </c>
      <c r="M1025" s="396" t="s">
        <v>791</v>
      </c>
      <c r="N1025" s="396">
        <v>20.71759033</v>
      </c>
      <c r="O1025" s="396">
        <v>92.426422119999998</v>
      </c>
      <c r="P1025" s="396" t="s">
        <v>795</v>
      </c>
      <c r="Q1025" s="445" t="s">
        <v>2627</v>
      </c>
      <c r="R1025" s="446"/>
      <c r="S1025" s="443"/>
      <c r="T1025" s="447">
        <v>43580</v>
      </c>
      <c r="U1025" s="448" t="s">
        <v>2672</v>
      </c>
      <c r="V1025" s="482" t="s">
        <v>563</v>
      </c>
      <c r="W1025" s="486"/>
      <c r="X1025" s="17"/>
      <c r="Z1025" s="17"/>
    </row>
    <row r="1026" spans="1:26" ht="14.25" customHeight="1">
      <c r="A1026" s="482" t="s">
        <v>2647</v>
      </c>
      <c r="B1026" s="504" t="s">
        <v>305</v>
      </c>
      <c r="C1026" s="503" t="s">
        <v>2045</v>
      </c>
      <c r="D1026" s="431"/>
      <c r="E1026" s="396">
        <v>220744</v>
      </c>
      <c r="F1026" s="482"/>
      <c r="G1026" s="396"/>
      <c r="H1026" s="396"/>
      <c r="I1026" s="396"/>
      <c r="J1026" s="396" t="s">
        <v>794</v>
      </c>
      <c r="K1026" s="396" t="s">
        <v>794</v>
      </c>
      <c r="L1026" s="396" t="s">
        <v>794</v>
      </c>
      <c r="M1026" s="396" t="s">
        <v>294</v>
      </c>
      <c r="N1026" s="396">
        <v>20.71612167</v>
      </c>
      <c r="O1026" s="396">
        <v>92.442459110000001</v>
      </c>
      <c r="P1026" s="396" t="s">
        <v>795</v>
      </c>
      <c r="Q1026" s="396"/>
      <c r="R1026" s="486"/>
      <c r="S1026" s="487"/>
      <c r="T1026" s="412">
        <v>43300</v>
      </c>
      <c r="U1026" s="488"/>
      <c r="V1026" s="482"/>
      <c r="W1026" s="482"/>
      <c r="X1026" s="99"/>
      <c r="Z1026" s="17"/>
    </row>
    <row r="1027" spans="1:26" ht="14.25" customHeight="1">
      <c r="A1027" s="482" t="s">
        <v>2647</v>
      </c>
      <c r="B1027" s="504" t="s">
        <v>305</v>
      </c>
      <c r="C1027" s="504" t="s">
        <v>2046</v>
      </c>
      <c r="D1027" s="431"/>
      <c r="E1027" s="482"/>
      <c r="F1027" s="482"/>
      <c r="G1027" s="482"/>
      <c r="H1027" s="482"/>
      <c r="I1027" s="482"/>
      <c r="J1027" s="396" t="s">
        <v>794</v>
      </c>
      <c r="K1027" s="396" t="s">
        <v>794</v>
      </c>
      <c r="L1027" s="396" t="s">
        <v>794</v>
      </c>
      <c r="M1027" s="482" t="s">
        <v>2068</v>
      </c>
      <c r="N1027" s="482"/>
      <c r="O1027" s="482"/>
      <c r="P1027" s="396" t="s">
        <v>795</v>
      </c>
      <c r="Q1027" s="482"/>
      <c r="R1027" s="486"/>
      <c r="S1027" s="487"/>
      <c r="T1027" s="506">
        <v>43300</v>
      </c>
      <c r="U1027" s="488"/>
      <c r="V1027" s="482"/>
      <c r="W1027" s="482"/>
      <c r="X1027" s="99"/>
      <c r="Z1027" s="17"/>
    </row>
    <row r="1028" spans="1:26" ht="14.25" customHeight="1">
      <c r="A1028" s="482" t="s">
        <v>2647</v>
      </c>
      <c r="B1028" s="504" t="s">
        <v>305</v>
      </c>
      <c r="C1028" s="504" t="s">
        <v>904</v>
      </c>
      <c r="D1028" s="431"/>
      <c r="E1028" s="482">
        <v>197938</v>
      </c>
      <c r="F1028" s="396"/>
      <c r="G1028" s="396"/>
      <c r="H1028" s="482"/>
      <c r="I1028" s="482"/>
      <c r="J1028" s="482" t="s">
        <v>794</v>
      </c>
      <c r="K1028" s="482" t="s">
        <v>794</v>
      </c>
      <c r="L1028" s="482" t="s">
        <v>794</v>
      </c>
      <c r="M1028" s="482" t="s">
        <v>791</v>
      </c>
      <c r="N1028" s="482">
        <v>20.84098053</v>
      </c>
      <c r="O1028" s="482">
        <v>92.35720062</v>
      </c>
      <c r="P1028" s="396" t="s">
        <v>795</v>
      </c>
      <c r="Q1028" s="482"/>
      <c r="R1028" s="486"/>
      <c r="S1028" s="487"/>
      <c r="T1028" s="506">
        <v>43300</v>
      </c>
      <c r="U1028" s="488"/>
      <c r="V1028" s="396"/>
      <c r="W1028" s="482"/>
      <c r="X1028" s="99"/>
      <c r="Z1028" s="17"/>
    </row>
    <row r="1029" spans="1:26" ht="14.25" customHeight="1">
      <c r="A1029" s="482" t="s">
        <v>2647</v>
      </c>
      <c r="B1029" s="504" t="s">
        <v>305</v>
      </c>
      <c r="C1029" s="504" t="s">
        <v>2982</v>
      </c>
      <c r="D1029" s="431"/>
      <c r="E1029" s="396">
        <v>198033</v>
      </c>
      <c r="F1029" s="484"/>
      <c r="G1029" s="396"/>
      <c r="H1029" s="396"/>
      <c r="I1029" s="396"/>
      <c r="J1029" s="396" t="s">
        <v>794</v>
      </c>
      <c r="K1029" s="482" t="s">
        <v>794</v>
      </c>
      <c r="L1029" s="482" t="s">
        <v>794</v>
      </c>
      <c r="M1029" s="396"/>
      <c r="N1029" s="396">
        <v>20.6845893859863</v>
      </c>
      <c r="O1029" s="396">
        <v>92.443580627441406</v>
      </c>
      <c r="P1029" s="396" t="s">
        <v>795</v>
      </c>
      <c r="Q1029" s="396"/>
      <c r="R1029" s="486"/>
      <c r="S1029" s="487"/>
      <c r="T1029" s="412">
        <v>43768</v>
      </c>
      <c r="U1029" s="488"/>
      <c r="V1029" s="482"/>
      <c r="W1029" s="482"/>
      <c r="X1029" s="99"/>
      <c r="Z1029" s="17"/>
    </row>
    <row r="1030" spans="1:26" ht="14.25" customHeight="1">
      <c r="A1030" s="482" t="s">
        <v>2647</v>
      </c>
      <c r="B1030" s="504" t="s">
        <v>305</v>
      </c>
      <c r="C1030" s="504" t="s">
        <v>670</v>
      </c>
      <c r="D1030" s="431" t="s">
        <v>1656</v>
      </c>
      <c r="E1030" s="396">
        <v>197903</v>
      </c>
      <c r="F1030" s="489"/>
      <c r="G1030" s="396"/>
      <c r="H1030" s="396"/>
      <c r="I1030" s="396"/>
      <c r="J1030" s="396" t="s">
        <v>794</v>
      </c>
      <c r="K1030" s="396" t="s">
        <v>794</v>
      </c>
      <c r="L1030" s="396" t="s">
        <v>794</v>
      </c>
      <c r="M1030" s="396" t="s">
        <v>791</v>
      </c>
      <c r="N1030" s="396">
        <v>21.000970840000001</v>
      </c>
      <c r="O1030" s="396">
        <v>92.334213259999999</v>
      </c>
      <c r="P1030" s="396" t="s">
        <v>795</v>
      </c>
      <c r="Q1030" s="396" t="s">
        <v>798</v>
      </c>
      <c r="R1030" s="486"/>
      <c r="S1030" s="487"/>
      <c r="T1030" s="412">
        <v>42926</v>
      </c>
      <c r="U1030" s="488" t="s">
        <v>799</v>
      </c>
      <c r="V1030" s="484"/>
      <c r="W1030" s="482"/>
      <c r="X1030" s="99"/>
      <c r="Z1030" s="17"/>
    </row>
    <row r="1031" spans="1:26" ht="14.25" customHeight="1">
      <c r="A1031" s="396" t="s">
        <v>2647</v>
      </c>
      <c r="B1031" s="504" t="s">
        <v>305</v>
      </c>
      <c r="C1031" s="504" t="s">
        <v>528</v>
      </c>
      <c r="D1031" s="431" t="s">
        <v>1656</v>
      </c>
      <c r="E1031" s="482">
        <v>198026</v>
      </c>
      <c r="F1031" s="482"/>
      <c r="G1031" s="396"/>
      <c r="H1031" s="482"/>
      <c r="I1031" s="482"/>
      <c r="J1031" s="482" t="s">
        <v>794</v>
      </c>
      <c r="K1031" s="482" t="s">
        <v>794</v>
      </c>
      <c r="L1031" s="482" t="s">
        <v>794</v>
      </c>
      <c r="M1031" s="482" t="s">
        <v>791</v>
      </c>
      <c r="N1031" s="482">
        <v>20.671619419999999</v>
      </c>
      <c r="O1031" s="482">
        <v>92.473846440000003</v>
      </c>
      <c r="P1031" s="396" t="s">
        <v>795</v>
      </c>
      <c r="Q1031" s="482" t="s">
        <v>776</v>
      </c>
      <c r="R1031" s="486"/>
      <c r="S1031" s="487"/>
      <c r="T1031" s="506"/>
      <c r="U1031" s="488"/>
      <c r="V1031" s="396" t="s">
        <v>921</v>
      </c>
      <c r="W1031" s="482"/>
      <c r="X1031" s="99"/>
      <c r="Z1031" s="17"/>
    </row>
    <row r="1032" spans="1:26" ht="14.25" customHeight="1">
      <c r="A1032" s="482" t="s">
        <v>2647</v>
      </c>
      <c r="B1032" s="504" t="s">
        <v>337</v>
      </c>
      <c r="C1032" s="504" t="s">
        <v>495</v>
      </c>
      <c r="D1032" s="431" t="s">
        <v>1656</v>
      </c>
      <c r="E1032" s="396">
        <v>197602</v>
      </c>
      <c r="F1032" s="482"/>
      <c r="G1032" s="396"/>
      <c r="H1032" s="396"/>
      <c r="I1032" s="396"/>
      <c r="J1032" s="396" t="s">
        <v>794</v>
      </c>
      <c r="K1032" s="396" t="s">
        <v>794</v>
      </c>
      <c r="L1032" s="396" t="s">
        <v>794</v>
      </c>
      <c r="M1032" s="396" t="s">
        <v>791</v>
      </c>
      <c r="N1032" s="396">
        <v>20.547620770000002</v>
      </c>
      <c r="O1032" s="396">
        <v>92.671058650000006</v>
      </c>
      <c r="P1032" s="396" t="s">
        <v>795</v>
      </c>
      <c r="Q1032" s="396" t="s">
        <v>776</v>
      </c>
      <c r="R1032" s="486"/>
      <c r="S1032" s="487"/>
      <c r="T1032" s="412"/>
      <c r="U1032" s="488"/>
      <c r="V1032" s="482" t="s">
        <v>495</v>
      </c>
      <c r="W1032" s="486"/>
      <c r="X1032" s="99"/>
      <c r="Z1032" s="17"/>
    </row>
    <row r="1033" spans="1:26" ht="14.25" customHeight="1">
      <c r="A1033" s="482" t="s">
        <v>2647</v>
      </c>
      <c r="B1033" s="514" t="s">
        <v>337</v>
      </c>
      <c r="C1033" s="452" t="s">
        <v>501</v>
      </c>
      <c r="D1033" s="485" t="s">
        <v>1656</v>
      </c>
      <c r="E1033" s="396" t="s">
        <v>1392</v>
      </c>
      <c r="F1033" s="512"/>
      <c r="G1033" s="396"/>
      <c r="H1033" s="396" t="s">
        <v>40</v>
      </c>
      <c r="I1033" s="396"/>
      <c r="J1033" s="396" t="s">
        <v>794</v>
      </c>
      <c r="K1033" s="396" t="s">
        <v>794</v>
      </c>
      <c r="L1033" s="396" t="s">
        <v>1656</v>
      </c>
      <c r="M1033" s="396" t="s">
        <v>791</v>
      </c>
      <c r="N1033" s="396">
        <v>20.569219</v>
      </c>
      <c r="O1033" s="396">
        <v>92.640022000000002</v>
      </c>
      <c r="P1033" s="396" t="s">
        <v>795</v>
      </c>
      <c r="Q1033" s="396" t="s">
        <v>776</v>
      </c>
      <c r="R1033" s="494"/>
      <c r="S1033" s="487"/>
      <c r="T1033" s="412"/>
      <c r="U1033" s="488"/>
      <c r="V1033" s="482" t="s">
        <v>501</v>
      </c>
      <c r="W1033" s="486"/>
      <c r="X1033" s="99"/>
      <c r="Z1033" s="17"/>
    </row>
    <row r="1034" spans="1:26" ht="14.25" customHeight="1">
      <c r="A1034" s="396" t="s">
        <v>2647</v>
      </c>
      <c r="B1034" s="504" t="s">
        <v>337</v>
      </c>
      <c r="C1034" s="504" t="s">
        <v>498</v>
      </c>
      <c r="D1034" s="431" t="s">
        <v>1656</v>
      </c>
      <c r="E1034" s="482">
        <v>197593</v>
      </c>
      <c r="F1034" s="396"/>
      <c r="G1034" s="396"/>
      <c r="H1034" s="396"/>
      <c r="I1034" s="396"/>
      <c r="J1034" s="396" t="s">
        <v>794</v>
      </c>
      <c r="K1034" s="396" t="s">
        <v>794</v>
      </c>
      <c r="L1034" s="482" t="s">
        <v>794</v>
      </c>
      <c r="M1034" s="396" t="s">
        <v>791</v>
      </c>
      <c r="N1034" s="396">
        <v>20.555610659999999</v>
      </c>
      <c r="O1034" s="396">
        <v>92.643516539999993</v>
      </c>
      <c r="P1034" s="396" t="s">
        <v>795</v>
      </c>
      <c r="Q1034" s="396" t="s">
        <v>798</v>
      </c>
      <c r="R1034" s="486"/>
      <c r="S1034" s="487"/>
      <c r="T1034" s="412">
        <v>42926</v>
      </c>
      <c r="U1034" s="401" t="s">
        <v>799</v>
      </c>
      <c r="V1034" s="482"/>
      <c r="W1034" s="486"/>
      <c r="X1034" s="99"/>
      <c r="Z1034" s="17"/>
    </row>
    <row r="1035" spans="1:26" ht="14.25" customHeight="1">
      <c r="A1035" s="482" t="s">
        <v>2647</v>
      </c>
      <c r="B1035" s="504" t="s">
        <v>337</v>
      </c>
      <c r="C1035" s="504" t="s">
        <v>499</v>
      </c>
      <c r="D1035" s="431" t="s">
        <v>1656</v>
      </c>
      <c r="E1035" s="396">
        <v>197593</v>
      </c>
      <c r="F1035" s="482"/>
      <c r="G1035" s="396"/>
      <c r="H1035" s="396"/>
      <c r="I1035" s="396"/>
      <c r="J1035" s="396" t="s">
        <v>794</v>
      </c>
      <c r="K1035" s="396" t="s">
        <v>794</v>
      </c>
      <c r="L1035" s="396" t="s">
        <v>794</v>
      </c>
      <c r="M1035" s="396" t="s">
        <v>294</v>
      </c>
      <c r="N1035" s="396">
        <v>20.555610659999999</v>
      </c>
      <c r="O1035" s="396">
        <v>92.643516539999993</v>
      </c>
      <c r="P1035" s="396" t="s">
        <v>795</v>
      </c>
      <c r="Q1035" s="396" t="s">
        <v>776</v>
      </c>
      <c r="R1035" s="486"/>
      <c r="S1035" s="487"/>
      <c r="T1035" s="412" t="s">
        <v>801</v>
      </c>
      <c r="U1035" s="488"/>
      <c r="V1035" s="482"/>
      <c r="W1035" s="486"/>
      <c r="X1035" s="99"/>
      <c r="Z1035" s="17"/>
    </row>
    <row r="1036" spans="1:26" ht="14.25" customHeight="1">
      <c r="A1036" s="482" t="s">
        <v>2647</v>
      </c>
      <c r="B1036" s="504" t="s">
        <v>337</v>
      </c>
      <c r="C1036" s="504" t="s">
        <v>520</v>
      </c>
      <c r="D1036" s="431" t="s">
        <v>1656</v>
      </c>
      <c r="E1036" s="482">
        <v>197691</v>
      </c>
      <c r="F1036" s="482"/>
      <c r="G1036" s="396"/>
      <c r="H1036" s="482"/>
      <c r="I1036" s="482"/>
      <c r="J1036" s="482" t="s">
        <v>794</v>
      </c>
      <c r="K1036" s="482" t="s">
        <v>794</v>
      </c>
      <c r="L1036" s="482" t="s">
        <v>794</v>
      </c>
      <c r="M1036" s="482" t="s">
        <v>294</v>
      </c>
      <c r="N1036" s="482">
        <v>20.65517998</v>
      </c>
      <c r="O1036" s="482">
        <v>92.720321659999996</v>
      </c>
      <c r="P1036" s="396" t="s">
        <v>795</v>
      </c>
      <c r="Q1036" s="482" t="s">
        <v>776</v>
      </c>
      <c r="R1036" s="490"/>
      <c r="S1036" s="491"/>
      <c r="T1036" s="506" t="s">
        <v>801</v>
      </c>
      <c r="U1036" s="488"/>
      <c r="V1036" s="482"/>
      <c r="W1036" s="486"/>
      <c r="X1036" s="99"/>
      <c r="Z1036" s="17"/>
    </row>
    <row r="1037" spans="1:26" ht="14.25" customHeight="1">
      <c r="A1037" s="482" t="s">
        <v>2647</v>
      </c>
      <c r="B1037" s="504" t="s">
        <v>337</v>
      </c>
      <c r="C1037" s="504" t="s">
        <v>466</v>
      </c>
      <c r="D1037" s="431" t="s">
        <v>2288</v>
      </c>
      <c r="E1037" s="484" t="s">
        <v>1384</v>
      </c>
      <c r="F1037" s="396" t="s">
        <v>466</v>
      </c>
      <c r="G1037" s="396" t="s">
        <v>466</v>
      </c>
      <c r="H1037" s="396"/>
      <c r="I1037" s="482"/>
      <c r="J1037" s="396" t="s">
        <v>794</v>
      </c>
      <c r="K1037" s="482" t="s">
        <v>794</v>
      </c>
      <c r="L1037" s="482" t="s">
        <v>879</v>
      </c>
      <c r="M1037" s="396" t="s">
        <v>791</v>
      </c>
      <c r="N1037" s="482">
        <v>20.399269</v>
      </c>
      <c r="O1037" s="482">
        <v>92.781294000000003</v>
      </c>
      <c r="P1037" s="396" t="s">
        <v>795</v>
      </c>
      <c r="Q1037" s="396" t="s">
        <v>776</v>
      </c>
      <c r="R1037" s="486">
        <v>32</v>
      </c>
      <c r="S1037" s="487">
        <v>157</v>
      </c>
      <c r="T1037" s="412"/>
      <c r="U1037" s="488"/>
      <c r="V1037" s="484" t="s">
        <v>466</v>
      </c>
      <c r="W1037" s="486"/>
      <c r="X1037" s="99"/>
      <c r="Z1037" s="17"/>
    </row>
    <row r="1038" spans="1:26" ht="14.25" customHeight="1">
      <c r="A1038" s="490" t="s">
        <v>2647</v>
      </c>
      <c r="B1038" s="514" t="s">
        <v>337</v>
      </c>
      <c r="C1038" s="452" t="s">
        <v>2803</v>
      </c>
      <c r="D1038" s="485"/>
      <c r="E1038" s="482" t="s">
        <v>2804</v>
      </c>
      <c r="F1038" s="482"/>
      <c r="G1038" s="482"/>
      <c r="H1038" s="482"/>
      <c r="I1038" s="482"/>
      <c r="J1038" s="482" t="s">
        <v>2652</v>
      </c>
      <c r="K1038" s="482" t="s">
        <v>2622</v>
      </c>
      <c r="L1038" s="482" t="s">
        <v>2622</v>
      </c>
      <c r="M1038" s="482"/>
      <c r="N1038" s="482"/>
      <c r="O1038" s="482"/>
      <c r="P1038" s="482"/>
      <c r="Q1038" s="482"/>
      <c r="R1038" s="494"/>
      <c r="S1038" s="487"/>
      <c r="T1038" s="506">
        <v>43591</v>
      </c>
      <c r="U1038" s="494"/>
      <c r="V1038" s="491" t="s">
        <v>2769</v>
      </c>
      <c r="W1038" s="486"/>
      <c r="X1038" s="99"/>
      <c r="Z1038" s="17"/>
    </row>
    <row r="1039" spans="1:26" ht="14.25" customHeight="1">
      <c r="A1039" s="482" t="s">
        <v>2647</v>
      </c>
      <c r="B1039" s="504" t="s">
        <v>337</v>
      </c>
      <c r="C1039" s="504" t="s">
        <v>535</v>
      </c>
      <c r="D1039" s="431" t="s">
        <v>1656</v>
      </c>
      <c r="E1039" s="396">
        <v>197674</v>
      </c>
      <c r="F1039" s="482"/>
      <c r="G1039" s="396"/>
      <c r="H1039" s="396"/>
      <c r="I1039" s="396"/>
      <c r="J1039" s="396" t="s">
        <v>794</v>
      </c>
      <c r="K1039" s="396" t="s">
        <v>794</v>
      </c>
      <c r="L1039" s="482" t="s">
        <v>794</v>
      </c>
      <c r="M1039" s="396" t="s">
        <v>791</v>
      </c>
      <c r="N1039" s="396">
        <v>20.67845917</v>
      </c>
      <c r="O1039" s="396">
        <v>92.663757320000002</v>
      </c>
      <c r="P1039" s="396" t="s">
        <v>795</v>
      </c>
      <c r="Q1039" s="396" t="s">
        <v>776</v>
      </c>
      <c r="R1039" s="486"/>
      <c r="S1039" s="487"/>
      <c r="T1039" s="412" t="s">
        <v>801</v>
      </c>
      <c r="U1039" s="488"/>
      <c r="V1039" s="396"/>
      <c r="W1039" s="486"/>
      <c r="X1039" s="99"/>
      <c r="Z1039" s="17"/>
    </row>
    <row r="1040" spans="1:26" ht="14.25" customHeight="1">
      <c r="A1040" s="482" t="s">
        <v>2647</v>
      </c>
      <c r="B1040" s="504" t="s">
        <v>337</v>
      </c>
      <c r="C1040" s="504" t="s">
        <v>903</v>
      </c>
      <c r="D1040" s="431" t="s">
        <v>1656</v>
      </c>
      <c r="E1040" s="396">
        <v>197603</v>
      </c>
      <c r="F1040" s="396"/>
      <c r="G1040" s="396"/>
      <c r="H1040" s="396"/>
      <c r="I1040" s="396"/>
      <c r="J1040" s="396" t="s">
        <v>794</v>
      </c>
      <c r="K1040" s="396" t="s">
        <v>794</v>
      </c>
      <c r="L1040" s="396" t="s">
        <v>794</v>
      </c>
      <c r="M1040" s="396" t="s">
        <v>791</v>
      </c>
      <c r="N1040" s="396">
        <v>20.55364037</v>
      </c>
      <c r="O1040" s="396">
        <v>92.674217220000003</v>
      </c>
      <c r="P1040" s="396" t="s">
        <v>795</v>
      </c>
      <c r="Q1040" s="396"/>
      <c r="R1040" s="486"/>
      <c r="S1040" s="487"/>
      <c r="T1040" s="412"/>
      <c r="U1040" s="488"/>
      <c r="V1040" s="396" t="s">
        <v>903</v>
      </c>
      <c r="W1040" s="486"/>
      <c r="X1040" s="99"/>
      <c r="Z1040" s="17"/>
    </row>
    <row r="1041" spans="1:23" ht="14.25" customHeight="1">
      <c r="A1041" s="504" t="s">
        <v>2647</v>
      </c>
      <c r="B1041" s="504" t="s">
        <v>337</v>
      </c>
      <c r="C1041" s="504" t="s">
        <v>370</v>
      </c>
      <c r="D1041" s="431" t="s">
        <v>1656</v>
      </c>
      <c r="E1041" s="396">
        <v>220977</v>
      </c>
      <c r="F1041" s="482" t="s">
        <v>2694</v>
      </c>
      <c r="G1041" s="396"/>
      <c r="H1041" s="396"/>
      <c r="I1041" s="396"/>
      <c r="J1041" s="396" t="s">
        <v>794</v>
      </c>
      <c r="K1041" s="396" t="s">
        <v>794</v>
      </c>
      <c r="L1041" s="396" t="s">
        <v>794</v>
      </c>
      <c r="M1041" s="396" t="s">
        <v>294</v>
      </c>
      <c r="N1041" s="396"/>
      <c r="O1041" s="396"/>
      <c r="P1041" s="396" t="s">
        <v>795</v>
      </c>
      <c r="Q1041" s="396" t="s">
        <v>798</v>
      </c>
      <c r="R1041" s="486"/>
      <c r="S1041" s="487"/>
      <c r="T1041" s="412">
        <v>42926</v>
      </c>
      <c r="U1041" s="488" t="s">
        <v>799</v>
      </c>
      <c r="V1041" s="396"/>
      <c r="W1041" s="486"/>
    </row>
    <row r="1042" spans="1:23" ht="14.25" customHeight="1">
      <c r="A1042" s="514" t="s">
        <v>2647</v>
      </c>
      <c r="B1042" s="514" t="s">
        <v>337</v>
      </c>
      <c r="C1042" s="452" t="s">
        <v>2802</v>
      </c>
      <c r="D1042" s="485"/>
      <c r="E1042" s="482">
        <v>220693</v>
      </c>
      <c r="F1042" s="482"/>
      <c r="G1042" s="396"/>
      <c r="H1042" s="396"/>
      <c r="I1042" s="396"/>
      <c r="J1042" s="396" t="s">
        <v>2652</v>
      </c>
      <c r="K1042" s="396" t="s">
        <v>2622</v>
      </c>
      <c r="L1042" s="396" t="s">
        <v>2622</v>
      </c>
      <c r="M1042" s="396"/>
      <c r="N1042" s="396">
        <v>20.586620330810501</v>
      </c>
      <c r="O1042" s="396">
        <v>92.689620971679702</v>
      </c>
      <c r="P1042" s="396"/>
      <c r="Q1042" s="396"/>
      <c r="R1042" s="494"/>
      <c r="S1042" s="487"/>
      <c r="T1042" s="412">
        <v>43591</v>
      </c>
      <c r="U1042" s="494"/>
      <c r="V1042" s="484" t="s">
        <v>2768</v>
      </c>
      <c r="W1042" s="486"/>
    </row>
    <row r="1043" spans="1:23" ht="14.25" customHeight="1">
      <c r="A1043" s="504" t="s">
        <v>2647</v>
      </c>
      <c r="B1043" s="504" t="s">
        <v>337</v>
      </c>
      <c r="C1043" s="504" t="s">
        <v>478</v>
      </c>
      <c r="D1043" s="431" t="s">
        <v>1656</v>
      </c>
      <c r="E1043" s="396">
        <v>197631</v>
      </c>
      <c r="F1043" s="396" t="s">
        <v>473</v>
      </c>
      <c r="G1043" s="396"/>
      <c r="H1043" s="396"/>
      <c r="I1043" s="482"/>
      <c r="J1043" s="396" t="s">
        <v>794</v>
      </c>
      <c r="K1043" s="396" t="s">
        <v>794</v>
      </c>
      <c r="L1043" s="396" t="s">
        <v>794</v>
      </c>
      <c r="M1043" s="396" t="s">
        <v>294</v>
      </c>
      <c r="N1043" s="396">
        <v>20.473930360000001</v>
      </c>
      <c r="O1043" s="396">
        <v>92.668853760000005</v>
      </c>
      <c r="P1043" s="396" t="s">
        <v>795</v>
      </c>
      <c r="Q1043" s="396" t="s">
        <v>798</v>
      </c>
      <c r="R1043" s="486"/>
      <c r="S1043" s="487"/>
      <c r="T1043" s="412">
        <v>42926</v>
      </c>
      <c r="U1043" s="488" t="s">
        <v>799</v>
      </c>
      <c r="V1043" s="482"/>
      <c r="W1043" s="486"/>
    </row>
    <row r="1044" spans="1:23" ht="14.25" customHeight="1">
      <c r="A1044" s="504" t="s">
        <v>2647</v>
      </c>
      <c r="B1044" s="504" t="s">
        <v>337</v>
      </c>
      <c r="C1044" s="504" t="s">
        <v>494</v>
      </c>
      <c r="D1044" s="431" t="s">
        <v>1656</v>
      </c>
      <c r="E1044" s="396">
        <v>197601</v>
      </c>
      <c r="F1044" s="482"/>
      <c r="G1044" s="396"/>
      <c r="H1044" s="396"/>
      <c r="I1044" s="396"/>
      <c r="J1044" s="396" t="s">
        <v>794</v>
      </c>
      <c r="K1044" s="396" t="s">
        <v>794</v>
      </c>
      <c r="L1044" s="396" t="s">
        <v>794</v>
      </c>
      <c r="M1044" s="396" t="s">
        <v>791</v>
      </c>
      <c r="N1044" s="396">
        <v>20.54644012</v>
      </c>
      <c r="O1044" s="396">
        <v>92.648399350000005</v>
      </c>
      <c r="P1044" s="396" t="s">
        <v>795</v>
      </c>
      <c r="Q1044" s="396" t="s">
        <v>776</v>
      </c>
      <c r="R1044" s="486"/>
      <c r="S1044" s="487"/>
      <c r="T1044" s="412"/>
      <c r="U1044" s="488"/>
      <c r="V1044" s="482" t="s">
        <v>494</v>
      </c>
      <c r="W1044" s="486"/>
    </row>
    <row r="1045" spans="1:23" ht="14.25" customHeight="1">
      <c r="A1045" s="504" t="s">
        <v>2647</v>
      </c>
      <c r="B1045" s="504" t="s">
        <v>337</v>
      </c>
      <c r="C1045" s="504" t="s">
        <v>467</v>
      </c>
      <c r="D1045" s="431" t="s">
        <v>1656</v>
      </c>
      <c r="E1045" s="396" t="s">
        <v>1386</v>
      </c>
      <c r="F1045" s="396"/>
      <c r="G1045" s="396"/>
      <c r="H1045" s="396" t="s">
        <v>40</v>
      </c>
      <c r="I1045" s="396"/>
      <c r="J1045" s="396" t="s">
        <v>794</v>
      </c>
      <c r="K1045" s="396" t="s">
        <v>794</v>
      </c>
      <c r="L1045" s="396" t="s">
        <v>1656</v>
      </c>
      <c r="M1045" s="396" t="s">
        <v>791</v>
      </c>
      <c r="N1045" s="482">
        <v>20.408453000000002</v>
      </c>
      <c r="O1045" s="482">
        <v>92.660360999999995</v>
      </c>
      <c r="P1045" s="396" t="s">
        <v>795</v>
      </c>
      <c r="Q1045" s="396" t="s">
        <v>776</v>
      </c>
      <c r="R1045" s="486"/>
      <c r="S1045" s="487"/>
      <c r="T1045" s="412"/>
      <c r="U1045" s="488" t="s">
        <v>1897</v>
      </c>
      <c r="V1045" s="484" t="s">
        <v>467</v>
      </c>
      <c r="W1045" s="486"/>
    </row>
    <row r="1046" spans="1:23" ht="14.25" customHeight="1">
      <c r="A1046" s="504" t="s">
        <v>2647</v>
      </c>
      <c r="B1046" s="504" t="s">
        <v>337</v>
      </c>
      <c r="C1046" s="504" t="s">
        <v>888</v>
      </c>
      <c r="D1046" s="431" t="s">
        <v>1656</v>
      </c>
      <c r="E1046" s="396">
        <v>197650</v>
      </c>
      <c r="F1046" s="482"/>
      <c r="G1046" s="396"/>
      <c r="H1046" s="396"/>
      <c r="I1046" s="482"/>
      <c r="J1046" s="396" t="s">
        <v>875</v>
      </c>
      <c r="K1046" s="396" t="s">
        <v>794</v>
      </c>
      <c r="L1046" s="396" t="s">
        <v>794</v>
      </c>
      <c r="M1046" s="396" t="s">
        <v>294</v>
      </c>
      <c r="N1046" s="396">
        <v>20.397039410000001</v>
      </c>
      <c r="O1046" s="396">
        <v>92.664451600000007</v>
      </c>
      <c r="P1046" s="396" t="s">
        <v>795</v>
      </c>
      <c r="Q1046" s="396"/>
      <c r="R1046" s="486"/>
      <c r="S1046" s="487"/>
      <c r="T1046" s="412">
        <v>42849</v>
      </c>
      <c r="U1046" s="401" t="s">
        <v>889</v>
      </c>
      <c r="V1046" s="482"/>
      <c r="W1046" s="486"/>
    </row>
    <row r="1047" spans="1:23" ht="14.25" customHeight="1">
      <c r="A1047" s="504" t="s">
        <v>2647</v>
      </c>
      <c r="B1047" s="504" t="s">
        <v>337</v>
      </c>
      <c r="C1047" s="504" t="s">
        <v>503</v>
      </c>
      <c r="D1047" s="431" t="s">
        <v>1656</v>
      </c>
      <c r="E1047" s="396">
        <v>197591</v>
      </c>
      <c r="F1047" s="482"/>
      <c r="G1047" s="396"/>
      <c r="H1047" s="396"/>
      <c r="I1047" s="396"/>
      <c r="J1047" s="396" t="s">
        <v>794</v>
      </c>
      <c r="K1047" s="396" t="s">
        <v>794</v>
      </c>
      <c r="L1047" s="396" t="s">
        <v>794</v>
      </c>
      <c r="M1047" s="396" t="s">
        <v>791</v>
      </c>
      <c r="N1047" s="396">
        <v>20.581470490000001</v>
      </c>
      <c r="O1047" s="396">
        <v>92.643272400000001</v>
      </c>
      <c r="P1047" s="396" t="s">
        <v>795</v>
      </c>
      <c r="Q1047" s="396" t="s">
        <v>776</v>
      </c>
      <c r="R1047" s="486"/>
      <c r="S1047" s="487"/>
      <c r="T1047" s="412"/>
      <c r="U1047" s="488" t="s">
        <v>799</v>
      </c>
      <c r="V1047" s="482" t="s">
        <v>503</v>
      </c>
      <c r="W1047" s="486"/>
    </row>
    <row r="1048" spans="1:23" ht="14.25" customHeight="1">
      <c r="A1048" s="504" t="s">
        <v>2647</v>
      </c>
      <c r="B1048" s="155" t="s">
        <v>337</v>
      </c>
      <c r="C1048" s="701" t="s">
        <v>1093</v>
      </c>
      <c r="D1048" s="485" t="s">
        <v>1656</v>
      </c>
      <c r="E1048" s="150"/>
      <c r="F1048" s="150"/>
      <c r="G1048" s="150"/>
      <c r="H1048" s="150"/>
      <c r="I1048" s="150"/>
      <c r="J1048" s="396" t="s">
        <v>794</v>
      </c>
      <c r="K1048" s="396" t="s">
        <v>794</v>
      </c>
      <c r="L1048" s="396" t="s">
        <v>794</v>
      </c>
      <c r="M1048" s="150" t="s">
        <v>807</v>
      </c>
      <c r="N1048" s="150"/>
      <c r="O1048" s="150"/>
      <c r="P1048" s="396" t="s">
        <v>795</v>
      </c>
      <c r="Q1048" s="150" t="s">
        <v>798</v>
      </c>
      <c r="R1048" s="151"/>
      <c r="S1048" s="149"/>
      <c r="T1048" s="152">
        <v>42926</v>
      </c>
      <c r="U1048" s="153" t="s">
        <v>799</v>
      </c>
      <c r="V1048" s="150"/>
      <c r="W1048" s="486"/>
    </row>
    <row r="1049" spans="1:23" ht="14.25" customHeight="1">
      <c r="A1049" s="504" t="s">
        <v>2647</v>
      </c>
      <c r="B1049" s="514" t="s">
        <v>337</v>
      </c>
      <c r="C1049" s="452" t="s">
        <v>502</v>
      </c>
      <c r="D1049" s="485" t="s">
        <v>1656</v>
      </c>
      <c r="E1049" s="396">
        <v>197590</v>
      </c>
      <c r="F1049" s="396"/>
      <c r="G1049" s="396"/>
      <c r="H1049" s="396"/>
      <c r="I1049" s="396"/>
      <c r="J1049" s="396" t="s">
        <v>794</v>
      </c>
      <c r="K1049" s="396" t="s">
        <v>794</v>
      </c>
      <c r="L1049" s="396" t="s">
        <v>794</v>
      </c>
      <c r="M1049" s="396" t="s">
        <v>294</v>
      </c>
      <c r="N1049" s="396">
        <v>20.56975937</v>
      </c>
      <c r="O1049" s="513">
        <v>92.641799930000005</v>
      </c>
      <c r="P1049" s="396" t="s">
        <v>795</v>
      </c>
      <c r="Q1049" s="396" t="s">
        <v>776</v>
      </c>
      <c r="R1049" s="494"/>
      <c r="S1049" s="487"/>
      <c r="T1049" s="412"/>
      <c r="U1049" s="488" t="s">
        <v>799</v>
      </c>
      <c r="V1049" s="396" t="s">
        <v>502</v>
      </c>
      <c r="W1049" s="486"/>
    </row>
    <row r="1050" spans="1:23" ht="14.25" customHeight="1">
      <c r="A1050" s="504" t="s">
        <v>2647</v>
      </c>
      <c r="B1050" s="514" t="s">
        <v>337</v>
      </c>
      <c r="C1050" s="452" t="s">
        <v>909</v>
      </c>
      <c r="D1050" s="485" t="s">
        <v>1656</v>
      </c>
      <c r="E1050" s="396">
        <v>197585</v>
      </c>
      <c r="F1050" s="482"/>
      <c r="G1050" s="396"/>
      <c r="H1050" s="396"/>
      <c r="I1050" s="396"/>
      <c r="J1050" s="396" t="s">
        <v>794</v>
      </c>
      <c r="K1050" s="396" t="s">
        <v>794</v>
      </c>
      <c r="L1050" s="396" t="s">
        <v>794</v>
      </c>
      <c r="M1050" s="396" t="s">
        <v>294</v>
      </c>
      <c r="N1050" s="396">
        <v>20.585840229999999</v>
      </c>
      <c r="O1050" s="396">
        <v>92.670722960000006</v>
      </c>
      <c r="P1050" s="396" t="s">
        <v>795</v>
      </c>
      <c r="Q1050" s="396"/>
      <c r="R1050" s="494"/>
      <c r="S1050" s="487"/>
      <c r="T1050" s="412"/>
      <c r="U1050" s="488"/>
      <c r="V1050" s="396" t="s">
        <v>909</v>
      </c>
      <c r="W1050" s="486"/>
    </row>
    <row r="1051" spans="1:23" ht="14.25" customHeight="1">
      <c r="A1051" s="514" t="s">
        <v>2647</v>
      </c>
      <c r="B1051" s="514" t="s">
        <v>337</v>
      </c>
      <c r="C1051" s="452" t="s">
        <v>2801</v>
      </c>
      <c r="D1051" s="485"/>
      <c r="E1051" s="396">
        <v>197581</v>
      </c>
      <c r="F1051" s="484"/>
      <c r="G1051" s="396"/>
      <c r="H1051" s="396"/>
      <c r="I1051" s="482"/>
      <c r="J1051" s="396" t="s">
        <v>2652</v>
      </c>
      <c r="K1051" s="396" t="s">
        <v>2622</v>
      </c>
      <c r="L1051" s="396" t="s">
        <v>2622</v>
      </c>
      <c r="M1051" s="396"/>
      <c r="N1051" s="396">
        <v>20.631229400634801</v>
      </c>
      <c r="O1051" s="396">
        <v>92.641532897949205</v>
      </c>
      <c r="P1051" s="396"/>
      <c r="Q1051" s="396"/>
      <c r="R1051" s="494"/>
      <c r="S1051" s="487"/>
      <c r="T1051" s="412">
        <v>43591</v>
      </c>
      <c r="U1051" s="494"/>
      <c r="V1051" s="396" t="s">
        <v>2767</v>
      </c>
      <c r="W1051" s="486"/>
    </row>
    <row r="1052" spans="1:23" ht="14.25" customHeight="1">
      <c r="A1052" s="504" t="s">
        <v>2647</v>
      </c>
      <c r="B1052" s="504" t="s">
        <v>337</v>
      </c>
      <c r="C1052" s="504" t="s">
        <v>578</v>
      </c>
      <c r="D1052" s="485" t="s">
        <v>1656</v>
      </c>
      <c r="E1052" s="396">
        <v>197616</v>
      </c>
      <c r="F1052" s="482" t="s">
        <v>482</v>
      </c>
      <c r="G1052" s="396"/>
      <c r="H1052" s="396"/>
      <c r="I1052" s="396"/>
      <c r="J1052" s="396" t="s">
        <v>794</v>
      </c>
      <c r="K1052" s="396" t="s">
        <v>794</v>
      </c>
      <c r="L1052" s="396" t="s">
        <v>794</v>
      </c>
      <c r="M1052" s="396" t="s">
        <v>294</v>
      </c>
      <c r="N1052" s="396">
        <v>20.495670319999999</v>
      </c>
      <c r="O1052" s="396">
        <v>92.651496890000004</v>
      </c>
      <c r="P1052" s="396" t="s">
        <v>795</v>
      </c>
      <c r="Q1052" s="396" t="s">
        <v>798</v>
      </c>
      <c r="R1052" s="484"/>
      <c r="S1052" s="484"/>
      <c r="T1052" s="412">
        <v>42926</v>
      </c>
      <c r="U1052" s="401" t="s">
        <v>799</v>
      </c>
      <c r="V1052" s="396"/>
      <c r="W1052" s="486"/>
    </row>
    <row r="1053" spans="1:23" ht="14.25" customHeight="1">
      <c r="A1053" s="504" t="s">
        <v>2647</v>
      </c>
      <c r="B1053" s="504" t="s">
        <v>337</v>
      </c>
      <c r="C1053" s="504" t="s">
        <v>537</v>
      </c>
      <c r="D1053" s="431" t="s">
        <v>1656</v>
      </c>
      <c r="E1053" s="396">
        <v>197670</v>
      </c>
      <c r="F1053" s="484"/>
      <c r="G1053" s="396"/>
      <c r="H1053" s="396"/>
      <c r="I1053" s="396"/>
      <c r="J1053" s="396" t="s">
        <v>794</v>
      </c>
      <c r="K1053" s="396" t="s">
        <v>794</v>
      </c>
      <c r="L1053" s="396" t="s">
        <v>794</v>
      </c>
      <c r="M1053" s="396" t="s">
        <v>791</v>
      </c>
      <c r="N1053" s="396">
        <v>20.6833992</v>
      </c>
      <c r="O1053" s="396">
        <v>92.656608579999997</v>
      </c>
      <c r="P1053" s="396" t="s">
        <v>795</v>
      </c>
      <c r="Q1053" s="396" t="s">
        <v>776</v>
      </c>
      <c r="R1053" s="490"/>
      <c r="S1053" s="491"/>
      <c r="T1053" s="412" t="s">
        <v>801</v>
      </c>
      <c r="U1053" s="488"/>
      <c r="V1053" s="484"/>
      <c r="W1053" s="486"/>
    </row>
    <row r="1054" spans="1:23" ht="14.25" customHeight="1">
      <c r="A1054" s="504" t="s">
        <v>2647</v>
      </c>
      <c r="B1054" s="504" t="s">
        <v>337</v>
      </c>
      <c r="C1054" s="504" t="s">
        <v>469</v>
      </c>
      <c r="D1054" s="431" t="s">
        <v>1656</v>
      </c>
      <c r="E1054" s="396" t="s">
        <v>1388</v>
      </c>
      <c r="F1054" s="396"/>
      <c r="G1054" s="396"/>
      <c r="H1054" s="396" t="s">
        <v>40</v>
      </c>
      <c r="I1054" s="482"/>
      <c r="J1054" s="396" t="s">
        <v>794</v>
      </c>
      <c r="K1054" s="396" t="s">
        <v>794</v>
      </c>
      <c r="L1054" s="396" t="s">
        <v>1656</v>
      </c>
      <c r="M1054" s="396" t="s">
        <v>791</v>
      </c>
      <c r="N1054" s="396">
        <v>20.447261000000001</v>
      </c>
      <c r="O1054" s="396">
        <v>92.639589000000001</v>
      </c>
      <c r="P1054" s="396" t="s">
        <v>795</v>
      </c>
      <c r="Q1054" s="396" t="s">
        <v>776</v>
      </c>
      <c r="R1054" s="399"/>
      <c r="S1054" s="486"/>
      <c r="T1054" s="412"/>
      <c r="U1054" s="401" t="s">
        <v>1897</v>
      </c>
      <c r="V1054" s="484" t="s">
        <v>469</v>
      </c>
      <c r="W1054" s="486"/>
    </row>
    <row r="1055" spans="1:23" ht="14.25" customHeight="1">
      <c r="A1055" s="504" t="s">
        <v>2647</v>
      </c>
      <c r="B1055" s="504" t="s">
        <v>337</v>
      </c>
      <c r="C1055" s="504" t="s">
        <v>893</v>
      </c>
      <c r="D1055" s="431" t="s">
        <v>1656</v>
      </c>
      <c r="E1055" s="396">
        <v>197654</v>
      </c>
      <c r="F1055" s="482"/>
      <c r="G1055" s="396"/>
      <c r="H1055" s="396"/>
      <c r="I1055" s="482"/>
      <c r="J1055" s="396" t="s">
        <v>875</v>
      </c>
      <c r="K1055" s="396" t="s">
        <v>794</v>
      </c>
      <c r="L1055" s="396" t="s">
        <v>794</v>
      </c>
      <c r="M1055" s="396" t="s">
        <v>294</v>
      </c>
      <c r="N1055" s="396">
        <v>20.447399140000002</v>
      </c>
      <c r="O1055" s="396">
        <v>92.630462649999998</v>
      </c>
      <c r="P1055" s="396" t="s">
        <v>795</v>
      </c>
      <c r="Q1055" s="396"/>
      <c r="R1055" s="490"/>
      <c r="S1055" s="491"/>
      <c r="T1055" s="412">
        <v>42849</v>
      </c>
      <c r="U1055" s="488" t="s">
        <v>889</v>
      </c>
      <c r="V1055" s="482" t="s">
        <v>469</v>
      </c>
      <c r="W1055" s="486"/>
    </row>
    <row r="1056" spans="1:23" ht="14.25" customHeight="1">
      <c r="A1056" s="504" t="s">
        <v>2647</v>
      </c>
      <c r="B1056" s="504" t="s">
        <v>337</v>
      </c>
      <c r="C1056" s="504" t="s">
        <v>518</v>
      </c>
      <c r="D1056" s="431" t="s">
        <v>1656</v>
      </c>
      <c r="E1056" s="482">
        <v>197695</v>
      </c>
      <c r="F1056" s="396" t="s">
        <v>2695</v>
      </c>
      <c r="G1056" s="396"/>
      <c r="H1056" s="482"/>
      <c r="I1056" s="482"/>
      <c r="J1056" s="482" t="s">
        <v>794</v>
      </c>
      <c r="K1056" s="482" t="s">
        <v>794</v>
      </c>
      <c r="L1056" s="482" t="s">
        <v>794</v>
      </c>
      <c r="M1056" s="482" t="s">
        <v>294</v>
      </c>
      <c r="N1056" s="482">
        <v>20.651939389999999</v>
      </c>
      <c r="O1056" s="482">
        <v>92.684577939999997</v>
      </c>
      <c r="P1056" s="396" t="s">
        <v>795</v>
      </c>
      <c r="Q1056" s="482" t="s">
        <v>798</v>
      </c>
      <c r="R1056" s="490"/>
      <c r="S1056" s="491"/>
      <c r="T1056" s="506">
        <v>42926</v>
      </c>
      <c r="U1056" s="488" t="s">
        <v>799</v>
      </c>
      <c r="V1056" s="396"/>
      <c r="W1056" s="486"/>
    </row>
    <row r="1057" spans="1:23" ht="14.25" customHeight="1">
      <c r="A1057" s="504" t="s">
        <v>2647</v>
      </c>
      <c r="B1057" s="504" t="s">
        <v>337</v>
      </c>
      <c r="C1057" s="504" t="s">
        <v>473</v>
      </c>
      <c r="D1057" s="431" t="s">
        <v>1656</v>
      </c>
      <c r="E1057" s="396">
        <v>197629</v>
      </c>
      <c r="F1057" s="484" t="s">
        <v>473</v>
      </c>
      <c r="G1057" s="396"/>
      <c r="H1057" s="396"/>
      <c r="I1057" s="396"/>
      <c r="J1057" s="396" t="s">
        <v>794</v>
      </c>
      <c r="K1057" s="396" t="s">
        <v>794</v>
      </c>
      <c r="L1057" s="396" t="s">
        <v>794</v>
      </c>
      <c r="M1057" s="396" t="s">
        <v>294</v>
      </c>
      <c r="N1057" s="396">
        <v>20.463909149999999</v>
      </c>
      <c r="O1057" s="396">
        <v>92.675468440000003</v>
      </c>
      <c r="P1057" s="396" t="s">
        <v>795</v>
      </c>
      <c r="Q1057" s="396" t="s">
        <v>798</v>
      </c>
      <c r="R1057" s="486"/>
      <c r="S1057" s="486"/>
      <c r="T1057" s="412">
        <v>42926</v>
      </c>
      <c r="U1057" s="401" t="s">
        <v>799</v>
      </c>
      <c r="V1057" s="396"/>
      <c r="W1057" s="486"/>
    </row>
    <row r="1058" spans="1:23" ht="14.25" customHeight="1">
      <c r="A1058" s="504" t="s">
        <v>2647</v>
      </c>
      <c r="B1058" s="504" t="s">
        <v>337</v>
      </c>
      <c r="C1058" s="699" t="s">
        <v>513</v>
      </c>
      <c r="D1058" s="431" t="s">
        <v>1656</v>
      </c>
      <c r="E1058" s="396">
        <v>197706</v>
      </c>
      <c r="F1058" s="482" t="s">
        <v>513</v>
      </c>
      <c r="G1058" s="396"/>
      <c r="H1058" s="396"/>
      <c r="I1058" s="496"/>
      <c r="J1058" s="396" t="s">
        <v>794</v>
      </c>
      <c r="K1058" s="482" t="s">
        <v>794</v>
      </c>
      <c r="L1058" s="496" t="s">
        <v>794</v>
      </c>
      <c r="M1058" s="396" t="s">
        <v>294</v>
      </c>
      <c r="N1058" s="396">
        <v>20.643590929999998</v>
      </c>
      <c r="O1058" s="396">
        <v>92.722618100000005</v>
      </c>
      <c r="P1058" s="396" t="s">
        <v>795</v>
      </c>
      <c r="Q1058" s="396" t="s">
        <v>776</v>
      </c>
      <c r="R1058" s="486"/>
      <c r="S1058" s="486"/>
      <c r="T1058" s="412" t="s">
        <v>801</v>
      </c>
      <c r="U1058" s="401"/>
      <c r="V1058" s="482"/>
      <c r="W1058" s="516"/>
    </row>
    <row r="1059" spans="1:23" ht="14.25" customHeight="1">
      <c r="A1059" s="504" t="s">
        <v>2647</v>
      </c>
      <c r="B1059" s="519" t="s">
        <v>337</v>
      </c>
      <c r="C1059" s="700" t="s">
        <v>911</v>
      </c>
      <c r="D1059" s="431" t="s">
        <v>1656</v>
      </c>
      <c r="E1059" s="517">
        <v>197583</v>
      </c>
      <c r="F1059" s="520"/>
      <c r="G1059" s="520"/>
      <c r="H1059" s="520"/>
      <c r="I1059" s="496"/>
      <c r="J1059" s="520" t="s">
        <v>794</v>
      </c>
      <c r="K1059" s="520" t="s">
        <v>794</v>
      </c>
      <c r="L1059" s="496" t="s">
        <v>794</v>
      </c>
      <c r="M1059" s="520"/>
      <c r="N1059" s="520">
        <v>20.598709110000001</v>
      </c>
      <c r="O1059" s="520">
        <v>92.664337160000002</v>
      </c>
      <c r="P1059" s="520" t="s">
        <v>795</v>
      </c>
      <c r="Q1059" s="520"/>
      <c r="R1059" s="486"/>
      <c r="S1059" s="486"/>
      <c r="T1059" s="521"/>
      <c r="U1059" s="522"/>
      <c r="V1059" s="520" t="s">
        <v>911</v>
      </c>
      <c r="W1059" s="516"/>
    </row>
    <row r="1060" spans="1:23" ht="14.25" customHeight="1">
      <c r="A1060" s="504" t="s">
        <v>2647</v>
      </c>
      <c r="B1060" s="504" t="s">
        <v>337</v>
      </c>
      <c r="C1060" s="504" t="s">
        <v>485</v>
      </c>
      <c r="D1060" s="431" t="s">
        <v>1656</v>
      </c>
      <c r="E1060" s="396">
        <v>197615</v>
      </c>
      <c r="F1060" s="482"/>
      <c r="G1060" s="396"/>
      <c r="H1060" s="396"/>
      <c r="I1060" s="396"/>
      <c r="J1060" s="396" t="s">
        <v>794</v>
      </c>
      <c r="K1060" s="396" t="s">
        <v>794</v>
      </c>
      <c r="L1060" s="396" t="s">
        <v>794</v>
      </c>
      <c r="M1060" s="396" t="s">
        <v>294</v>
      </c>
      <c r="N1060" s="396">
        <v>20.502599719999999</v>
      </c>
      <c r="O1060" s="396">
        <v>92.6474762</v>
      </c>
      <c r="P1060" s="396" t="s">
        <v>795</v>
      </c>
      <c r="Q1060" s="396" t="s">
        <v>798</v>
      </c>
      <c r="R1060" s="490"/>
      <c r="S1060" s="491"/>
      <c r="T1060" s="412">
        <v>42926</v>
      </c>
      <c r="U1060" s="401" t="s">
        <v>799</v>
      </c>
      <c r="V1060" s="396"/>
      <c r="W1060" s="486"/>
    </row>
    <row r="1061" spans="1:23" ht="14.25" customHeight="1">
      <c r="A1061" s="504" t="s">
        <v>2647</v>
      </c>
      <c r="B1061" s="504" t="s">
        <v>337</v>
      </c>
      <c r="C1061" s="504" t="s">
        <v>902</v>
      </c>
      <c r="D1061" s="431" t="s">
        <v>1656</v>
      </c>
      <c r="E1061" s="396">
        <v>197608</v>
      </c>
      <c r="F1061" s="396"/>
      <c r="G1061" s="396"/>
      <c r="H1061" s="396"/>
      <c r="I1061" s="396"/>
      <c r="J1061" s="396" t="s">
        <v>794</v>
      </c>
      <c r="K1061" s="396" t="s">
        <v>794</v>
      </c>
      <c r="L1061" s="396" t="s">
        <v>794</v>
      </c>
      <c r="M1061" s="396" t="s">
        <v>294</v>
      </c>
      <c r="N1061" s="396">
        <v>20.521270749999999</v>
      </c>
      <c r="O1061" s="396">
        <v>92.686096190000001</v>
      </c>
      <c r="P1061" s="396" t="s">
        <v>795</v>
      </c>
      <c r="Q1061" s="396"/>
      <c r="R1061" s="490"/>
      <c r="S1061" s="491"/>
      <c r="T1061" s="412"/>
      <c r="U1061" s="401"/>
      <c r="V1061" s="396" t="s">
        <v>902</v>
      </c>
      <c r="W1061" s="486"/>
    </row>
    <row r="1062" spans="1:23" ht="14.25" customHeight="1">
      <c r="A1062" s="504" t="s">
        <v>2647</v>
      </c>
      <c r="B1062" s="504" t="s">
        <v>337</v>
      </c>
      <c r="C1062" s="504" t="s">
        <v>480</v>
      </c>
      <c r="D1062" s="431" t="s">
        <v>1656</v>
      </c>
      <c r="E1062" s="396">
        <v>197618</v>
      </c>
      <c r="F1062" s="484"/>
      <c r="G1062" s="396"/>
      <c r="H1062" s="396"/>
      <c r="I1062" s="396"/>
      <c r="J1062" s="396" t="s">
        <v>794</v>
      </c>
      <c r="K1062" s="396" t="s">
        <v>794</v>
      </c>
      <c r="L1062" s="396" t="s">
        <v>794</v>
      </c>
      <c r="M1062" s="396" t="s">
        <v>294</v>
      </c>
      <c r="N1062" s="396">
        <v>20.480100629999999</v>
      </c>
      <c r="O1062" s="396">
        <v>92.70481873</v>
      </c>
      <c r="P1062" s="396" t="s">
        <v>795</v>
      </c>
      <c r="Q1062" s="396" t="s">
        <v>798</v>
      </c>
      <c r="R1062" s="399"/>
      <c r="S1062" s="486"/>
      <c r="T1062" s="412">
        <v>42926</v>
      </c>
      <c r="U1062" s="401" t="s">
        <v>799</v>
      </c>
      <c r="V1062" s="396"/>
      <c r="W1062" s="486"/>
    </row>
    <row r="1063" spans="1:23" ht="14.25" customHeight="1">
      <c r="A1063" s="504" t="s">
        <v>2647</v>
      </c>
      <c r="B1063" s="504" t="s">
        <v>337</v>
      </c>
      <c r="C1063" s="504" t="s">
        <v>512</v>
      </c>
      <c r="D1063" s="431" t="s">
        <v>1656</v>
      </c>
      <c r="E1063" s="482">
        <v>197707</v>
      </c>
      <c r="F1063" s="482"/>
      <c r="G1063" s="396"/>
      <c r="H1063" s="396"/>
      <c r="I1063" s="482"/>
      <c r="J1063" s="396" t="s">
        <v>794</v>
      </c>
      <c r="K1063" s="396" t="s">
        <v>794</v>
      </c>
      <c r="L1063" s="396" t="s">
        <v>794</v>
      </c>
      <c r="M1063" s="396" t="s">
        <v>294</v>
      </c>
      <c r="N1063" s="396">
        <v>20.639530180000001</v>
      </c>
      <c r="O1063" s="396">
        <v>92.721908569999997</v>
      </c>
      <c r="P1063" s="396" t="s">
        <v>795</v>
      </c>
      <c r="Q1063" s="396" t="s">
        <v>776</v>
      </c>
      <c r="R1063" s="486"/>
      <c r="S1063" s="486"/>
      <c r="T1063" s="412" t="s">
        <v>801</v>
      </c>
      <c r="U1063" s="488"/>
      <c r="V1063" s="482"/>
      <c r="W1063" s="486"/>
    </row>
    <row r="1064" spans="1:23" ht="14.25" customHeight="1">
      <c r="A1064" s="504" t="s">
        <v>2647</v>
      </c>
      <c r="B1064" s="504" t="s">
        <v>337</v>
      </c>
      <c r="C1064" s="504" t="s">
        <v>504</v>
      </c>
      <c r="D1064" s="431" t="s">
        <v>1656</v>
      </c>
      <c r="E1064" s="482">
        <v>197580</v>
      </c>
      <c r="F1064" s="396"/>
      <c r="G1064" s="396"/>
      <c r="H1064" s="396"/>
      <c r="I1064" s="396"/>
      <c r="J1064" s="396" t="s">
        <v>794</v>
      </c>
      <c r="K1064" s="396" t="s">
        <v>794</v>
      </c>
      <c r="L1064" s="396" t="s">
        <v>794</v>
      </c>
      <c r="M1064" s="396" t="s">
        <v>294</v>
      </c>
      <c r="N1064" s="396">
        <v>20.582699999999999</v>
      </c>
      <c r="O1064" s="396">
        <v>92.664699999999996</v>
      </c>
      <c r="P1064" s="396" t="s">
        <v>795</v>
      </c>
      <c r="Q1064" s="396" t="s">
        <v>776</v>
      </c>
      <c r="R1064" s="399"/>
      <c r="S1064" s="486"/>
      <c r="T1064" s="412"/>
      <c r="U1064" s="401"/>
      <c r="V1064" s="396" t="s">
        <v>504</v>
      </c>
      <c r="W1064" s="486"/>
    </row>
    <row r="1065" spans="1:23" ht="14.25" customHeight="1">
      <c r="A1065" s="504" t="s">
        <v>2647</v>
      </c>
      <c r="B1065" s="504" t="s">
        <v>337</v>
      </c>
      <c r="C1065" s="504" t="s">
        <v>477</v>
      </c>
      <c r="D1065" s="431" t="s">
        <v>1656</v>
      </c>
      <c r="E1065" s="396">
        <v>197630</v>
      </c>
      <c r="F1065" s="396"/>
      <c r="G1065" s="396"/>
      <c r="H1065" s="396"/>
      <c r="I1065" s="396"/>
      <c r="J1065" s="396" t="s">
        <v>794</v>
      </c>
      <c r="K1065" s="396" t="s">
        <v>794</v>
      </c>
      <c r="L1065" s="396" t="s">
        <v>794</v>
      </c>
      <c r="M1065" s="396" t="s">
        <v>294</v>
      </c>
      <c r="N1065" s="396">
        <v>20.470119480000001</v>
      </c>
      <c r="O1065" s="396">
        <v>92.672653199999999</v>
      </c>
      <c r="P1065" s="396" t="s">
        <v>795</v>
      </c>
      <c r="Q1065" s="396" t="s">
        <v>798</v>
      </c>
      <c r="R1065" s="490"/>
      <c r="S1065" s="491"/>
      <c r="T1065" s="412">
        <v>42926</v>
      </c>
      <c r="U1065" s="488" t="s">
        <v>799</v>
      </c>
      <c r="V1065" s="482"/>
      <c r="W1065" s="486"/>
    </row>
    <row r="1066" spans="1:23" ht="14.25" customHeight="1">
      <c r="A1066" s="504" t="s">
        <v>2647</v>
      </c>
      <c r="B1066" s="504" t="s">
        <v>337</v>
      </c>
      <c r="C1066" s="504" t="s">
        <v>1907</v>
      </c>
      <c r="D1066" s="431"/>
      <c r="E1066" s="396">
        <v>197611</v>
      </c>
      <c r="F1066" s="482" t="s">
        <v>1907</v>
      </c>
      <c r="G1066" s="396"/>
      <c r="H1066" s="396"/>
      <c r="I1066" s="482"/>
      <c r="J1066" s="396" t="s">
        <v>794</v>
      </c>
      <c r="K1066" s="396" t="s">
        <v>794</v>
      </c>
      <c r="L1066" s="396" t="s">
        <v>794</v>
      </c>
      <c r="M1066" s="396" t="s">
        <v>294</v>
      </c>
      <c r="N1066" s="482">
        <v>20.504730219999999</v>
      </c>
      <c r="O1066" s="482">
        <v>92.6831131</v>
      </c>
      <c r="P1066" s="396" t="s">
        <v>795</v>
      </c>
      <c r="Q1066" s="396" t="s">
        <v>1904</v>
      </c>
      <c r="R1066" s="486"/>
      <c r="S1066" s="486"/>
      <c r="T1066" s="412">
        <v>43245</v>
      </c>
      <c r="U1066" s="401"/>
      <c r="V1066" s="482"/>
      <c r="W1066" s="486"/>
    </row>
    <row r="1067" spans="1:23" ht="14.25" customHeight="1">
      <c r="A1067" s="504" t="s">
        <v>2647</v>
      </c>
      <c r="B1067" s="504" t="s">
        <v>337</v>
      </c>
      <c r="C1067" s="504" t="s">
        <v>1908</v>
      </c>
      <c r="D1067" s="431"/>
      <c r="E1067" s="396">
        <v>197613</v>
      </c>
      <c r="F1067" s="484"/>
      <c r="G1067" s="396"/>
      <c r="H1067" s="396"/>
      <c r="I1067" s="396"/>
      <c r="J1067" s="396" t="s">
        <v>794</v>
      </c>
      <c r="K1067" s="482" t="s">
        <v>794</v>
      </c>
      <c r="L1067" s="482" t="s">
        <v>794</v>
      </c>
      <c r="M1067" s="396" t="s">
        <v>294</v>
      </c>
      <c r="N1067" s="482">
        <v>20.49729919</v>
      </c>
      <c r="O1067" s="482">
        <v>92.683097840000002</v>
      </c>
      <c r="P1067" s="396" t="s">
        <v>795</v>
      </c>
      <c r="Q1067" s="396" t="s">
        <v>1904</v>
      </c>
      <c r="R1067" s="486"/>
      <c r="S1067" s="486"/>
      <c r="T1067" s="412">
        <v>43245</v>
      </c>
      <c r="U1067" s="401"/>
      <c r="V1067" s="396"/>
      <c r="W1067" s="486"/>
    </row>
    <row r="1068" spans="1:23" ht="14.25" customHeight="1">
      <c r="A1068" s="504" t="s">
        <v>2647</v>
      </c>
      <c r="B1068" s="504" t="s">
        <v>337</v>
      </c>
      <c r="C1068" s="504" t="s">
        <v>488</v>
      </c>
      <c r="D1068" s="431" t="s">
        <v>1656</v>
      </c>
      <c r="E1068" s="396">
        <v>197596</v>
      </c>
      <c r="F1068" s="482"/>
      <c r="G1068" s="396"/>
      <c r="H1068" s="396"/>
      <c r="I1068" s="396"/>
      <c r="J1068" s="396" t="s">
        <v>794</v>
      </c>
      <c r="K1068" s="396" t="s">
        <v>794</v>
      </c>
      <c r="L1068" s="396" t="s">
        <v>794</v>
      </c>
      <c r="M1068" s="396" t="s">
        <v>294</v>
      </c>
      <c r="N1068" s="396">
        <v>20.511900000000001</v>
      </c>
      <c r="O1068" s="396">
        <v>92.645300000000006</v>
      </c>
      <c r="P1068" s="396" t="s">
        <v>795</v>
      </c>
      <c r="Q1068" s="396" t="s">
        <v>776</v>
      </c>
      <c r="R1068" s="486"/>
      <c r="S1068" s="486"/>
      <c r="T1068" s="412"/>
      <c r="U1068" s="401"/>
      <c r="V1068" s="396" t="s">
        <v>488</v>
      </c>
      <c r="W1068" s="486"/>
    </row>
    <row r="1069" spans="1:23" ht="14.25" customHeight="1">
      <c r="A1069" s="504" t="s">
        <v>2647</v>
      </c>
      <c r="B1069" s="504" t="s">
        <v>337</v>
      </c>
      <c r="C1069" s="504" t="s">
        <v>470</v>
      </c>
      <c r="D1069" s="431" t="s">
        <v>1656</v>
      </c>
      <c r="E1069" s="396">
        <v>197621</v>
      </c>
      <c r="F1069" s="396"/>
      <c r="G1069" s="396"/>
      <c r="H1069" s="396"/>
      <c r="I1069" s="396"/>
      <c r="J1069" s="396" t="s">
        <v>794</v>
      </c>
      <c r="K1069" s="396" t="s">
        <v>794</v>
      </c>
      <c r="L1069" s="396" t="s">
        <v>794</v>
      </c>
      <c r="M1069" s="396" t="s">
        <v>294</v>
      </c>
      <c r="N1069" s="396">
        <v>20.453830719999999</v>
      </c>
      <c r="O1069" s="396">
        <v>92.683090210000003</v>
      </c>
      <c r="P1069" s="396" t="s">
        <v>795</v>
      </c>
      <c r="Q1069" s="396" t="s">
        <v>798</v>
      </c>
      <c r="R1069" s="490"/>
      <c r="S1069" s="491"/>
      <c r="T1069" s="412">
        <v>42926</v>
      </c>
      <c r="U1069" s="488" t="s">
        <v>799</v>
      </c>
      <c r="V1069" s="396"/>
      <c r="W1069" s="486"/>
    </row>
    <row r="1070" spans="1:23" ht="14.25" customHeight="1">
      <c r="A1070" s="504" t="s">
        <v>2647</v>
      </c>
      <c r="B1070" s="504" t="s">
        <v>337</v>
      </c>
      <c r="C1070" s="504" t="s">
        <v>511</v>
      </c>
      <c r="D1070" s="431" t="s">
        <v>1656</v>
      </c>
      <c r="E1070" s="396">
        <v>197690</v>
      </c>
      <c r="F1070" s="396"/>
      <c r="G1070" s="396"/>
      <c r="H1070" s="396"/>
      <c r="I1070" s="396"/>
      <c r="J1070" s="396" t="s">
        <v>794</v>
      </c>
      <c r="K1070" s="482" t="s">
        <v>794</v>
      </c>
      <c r="L1070" s="482" t="s">
        <v>794</v>
      </c>
      <c r="M1070" s="396" t="s">
        <v>294</v>
      </c>
      <c r="N1070" s="396">
        <v>20.636510850000001</v>
      </c>
      <c r="O1070" s="396">
        <v>92.713378910000003</v>
      </c>
      <c r="P1070" s="396" t="s">
        <v>795</v>
      </c>
      <c r="Q1070" s="396" t="s">
        <v>776</v>
      </c>
      <c r="R1070" s="486"/>
      <c r="S1070" s="486"/>
      <c r="T1070" s="412" t="s">
        <v>801</v>
      </c>
      <c r="U1070" s="401"/>
      <c r="V1070" s="396"/>
      <c r="W1070" s="486"/>
    </row>
    <row r="1071" spans="1:23" ht="14.25" customHeight="1">
      <c r="A1071" s="504" t="s">
        <v>2647</v>
      </c>
      <c r="B1071" s="504" t="s">
        <v>337</v>
      </c>
      <c r="C1071" s="504" t="s">
        <v>497</v>
      </c>
      <c r="D1071" s="431" t="s">
        <v>1656</v>
      </c>
      <c r="E1071" s="396">
        <v>197597</v>
      </c>
      <c r="F1071" s="484"/>
      <c r="G1071" s="396"/>
      <c r="H1071" s="396"/>
      <c r="I1071" s="396"/>
      <c r="J1071" s="396" t="s">
        <v>794</v>
      </c>
      <c r="K1071" s="396" t="s">
        <v>794</v>
      </c>
      <c r="L1071" s="396" t="s">
        <v>794</v>
      </c>
      <c r="M1071" s="396" t="s">
        <v>791</v>
      </c>
      <c r="N1071" s="396">
        <v>20.550769809999998</v>
      </c>
      <c r="O1071" s="396">
        <v>92.650512699999993</v>
      </c>
      <c r="P1071" s="396" t="s">
        <v>795</v>
      </c>
      <c r="Q1071" s="396" t="s">
        <v>776</v>
      </c>
      <c r="R1071" s="486"/>
      <c r="S1071" s="486"/>
      <c r="T1071" s="412"/>
      <c r="U1071" s="401"/>
      <c r="V1071" s="396" t="s">
        <v>497</v>
      </c>
      <c r="W1071" s="486"/>
    </row>
    <row r="1072" spans="1:23" ht="14.25" customHeight="1">
      <c r="A1072" s="504" t="s">
        <v>2647</v>
      </c>
      <c r="B1072" s="504" t="s">
        <v>337</v>
      </c>
      <c r="C1072" s="504" t="s">
        <v>457</v>
      </c>
      <c r="D1072" s="431" t="s">
        <v>2288</v>
      </c>
      <c r="E1072" s="482" t="s">
        <v>1380</v>
      </c>
      <c r="F1072" s="482"/>
      <c r="G1072" s="396"/>
      <c r="H1072" s="396"/>
      <c r="I1072" s="482"/>
      <c r="J1072" s="396" t="s">
        <v>794</v>
      </c>
      <c r="K1072" s="396" t="s">
        <v>794</v>
      </c>
      <c r="L1072" s="396" t="s">
        <v>879</v>
      </c>
      <c r="M1072" s="396" t="s">
        <v>791</v>
      </c>
      <c r="N1072" s="396">
        <v>20.335864000000001</v>
      </c>
      <c r="O1072" s="396">
        <v>92.785706000000005</v>
      </c>
      <c r="P1072" s="396" t="s">
        <v>795</v>
      </c>
      <c r="Q1072" s="396" t="s">
        <v>776</v>
      </c>
      <c r="R1072" s="486">
        <v>56</v>
      </c>
      <c r="S1072" s="487">
        <v>332</v>
      </c>
      <c r="T1072" s="412"/>
      <c r="U1072" s="401"/>
      <c r="V1072" s="396" t="s">
        <v>880</v>
      </c>
      <c r="W1072" s="486"/>
    </row>
    <row r="1073" spans="1:23" ht="14.25" customHeight="1">
      <c r="A1073" s="504" t="s">
        <v>2647</v>
      </c>
      <c r="B1073" s="504" t="s">
        <v>337</v>
      </c>
      <c r="C1073" s="504" t="s">
        <v>458</v>
      </c>
      <c r="D1073" s="431" t="s">
        <v>1656</v>
      </c>
      <c r="E1073" s="396">
        <v>197779</v>
      </c>
      <c r="F1073" s="396"/>
      <c r="G1073" s="396"/>
      <c r="H1073" s="396"/>
      <c r="I1073" s="482"/>
      <c r="J1073" s="396" t="s">
        <v>794</v>
      </c>
      <c r="K1073" s="396" t="s">
        <v>794</v>
      </c>
      <c r="L1073" s="396" t="s">
        <v>794</v>
      </c>
      <c r="M1073" s="396" t="s">
        <v>294</v>
      </c>
      <c r="N1073" s="396">
        <v>20.339799880000001</v>
      </c>
      <c r="O1073" s="396">
        <v>92.782653809999999</v>
      </c>
      <c r="P1073" s="396" t="s">
        <v>795</v>
      </c>
      <c r="Q1073" s="396" t="s">
        <v>776</v>
      </c>
      <c r="R1073" s="490"/>
      <c r="S1073" s="491"/>
      <c r="T1073" s="412"/>
      <c r="U1073" s="488"/>
      <c r="V1073" s="396"/>
      <c r="W1073" s="486"/>
    </row>
    <row r="1074" spans="1:23" ht="14.25" customHeight="1">
      <c r="A1074" s="504" t="s">
        <v>2647</v>
      </c>
      <c r="B1074" s="504" t="s">
        <v>337</v>
      </c>
      <c r="C1074" s="504" t="s">
        <v>546</v>
      </c>
      <c r="D1074" s="431" t="s">
        <v>1656</v>
      </c>
      <c r="E1074" s="396">
        <v>197671</v>
      </c>
      <c r="F1074" s="396"/>
      <c r="G1074" s="396"/>
      <c r="H1074" s="396"/>
      <c r="I1074" s="396"/>
      <c r="J1074" s="396" t="s">
        <v>794</v>
      </c>
      <c r="K1074" s="396" t="s">
        <v>794</v>
      </c>
      <c r="L1074" s="396" t="s">
        <v>794</v>
      </c>
      <c r="M1074" s="396" t="s">
        <v>294</v>
      </c>
      <c r="N1074" s="396">
        <v>20.694499969999999</v>
      </c>
      <c r="O1074" s="396">
        <v>92.647750849999994</v>
      </c>
      <c r="P1074" s="396" t="s">
        <v>795</v>
      </c>
      <c r="Q1074" s="396" t="s">
        <v>776</v>
      </c>
      <c r="R1074" s="486"/>
      <c r="S1074" s="486"/>
      <c r="T1074" s="412" t="s">
        <v>776</v>
      </c>
      <c r="U1074" s="401"/>
      <c r="V1074" s="482"/>
      <c r="W1074" s="486"/>
    </row>
    <row r="1075" spans="1:23" ht="14.25" customHeight="1">
      <c r="A1075" s="504" t="s">
        <v>2647</v>
      </c>
      <c r="B1075" s="504" t="s">
        <v>337</v>
      </c>
      <c r="C1075" s="504" t="s">
        <v>539</v>
      </c>
      <c r="D1075" s="431" t="s">
        <v>1656</v>
      </c>
      <c r="E1075" s="482">
        <v>197672</v>
      </c>
      <c r="F1075" s="396" t="s">
        <v>539</v>
      </c>
      <c r="G1075" s="396"/>
      <c r="H1075" s="396"/>
      <c r="I1075" s="482"/>
      <c r="J1075" s="396" t="s">
        <v>794</v>
      </c>
      <c r="K1075" s="482" t="s">
        <v>794</v>
      </c>
      <c r="L1075" s="482" t="s">
        <v>794</v>
      </c>
      <c r="M1075" s="396" t="s">
        <v>294</v>
      </c>
      <c r="N1075" s="482">
        <v>20.686460490000002</v>
      </c>
      <c r="O1075" s="482">
        <v>92.682327270000002</v>
      </c>
      <c r="P1075" s="396" t="s">
        <v>795</v>
      </c>
      <c r="Q1075" s="396" t="s">
        <v>776</v>
      </c>
      <c r="R1075" s="486"/>
      <c r="S1075" s="486"/>
      <c r="T1075" s="412" t="s">
        <v>776</v>
      </c>
      <c r="U1075" s="488"/>
      <c r="V1075" s="484"/>
      <c r="W1075" s="486"/>
    </row>
    <row r="1076" spans="1:23" ht="14.25" customHeight="1">
      <c r="A1076" s="504" t="s">
        <v>2647</v>
      </c>
      <c r="B1076" s="504" t="s">
        <v>337</v>
      </c>
      <c r="C1076" s="504" t="s">
        <v>543</v>
      </c>
      <c r="D1076" s="431" t="s">
        <v>1656</v>
      </c>
      <c r="E1076" s="396">
        <v>197669</v>
      </c>
      <c r="F1076" s="484"/>
      <c r="G1076" s="396"/>
      <c r="H1076" s="396"/>
      <c r="I1076" s="482"/>
      <c r="J1076" s="396" t="s">
        <v>2652</v>
      </c>
      <c r="K1076" s="396" t="s">
        <v>2622</v>
      </c>
      <c r="L1076" s="396" t="s">
        <v>2622</v>
      </c>
      <c r="M1076" s="396" t="s">
        <v>294</v>
      </c>
      <c r="N1076" s="396">
        <v>20.688629150000001</v>
      </c>
      <c r="O1076" s="396">
        <v>92.652481080000001</v>
      </c>
      <c r="P1076" s="396" t="s">
        <v>795</v>
      </c>
      <c r="Q1076" s="396" t="s">
        <v>776</v>
      </c>
      <c r="R1076" s="486"/>
      <c r="S1076" s="486"/>
      <c r="T1076" s="412" t="s">
        <v>801</v>
      </c>
      <c r="U1076" s="401"/>
      <c r="V1076" s="396"/>
      <c r="W1076" s="486"/>
    </row>
    <row r="1077" spans="1:23" ht="14.25" customHeight="1">
      <c r="A1077" s="504" t="s">
        <v>2647</v>
      </c>
      <c r="B1077" s="511" t="s">
        <v>337</v>
      </c>
      <c r="C1077" s="511" t="s">
        <v>489</v>
      </c>
      <c r="D1077" s="431" t="s">
        <v>1656</v>
      </c>
      <c r="E1077" s="496">
        <v>197609</v>
      </c>
      <c r="F1077" s="482"/>
      <c r="G1077" s="482"/>
      <c r="H1077" s="496"/>
      <c r="I1077" s="496"/>
      <c r="J1077" s="496" t="s">
        <v>794</v>
      </c>
      <c r="K1077" s="496" t="s">
        <v>794</v>
      </c>
      <c r="L1077" s="496" t="s">
        <v>794</v>
      </c>
      <c r="M1077" s="496" t="s">
        <v>294</v>
      </c>
      <c r="N1077" s="496">
        <v>20.5177002</v>
      </c>
      <c r="O1077" s="496">
        <v>92.660263060000005</v>
      </c>
      <c r="P1077" s="482" t="s">
        <v>795</v>
      </c>
      <c r="Q1077" s="497" t="s">
        <v>776</v>
      </c>
      <c r="R1077" s="486"/>
      <c r="S1077" s="486"/>
      <c r="T1077" s="508"/>
      <c r="U1077" s="496"/>
      <c r="V1077" s="482" t="s">
        <v>489</v>
      </c>
      <c r="W1077" s="486"/>
    </row>
    <row r="1078" spans="1:23" ht="14.25" customHeight="1">
      <c r="A1078" s="504" t="s">
        <v>2647</v>
      </c>
      <c r="B1078" s="504" t="s">
        <v>337</v>
      </c>
      <c r="C1078" s="504" t="s">
        <v>493</v>
      </c>
      <c r="D1078" s="431" t="s">
        <v>1656</v>
      </c>
      <c r="E1078" s="482">
        <v>197599</v>
      </c>
      <c r="F1078" s="482"/>
      <c r="G1078" s="482"/>
      <c r="H1078" s="482"/>
      <c r="I1078" s="482"/>
      <c r="J1078" s="482" t="s">
        <v>794</v>
      </c>
      <c r="K1078" s="482" t="s">
        <v>794</v>
      </c>
      <c r="L1078" s="482" t="s">
        <v>794</v>
      </c>
      <c r="M1078" s="482" t="s">
        <v>294</v>
      </c>
      <c r="N1078" s="482">
        <v>20.543479919999999</v>
      </c>
      <c r="O1078" s="482">
        <v>92.676979059999994</v>
      </c>
      <c r="P1078" s="482" t="s">
        <v>795</v>
      </c>
      <c r="Q1078" s="482" t="s">
        <v>776</v>
      </c>
      <c r="R1078" s="486"/>
      <c r="S1078" s="486"/>
      <c r="T1078" s="506"/>
      <c r="U1078" s="488"/>
      <c r="V1078" s="482" t="s">
        <v>493</v>
      </c>
      <c r="W1078" s="486"/>
    </row>
    <row r="1079" spans="1:23" ht="14.25" customHeight="1">
      <c r="A1079" s="504" t="s">
        <v>2647</v>
      </c>
      <c r="B1079" s="504" t="s">
        <v>337</v>
      </c>
      <c r="C1079" s="504" t="s">
        <v>534</v>
      </c>
      <c r="D1079" s="485" t="s">
        <v>1656</v>
      </c>
      <c r="E1079" s="482">
        <v>197683</v>
      </c>
      <c r="F1079" s="484"/>
      <c r="G1079" s="482"/>
      <c r="H1079" s="482"/>
      <c r="I1079" s="482"/>
      <c r="J1079" s="482" t="s">
        <v>2652</v>
      </c>
      <c r="K1079" s="482" t="s">
        <v>2622</v>
      </c>
      <c r="L1079" s="482" t="s">
        <v>2622</v>
      </c>
      <c r="M1079" s="482" t="s">
        <v>294</v>
      </c>
      <c r="N1079" s="482">
        <v>20.678159709999999</v>
      </c>
      <c r="O1079" s="482">
        <v>92.713821409999994</v>
      </c>
      <c r="P1079" s="482" t="s">
        <v>795</v>
      </c>
      <c r="Q1079" s="482" t="s">
        <v>776</v>
      </c>
      <c r="R1079" s="484"/>
      <c r="S1079" s="484"/>
      <c r="T1079" s="506" t="s">
        <v>776</v>
      </c>
      <c r="U1079" s="488"/>
      <c r="V1079" s="482"/>
      <c r="W1079" s="486"/>
    </row>
    <row r="1080" spans="1:23" ht="14.25" customHeight="1">
      <c r="A1080" s="504" t="s">
        <v>2647</v>
      </c>
      <c r="B1080" s="514" t="s">
        <v>337</v>
      </c>
      <c r="C1080" s="452" t="s">
        <v>906</v>
      </c>
      <c r="D1080" s="485" t="s">
        <v>1656</v>
      </c>
      <c r="E1080" s="482">
        <v>220694</v>
      </c>
      <c r="F1080" s="482"/>
      <c r="G1080" s="482"/>
      <c r="H1080" s="482"/>
      <c r="I1080" s="482"/>
      <c r="J1080" s="482" t="s">
        <v>794</v>
      </c>
      <c r="K1080" s="482" t="s">
        <v>794</v>
      </c>
      <c r="L1080" s="484" t="s">
        <v>794</v>
      </c>
      <c r="M1080" s="482" t="s">
        <v>294</v>
      </c>
      <c r="N1080" s="482">
        <v>20.581470490000001</v>
      </c>
      <c r="O1080" s="482">
        <v>92.643272400000001</v>
      </c>
      <c r="P1080" s="482" t="s">
        <v>795</v>
      </c>
      <c r="Q1080" s="482"/>
      <c r="R1080" s="494"/>
      <c r="S1080" s="487"/>
      <c r="T1080" s="506"/>
      <c r="U1080" s="488"/>
      <c r="V1080" s="482" t="s">
        <v>907</v>
      </c>
      <c r="W1080" s="486"/>
    </row>
    <row r="1081" spans="1:23" ht="14.25" customHeight="1">
      <c r="A1081" s="504" t="s">
        <v>2647</v>
      </c>
      <c r="B1081" s="504" t="s">
        <v>337</v>
      </c>
      <c r="C1081" s="504" t="s">
        <v>338</v>
      </c>
      <c r="D1081" s="431" t="s">
        <v>1656</v>
      </c>
      <c r="E1081" s="482"/>
      <c r="F1081" s="482"/>
      <c r="G1081" s="482"/>
      <c r="H1081" s="482"/>
      <c r="I1081" s="482"/>
      <c r="J1081" s="482" t="s">
        <v>794</v>
      </c>
      <c r="K1081" s="482" t="s">
        <v>794</v>
      </c>
      <c r="L1081" s="482" t="s">
        <v>794</v>
      </c>
      <c r="M1081" s="482" t="s">
        <v>294</v>
      </c>
      <c r="N1081" s="482"/>
      <c r="O1081" s="482"/>
      <c r="P1081" s="482" t="s">
        <v>795</v>
      </c>
      <c r="Q1081" s="482" t="s">
        <v>776</v>
      </c>
      <c r="R1081" s="490"/>
      <c r="S1081" s="491"/>
      <c r="T1081" s="506" t="s">
        <v>801</v>
      </c>
      <c r="U1081" s="488"/>
      <c r="V1081" s="482"/>
      <c r="W1081" s="486"/>
    </row>
    <row r="1082" spans="1:23" ht="14.25" customHeight="1">
      <c r="A1082" s="504" t="s">
        <v>2647</v>
      </c>
      <c r="B1082" s="504" t="s">
        <v>337</v>
      </c>
      <c r="C1082" s="504" t="s">
        <v>2696</v>
      </c>
      <c r="D1082" s="431" t="s">
        <v>1656</v>
      </c>
      <c r="E1082" s="482">
        <v>197586</v>
      </c>
      <c r="F1082" s="482" t="s">
        <v>2007</v>
      </c>
      <c r="G1082" s="482"/>
      <c r="H1082" s="482"/>
      <c r="I1082" s="482"/>
      <c r="J1082" s="482" t="s">
        <v>794</v>
      </c>
      <c r="K1082" s="482" t="s">
        <v>794</v>
      </c>
      <c r="L1082" s="482" t="s">
        <v>794</v>
      </c>
      <c r="M1082" s="482" t="s">
        <v>294</v>
      </c>
      <c r="N1082" s="482">
        <v>20.58996964</v>
      </c>
      <c r="O1082" s="482">
        <v>92.691757199999998</v>
      </c>
      <c r="P1082" s="482" t="s">
        <v>795</v>
      </c>
      <c r="Q1082" s="482" t="s">
        <v>776</v>
      </c>
      <c r="R1082" s="486"/>
      <c r="S1082" s="486"/>
      <c r="T1082" s="506"/>
      <c r="U1082" s="488"/>
      <c r="V1082" s="482" t="s">
        <v>506</v>
      </c>
      <c r="W1082" s="518"/>
    </row>
    <row r="1083" spans="1:23" ht="14.25" customHeight="1">
      <c r="A1083" s="504" t="s">
        <v>2647</v>
      </c>
      <c r="B1083" s="504" t="s">
        <v>337</v>
      </c>
      <c r="C1083" s="504" t="s">
        <v>2800</v>
      </c>
      <c r="D1083" s="431" t="s">
        <v>1656</v>
      </c>
      <c r="E1083" s="482">
        <v>197589</v>
      </c>
      <c r="F1083" s="482" t="s">
        <v>904</v>
      </c>
      <c r="G1083" s="482"/>
      <c r="H1083" s="482"/>
      <c r="I1083" s="482"/>
      <c r="J1083" s="482" t="s">
        <v>2652</v>
      </c>
      <c r="K1083" s="482" t="s">
        <v>2622</v>
      </c>
      <c r="L1083" s="482" t="s">
        <v>2622</v>
      </c>
      <c r="M1083" s="482"/>
      <c r="N1083" s="482">
        <v>20.575780868530298</v>
      </c>
      <c r="O1083" s="482">
        <v>92.670402526855497</v>
      </c>
      <c r="P1083" s="482"/>
      <c r="Q1083" s="482"/>
      <c r="R1083" s="486"/>
      <c r="S1083" s="487"/>
      <c r="T1083" s="506"/>
      <c r="U1083" s="488"/>
      <c r="V1083" s="482" t="s">
        <v>2765</v>
      </c>
      <c r="W1083" s="486"/>
    </row>
    <row r="1084" spans="1:23" ht="14.25" customHeight="1">
      <c r="A1084" s="514" t="s">
        <v>2647</v>
      </c>
      <c r="B1084" s="514" t="s">
        <v>337</v>
      </c>
      <c r="C1084" s="452" t="s">
        <v>2771</v>
      </c>
      <c r="D1084" s="485"/>
      <c r="E1084" s="396"/>
      <c r="F1084" s="396"/>
      <c r="G1084" s="396"/>
      <c r="H1084" s="396"/>
      <c r="I1084" s="482"/>
      <c r="J1084" s="396" t="s">
        <v>2652</v>
      </c>
      <c r="K1084" s="396" t="s">
        <v>2622</v>
      </c>
      <c r="L1084" s="396" t="s">
        <v>2622</v>
      </c>
      <c r="M1084" s="396"/>
      <c r="N1084" s="396"/>
      <c r="O1084" s="396"/>
      <c r="P1084" s="396"/>
      <c r="Q1084" s="396"/>
      <c r="R1084" s="494"/>
      <c r="S1084" s="487"/>
      <c r="T1084" s="412">
        <v>43591</v>
      </c>
      <c r="U1084" s="494"/>
      <c r="V1084" s="491" t="s">
        <v>2771</v>
      </c>
      <c r="W1084" s="486"/>
    </row>
    <row r="1085" spans="1:23" ht="14.25" customHeight="1">
      <c r="A1085" s="504" t="s">
        <v>2647</v>
      </c>
      <c r="B1085" s="504" t="s">
        <v>337</v>
      </c>
      <c r="C1085" s="504" t="s">
        <v>883</v>
      </c>
      <c r="D1085" s="431" t="s">
        <v>1656</v>
      </c>
      <c r="E1085" s="482">
        <v>197765</v>
      </c>
      <c r="F1085" s="482"/>
      <c r="G1085" s="482"/>
      <c r="H1085" s="482"/>
      <c r="I1085" s="482"/>
      <c r="J1085" s="482" t="s">
        <v>794</v>
      </c>
      <c r="K1085" s="482" t="s">
        <v>794</v>
      </c>
      <c r="L1085" s="482" t="s">
        <v>794</v>
      </c>
      <c r="M1085" s="482" t="s">
        <v>294</v>
      </c>
      <c r="N1085" s="482">
        <v>20.3917</v>
      </c>
      <c r="O1085" s="482">
        <v>92.770899999999997</v>
      </c>
      <c r="P1085" s="482" t="s">
        <v>795</v>
      </c>
      <c r="Q1085" s="482"/>
      <c r="R1085" s="486"/>
      <c r="S1085" s="486"/>
      <c r="T1085" s="506"/>
      <c r="U1085" s="488"/>
      <c r="V1085" s="482" t="s">
        <v>883</v>
      </c>
      <c r="W1085" s="486"/>
    </row>
    <row r="1086" spans="1:23" ht="14.25" customHeight="1">
      <c r="A1086" s="514" t="s">
        <v>2647</v>
      </c>
      <c r="B1086" s="514" t="s">
        <v>337</v>
      </c>
      <c r="C1086" s="452" t="s">
        <v>2772</v>
      </c>
      <c r="D1086" s="485"/>
      <c r="E1086" s="482"/>
      <c r="F1086" s="482"/>
      <c r="G1086" s="482"/>
      <c r="H1086" s="482"/>
      <c r="I1086" s="482"/>
      <c r="J1086" s="482" t="s">
        <v>2652</v>
      </c>
      <c r="K1086" s="482" t="s">
        <v>2622</v>
      </c>
      <c r="L1086" s="482" t="s">
        <v>2622</v>
      </c>
      <c r="M1086" s="482"/>
      <c r="N1086" s="482"/>
      <c r="O1086" s="482"/>
      <c r="P1086" s="482"/>
      <c r="Q1086" s="482"/>
      <c r="R1086" s="494"/>
      <c r="S1086" s="487"/>
      <c r="T1086" s="506">
        <v>43591</v>
      </c>
      <c r="U1086" s="494"/>
      <c r="V1086" s="482"/>
      <c r="W1086" s="486"/>
    </row>
    <row r="1087" spans="1:23" ht="14.25" customHeight="1">
      <c r="A1087" s="504" t="s">
        <v>2647</v>
      </c>
      <c r="B1087" s="504" t="s">
        <v>337</v>
      </c>
      <c r="C1087" s="504" t="s">
        <v>561</v>
      </c>
      <c r="D1087" s="431" t="s">
        <v>1656</v>
      </c>
      <c r="E1087" s="482">
        <v>197666</v>
      </c>
      <c r="F1087" s="484"/>
      <c r="G1087" s="482"/>
      <c r="H1087" s="482"/>
      <c r="I1087" s="482"/>
      <c r="J1087" s="482" t="s">
        <v>794</v>
      </c>
      <c r="K1087" s="482" t="s">
        <v>794</v>
      </c>
      <c r="L1087" s="482" t="s">
        <v>794</v>
      </c>
      <c r="M1087" s="482" t="s">
        <v>791</v>
      </c>
      <c r="N1087" s="482">
        <v>20.716560359999999</v>
      </c>
      <c r="O1087" s="482">
        <v>92.645408630000006</v>
      </c>
      <c r="P1087" s="482" t="s">
        <v>795</v>
      </c>
      <c r="Q1087" s="482" t="s">
        <v>776</v>
      </c>
      <c r="R1087" s="490"/>
      <c r="S1087" s="491"/>
      <c r="T1087" s="506" t="s">
        <v>801</v>
      </c>
      <c r="U1087" s="488"/>
      <c r="V1087" s="482"/>
      <c r="W1087" s="486"/>
    </row>
    <row r="1088" spans="1:23" ht="14.25" customHeight="1">
      <c r="A1088" s="504" t="s">
        <v>2647</v>
      </c>
      <c r="B1088" s="504" t="s">
        <v>337</v>
      </c>
      <c r="C1088" s="504" t="s">
        <v>571</v>
      </c>
      <c r="D1088" s="431" t="s">
        <v>1656</v>
      </c>
      <c r="E1088" s="482">
        <v>197665</v>
      </c>
      <c r="F1088" s="484"/>
      <c r="G1088" s="482"/>
      <c r="H1088" s="482"/>
      <c r="I1088" s="482"/>
      <c r="J1088" s="482" t="s">
        <v>794</v>
      </c>
      <c r="K1088" s="482" t="s">
        <v>794</v>
      </c>
      <c r="L1088" s="482" t="s">
        <v>794</v>
      </c>
      <c r="M1088" s="482" t="s">
        <v>294</v>
      </c>
      <c r="N1088" s="482">
        <v>20.72533035</v>
      </c>
      <c r="O1088" s="482">
        <v>92.64795685</v>
      </c>
      <c r="P1088" s="482" t="s">
        <v>795</v>
      </c>
      <c r="Q1088" s="482" t="s">
        <v>776</v>
      </c>
      <c r="R1088" s="490"/>
      <c r="S1088" s="491"/>
      <c r="T1088" s="506" t="s">
        <v>801</v>
      </c>
      <c r="U1088" s="488"/>
      <c r="V1088" s="482"/>
      <c r="W1088" s="486"/>
    </row>
    <row r="1089" spans="1:23" ht="14.25" customHeight="1">
      <c r="A1089" s="504" t="s">
        <v>2647</v>
      </c>
      <c r="B1089" s="504" t="s">
        <v>337</v>
      </c>
      <c r="C1089" s="504" t="s">
        <v>491</v>
      </c>
      <c r="D1089" s="431" t="s">
        <v>1656</v>
      </c>
      <c r="E1089" s="482">
        <v>197595</v>
      </c>
      <c r="F1089" s="482" t="s">
        <v>501</v>
      </c>
      <c r="G1089" s="482"/>
      <c r="H1089" s="482"/>
      <c r="I1089" s="482"/>
      <c r="J1089" s="482" t="s">
        <v>794</v>
      </c>
      <c r="K1089" s="482" t="s">
        <v>794</v>
      </c>
      <c r="L1089" s="482" t="s">
        <v>794</v>
      </c>
      <c r="M1089" s="482" t="s">
        <v>294</v>
      </c>
      <c r="N1089" s="482">
        <v>20.523090360000001</v>
      </c>
      <c r="O1089" s="482">
        <v>92.637947080000004</v>
      </c>
      <c r="P1089" s="482" t="s">
        <v>795</v>
      </c>
      <c r="Q1089" s="482" t="s">
        <v>776</v>
      </c>
      <c r="R1089" s="486"/>
      <c r="S1089" s="487"/>
      <c r="T1089" s="506"/>
      <c r="U1089" s="488"/>
      <c r="V1089" s="482" t="s">
        <v>491</v>
      </c>
      <c r="W1089" s="486"/>
    </row>
    <row r="1090" spans="1:23" ht="14.25" customHeight="1">
      <c r="A1090" s="514" t="s">
        <v>2647</v>
      </c>
      <c r="B1090" s="514" t="s">
        <v>337</v>
      </c>
      <c r="C1090" s="452" t="s">
        <v>2770</v>
      </c>
      <c r="D1090" s="485"/>
      <c r="E1090" s="482">
        <v>197677</v>
      </c>
      <c r="F1090" s="482"/>
      <c r="G1090" s="482"/>
      <c r="H1090" s="482"/>
      <c r="I1090" s="482"/>
      <c r="J1090" s="482" t="s">
        <v>2652</v>
      </c>
      <c r="K1090" s="482" t="s">
        <v>2622</v>
      </c>
      <c r="L1090" s="482" t="s">
        <v>2622</v>
      </c>
      <c r="M1090" s="482"/>
      <c r="N1090" s="482">
        <v>20.660871505737301</v>
      </c>
      <c r="O1090" s="482">
        <v>92.683090209960895</v>
      </c>
      <c r="P1090" s="482"/>
      <c r="Q1090" s="482"/>
      <c r="R1090" s="494"/>
      <c r="S1090" s="487"/>
      <c r="T1090" s="506">
        <v>43591</v>
      </c>
      <c r="U1090" s="494"/>
      <c r="V1090" s="482"/>
      <c r="W1090" s="486"/>
    </row>
    <row r="1091" spans="1:23" ht="14.25" customHeight="1">
      <c r="A1091" s="504" t="s">
        <v>2647</v>
      </c>
      <c r="B1091" s="504" t="s">
        <v>337</v>
      </c>
      <c r="C1091" s="504" t="s">
        <v>496</v>
      </c>
      <c r="D1091" s="431" t="s">
        <v>1656</v>
      </c>
      <c r="E1091" s="482">
        <v>197600</v>
      </c>
      <c r="F1091" s="482"/>
      <c r="G1091" s="482"/>
      <c r="H1091" s="482"/>
      <c r="I1091" s="482"/>
      <c r="J1091" s="482" t="s">
        <v>794</v>
      </c>
      <c r="K1091" s="482" t="s">
        <v>794</v>
      </c>
      <c r="L1091" s="482" t="s">
        <v>794</v>
      </c>
      <c r="M1091" s="482" t="s">
        <v>791</v>
      </c>
      <c r="N1091" s="482">
        <v>20.550130840000001</v>
      </c>
      <c r="O1091" s="482">
        <v>92.656723020000001</v>
      </c>
      <c r="P1091" s="482" t="s">
        <v>795</v>
      </c>
      <c r="Q1091" s="482" t="s">
        <v>776</v>
      </c>
      <c r="R1091" s="486"/>
      <c r="S1091" s="487"/>
      <c r="T1091" s="506"/>
      <c r="U1091" s="488"/>
      <c r="V1091" s="482" t="s">
        <v>496</v>
      </c>
      <c r="W1091" s="486"/>
    </row>
    <row r="1092" spans="1:23" ht="14.25" customHeight="1">
      <c r="A1092" s="504" t="s">
        <v>2647</v>
      </c>
      <c r="B1092" s="504" t="s">
        <v>337</v>
      </c>
      <c r="C1092" s="504" t="s">
        <v>482</v>
      </c>
      <c r="D1092" s="431" t="s">
        <v>1656</v>
      </c>
      <c r="E1092" s="482">
        <v>197614</v>
      </c>
      <c r="F1092" s="482" t="s">
        <v>482</v>
      </c>
      <c r="G1092" s="482"/>
      <c r="H1092" s="482"/>
      <c r="I1092" s="482"/>
      <c r="J1092" s="482" t="s">
        <v>794</v>
      </c>
      <c r="K1092" s="482" t="s">
        <v>794</v>
      </c>
      <c r="L1092" s="482" t="s">
        <v>794</v>
      </c>
      <c r="M1092" s="482" t="s">
        <v>294</v>
      </c>
      <c r="N1092" s="482">
        <v>20.48693085</v>
      </c>
      <c r="O1092" s="482">
        <v>92.662757869999993</v>
      </c>
      <c r="P1092" s="482" t="s">
        <v>795</v>
      </c>
      <c r="Q1092" s="482" t="s">
        <v>798</v>
      </c>
      <c r="R1092" s="486"/>
      <c r="S1092" s="486"/>
      <c r="T1092" s="506">
        <v>42926</v>
      </c>
      <c r="U1092" s="488" t="s">
        <v>799</v>
      </c>
      <c r="V1092" s="482"/>
      <c r="W1092" s="486"/>
    </row>
    <row r="1093" spans="1:23" ht="14.25" customHeight="1">
      <c r="A1093" s="504" t="s">
        <v>2647</v>
      </c>
      <c r="B1093" s="504" t="s">
        <v>337</v>
      </c>
      <c r="C1093" s="504" t="s">
        <v>479</v>
      </c>
      <c r="D1093" s="431" t="s">
        <v>1656</v>
      </c>
      <c r="E1093" s="482">
        <v>197617</v>
      </c>
      <c r="F1093" s="484" t="s">
        <v>479</v>
      </c>
      <c r="G1093" s="482"/>
      <c r="H1093" s="482"/>
      <c r="I1093" s="482"/>
      <c r="J1093" s="482" t="s">
        <v>794</v>
      </c>
      <c r="K1093" s="482" t="s">
        <v>794</v>
      </c>
      <c r="L1093" s="482" t="s">
        <v>794</v>
      </c>
      <c r="M1093" s="482" t="s">
        <v>294</v>
      </c>
      <c r="N1093" s="482">
        <v>20.47896957</v>
      </c>
      <c r="O1093" s="482">
        <v>92.683746339999999</v>
      </c>
      <c r="P1093" s="482" t="s">
        <v>795</v>
      </c>
      <c r="Q1093" s="482" t="s">
        <v>798</v>
      </c>
      <c r="R1093" s="486"/>
      <c r="S1093" s="487"/>
      <c r="T1093" s="506">
        <v>42926</v>
      </c>
      <c r="U1093" s="488" t="s">
        <v>799</v>
      </c>
      <c r="V1093" s="482"/>
      <c r="W1093" s="486"/>
    </row>
    <row r="1094" spans="1:23" ht="14.25" customHeight="1">
      <c r="A1094" s="514" t="s">
        <v>2647</v>
      </c>
      <c r="B1094" s="514" t="s">
        <v>337</v>
      </c>
      <c r="C1094" s="452" t="s">
        <v>2766</v>
      </c>
      <c r="D1094" s="485"/>
      <c r="E1094" s="482"/>
      <c r="F1094" s="482"/>
      <c r="G1094" s="482"/>
      <c r="H1094" s="482"/>
      <c r="I1094" s="482"/>
      <c r="J1094" s="482" t="s">
        <v>2652</v>
      </c>
      <c r="K1094" s="482" t="s">
        <v>2622</v>
      </c>
      <c r="L1094" s="482" t="s">
        <v>2622</v>
      </c>
      <c r="M1094" s="482"/>
      <c r="N1094" s="482"/>
      <c r="O1094" s="482"/>
      <c r="P1094" s="482"/>
      <c r="Q1094" s="482"/>
      <c r="R1094" s="494"/>
      <c r="S1094" s="487"/>
      <c r="T1094" s="506">
        <v>43591</v>
      </c>
      <c r="U1094" s="494"/>
      <c r="V1094" s="482"/>
      <c r="W1094" s="486"/>
    </row>
    <row r="1095" spans="1:23" ht="14.25" customHeight="1">
      <c r="A1095" s="504" t="s">
        <v>2647</v>
      </c>
      <c r="B1095" s="504" t="s">
        <v>337</v>
      </c>
      <c r="C1095" s="504" t="s">
        <v>523</v>
      </c>
      <c r="D1095" s="431" t="s">
        <v>1656</v>
      </c>
      <c r="E1095" s="482">
        <v>197673</v>
      </c>
      <c r="F1095" s="482"/>
      <c r="G1095" s="482"/>
      <c r="H1095" s="482"/>
      <c r="I1095" s="482"/>
      <c r="J1095" s="482" t="s">
        <v>2652</v>
      </c>
      <c r="K1095" s="482" t="s">
        <v>2622</v>
      </c>
      <c r="L1095" s="482" t="s">
        <v>2622</v>
      </c>
      <c r="M1095" s="482" t="s">
        <v>294</v>
      </c>
      <c r="N1095" s="482">
        <v>20.66592979</v>
      </c>
      <c r="O1095" s="482">
        <v>92.672691349999994</v>
      </c>
      <c r="P1095" s="482" t="s">
        <v>795</v>
      </c>
      <c r="Q1095" s="482" t="s">
        <v>776</v>
      </c>
      <c r="R1095" s="486"/>
      <c r="S1095" s="487"/>
      <c r="T1095" s="506" t="s">
        <v>776</v>
      </c>
      <c r="U1095" s="488"/>
      <c r="V1095" s="482"/>
      <c r="W1095" s="486"/>
    </row>
    <row r="1096" spans="1:23" ht="14.25" customHeight="1">
      <c r="A1096" s="514" t="s">
        <v>2647</v>
      </c>
      <c r="B1096" s="514" t="s">
        <v>337</v>
      </c>
      <c r="C1096" s="452" t="s">
        <v>527</v>
      </c>
      <c r="D1096" s="485"/>
      <c r="E1096" s="482">
        <v>197675</v>
      </c>
      <c r="F1096" s="482"/>
      <c r="G1096" s="482"/>
      <c r="H1096" s="482"/>
      <c r="I1096" s="482"/>
      <c r="J1096" s="482" t="s">
        <v>2652</v>
      </c>
      <c r="K1096" s="482" t="s">
        <v>2622</v>
      </c>
      <c r="L1096" s="482" t="s">
        <v>2622</v>
      </c>
      <c r="M1096" s="482" t="s">
        <v>294</v>
      </c>
      <c r="N1096" s="482">
        <v>20.670539860000002</v>
      </c>
      <c r="O1096" s="482">
        <v>92.703033450000007</v>
      </c>
      <c r="P1096" s="482" t="s">
        <v>795</v>
      </c>
      <c r="Q1096" s="482"/>
      <c r="R1096" s="494"/>
      <c r="S1096" s="487"/>
      <c r="T1096" s="506">
        <v>43591</v>
      </c>
      <c r="U1096" s="494"/>
      <c r="V1096" s="482"/>
      <c r="W1096" s="486"/>
    </row>
    <row r="1097" spans="1:23" ht="14.25" customHeight="1">
      <c r="A1097" s="504" t="s">
        <v>2647</v>
      </c>
      <c r="B1097" s="504" t="s">
        <v>337</v>
      </c>
      <c r="C1097" s="504" t="s">
        <v>476</v>
      </c>
      <c r="D1097" s="431" t="s">
        <v>1656</v>
      </c>
      <c r="E1097" s="482">
        <v>197632</v>
      </c>
      <c r="F1097" s="482"/>
      <c r="G1097" s="482"/>
      <c r="H1097" s="482"/>
      <c r="I1097" s="482"/>
      <c r="J1097" s="482" t="s">
        <v>794</v>
      </c>
      <c r="K1097" s="482" t="s">
        <v>794</v>
      </c>
      <c r="L1097" s="482" t="s">
        <v>794</v>
      </c>
      <c r="M1097" s="482" t="s">
        <v>294</v>
      </c>
      <c r="N1097" s="482">
        <v>20.469949719999999</v>
      </c>
      <c r="O1097" s="482">
        <v>92.676437379999996</v>
      </c>
      <c r="P1097" s="482" t="s">
        <v>795</v>
      </c>
      <c r="Q1097" s="482" t="s">
        <v>798</v>
      </c>
      <c r="R1097" s="486"/>
      <c r="S1097" s="487"/>
      <c r="T1097" s="506">
        <v>42926</v>
      </c>
      <c r="U1097" s="488" t="s">
        <v>799</v>
      </c>
      <c r="V1097" s="482"/>
      <c r="W1097" s="486"/>
    </row>
    <row r="1098" spans="1:23" ht="14.25" customHeight="1">
      <c r="A1098" s="504" t="s">
        <v>294</v>
      </c>
      <c r="B1098" s="504" t="s">
        <v>325</v>
      </c>
      <c r="C1098" s="504" t="s">
        <v>384</v>
      </c>
      <c r="D1098" s="431" t="s">
        <v>1656</v>
      </c>
      <c r="E1098" s="482">
        <v>199157</v>
      </c>
      <c r="F1098" s="482"/>
      <c r="G1098" s="482"/>
      <c r="H1098" s="482"/>
      <c r="I1098" s="482"/>
      <c r="J1098" s="482" t="s">
        <v>800</v>
      </c>
      <c r="K1098" s="482" t="s">
        <v>794</v>
      </c>
      <c r="L1098" s="482" t="s">
        <v>800</v>
      </c>
      <c r="M1098" s="482" t="s">
        <v>803</v>
      </c>
      <c r="N1098" s="482">
        <v>19.726810459999999</v>
      </c>
      <c r="O1098" s="482">
        <v>94.028686519999994</v>
      </c>
      <c r="P1098" s="482" t="s">
        <v>919</v>
      </c>
      <c r="Q1098" s="482" t="s">
        <v>776</v>
      </c>
      <c r="R1098" s="486"/>
      <c r="S1098" s="487"/>
      <c r="T1098" s="506" t="s">
        <v>801</v>
      </c>
      <c r="U1098" s="488"/>
      <c r="V1098" s="482" t="s">
        <v>384</v>
      </c>
      <c r="W1098" s="482"/>
    </row>
    <row r="1099" spans="1:23" ht="14.25" customHeight="1">
      <c r="A1099" s="504" t="s">
        <v>294</v>
      </c>
      <c r="B1099" s="504" t="s">
        <v>325</v>
      </c>
      <c r="C1099" s="504" t="s">
        <v>396</v>
      </c>
      <c r="D1099" s="431" t="s">
        <v>1656</v>
      </c>
      <c r="E1099" s="482">
        <v>199233</v>
      </c>
      <c r="F1099" s="482"/>
      <c r="G1099" s="482"/>
      <c r="H1099" s="482"/>
      <c r="I1099" s="482"/>
      <c r="J1099" s="482" t="s">
        <v>800</v>
      </c>
      <c r="K1099" s="482" t="s">
        <v>794</v>
      </c>
      <c r="L1099" s="482" t="s">
        <v>800</v>
      </c>
      <c r="M1099" s="482" t="s">
        <v>294</v>
      </c>
      <c r="N1099" s="482">
        <v>19.994710919999999</v>
      </c>
      <c r="O1099" s="482">
        <v>93.836921689999997</v>
      </c>
      <c r="P1099" s="482" t="s">
        <v>919</v>
      </c>
      <c r="Q1099" s="482" t="s">
        <v>776</v>
      </c>
      <c r="R1099" s="486"/>
      <c r="S1099" s="487"/>
      <c r="T1099" s="506" t="s">
        <v>801</v>
      </c>
      <c r="U1099" s="488"/>
      <c r="V1099" s="482" t="s">
        <v>396</v>
      </c>
      <c r="W1099" s="482"/>
    </row>
    <row r="1100" spans="1:23" ht="14.25" customHeight="1">
      <c r="A1100" s="504" t="s">
        <v>294</v>
      </c>
      <c r="B1100" s="504" t="s">
        <v>325</v>
      </c>
      <c r="C1100" s="504" t="s">
        <v>391</v>
      </c>
      <c r="D1100" s="431" t="s">
        <v>1656</v>
      </c>
      <c r="E1100" s="482">
        <v>199235</v>
      </c>
      <c r="F1100" s="482"/>
      <c r="G1100" s="482"/>
      <c r="H1100" s="482"/>
      <c r="I1100" s="482"/>
      <c r="J1100" s="482" t="s">
        <v>800</v>
      </c>
      <c r="K1100" s="482" t="s">
        <v>794</v>
      </c>
      <c r="L1100" s="482" t="s">
        <v>800</v>
      </c>
      <c r="M1100" s="482" t="s">
        <v>294</v>
      </c>
      <c r="N1100" s="482">
        <v>19.98567963</v>
      </c>
      <c r="O1100" s="482">
        <v>93.843322749999999</v>
      </c>
      <c r="P1100" s="482" t="s">
        <v>919</v>
      </c>
      <c r="Q1100" s="482" t="s">
        <v>776</v>
      </c>
      <c r="R1100" s="486"/>
      <c r="S1100" s="487"/>
      <c r="T1100" s="506" t="s">
        <v>801</v>
      </c>
      <c r="U1100" s="488"/>
      <c r="V1100" s="482" t="s">
        <v>391</v>
      </c>
      <c r="W1100" s="482"/>
    </row>
    <row r="1101" spans="1:23" ht="14.25" customHeight="1">
      <c r="A1101" s="504" t="s">
        <v>294</v>
      </c>
      <c r="B1101" s="504" t="s">
        <v>325</v>
      </c>
      <c r="C1101" s="504" t="s">
        <v>393</v>
      </c>
      <c r="D1101" s="431" t="s">
        <v>1656</v>
      </c>
      <c r="E1101" s="482">
        <v>199236</v>
      </c>
      <c r="F1101" s="482"/>
      <c r="G1101" s="482"/>
      <c r="H1101" s="482"/>
      <c r="I1101" s="482"/>
      <c r="J1101" s="482" t="s">
        <v>800</v>
      </c>
      <c r="K1101" s="482" t="s">
        <v>794</v>
      </c>
      <c r="L1101" s="482" t="s">
        <v>800</v>
      </c>
      <c r="M1101" s="482" t="s">
        <v>294</v>
      </c>
      <c r="N1101" s="482">
        <v>19.98868942</v>
      </c>
      <c r="O1101" s="482">
        <v>93.842460630000005</v>
      </c>
      <c r="P1101" s="482" t="s">
        <v>919</v>
      </c>
      <c r="Q1101" s="482" t="s">
        <v>776</v>
      </c>
      <c r="R1101" s="486"/>
      <c r="S1101" s="487"/>
      <c r="T1101" s="506" t="s">
        <v>801</v>
      </c>
      <c r="U1101" s="488"/>
      <c r="V1101" s="482" t="s">
        <v>393</v>
      </c>
      <c r="W1101" s="482"/>
    </row>
    <row r="1102" spans="1:23" ht="14.25" customHeight="1">
      <c r="A1102" s="504" t="s">
        <v>294</v>
      </c>
      <c r="B1102" s="504" t="s">
        <v>325</v>
      </c>
      <c r="C1102" s="504" t="s">
        <v>373</v>
      </c>
      <c r="D1102" s="431" t="s">
        <v>1656</v>
      </c>
      <c r="E1102" s="482">
        <v>199264</v>
      </c>
      <c r="F1102" s="482"/>
      <c r="G1102" s="482"/>
      <c r="H1102" s="482"/>
      <c r="I1102" s="482"/>
      <c r="J1102" s="482" t="s">
        <v>800</v>
      </c>
      <c r="K1102" s="482" t="s">
        <v>794</v>
      </c>
      <c r="L1102" s="482" t="s">
        <v>800</v>
      </c>
      <c r="M1102" s="482" t="s">
        <v>294</v>
      </c>
      <c r="N1102" s="482">
        <v>19.61097908</v>
      </c>
      <c r="O1102" s="482">
        <v>93.984741209999996</v>
      </c>
      <c r="P1102" s="482" t="s">
        <v>919</v>
      </c>
      <c r="Q1102" s="482" t="s">
        <v>776</v>
      </c>
      <c r="R1102" s="486"/>
      <c r="S1102" s="487"/>
      <c r="T1102" s="506" t="s">
        <v>801</v>
      </c>
      <c r="U1102" s="488"/>
      <c r="V1102" s="482" t="s">
        <v>373</v>
      </c>
      <c r="W1102" s="482"/>
    </row>
    <row r="1103" spans="1:23" ht="14.25" customHeight="1">
      <c r="A1103" s="504" t="s">
        <v>294</v>
      </c>
      <c r="B1103" s="504" t="s">
        <v>325</v>
      </c>
      <c r="C1103" s="504" t="s">
        <v>382</v>
      </c>
      <c r="D1103" s="431" t="s">
        <v>1656</v>
      </c>
      <c r="E1103" s="482">
        <v>199159</v>
      </c>
      <c r="F1103" s="482"/>
      <c r="G1103" s="482"/>
      <c r="H1103" s="482"/>
      <c r="I1103" s="482"/>
      <c r="J1103" s="482" t="s">
        <v>800</v>
      </c>
      <c r="K1103" s="482" t="s">
        <v>794</v>
      </c>
      <c r="L1103" s="482" t="s">
        <v>800</v>
      </c>
      <c r="M1103" s="482" t="s">
        <v>294</v>
      </c>
      <c r="N1103" s="482">
        <v>19.721389769999998</v>
      </c>
      <c r="O1103" s="482">
        <v>94.019851680000002</v>
      </c>
      <c r="P1103" s="482" t="s">
        <v>919</v>
      </c>
      <c r="Q1103" s="482" t="s">
        <v>776</v>
      </c>
      <c r="R1103" s="486"/>
      <c r="S1103" s="487"/>
      <c r="T1103" s="506" t="s">
        <v>801</v>
      </c>
      <c r="U1103" s="488"/>
      <c r="V1103" s="482" t="s">
        <v>382</v>
      </c>
      <c r="W1103" s="482"/>
    </row>
    <row r="1104" spans="1:23" ht="14.25" customHeight="1">
      <c r="A1104" s="504" t="s">
        <v>294</v>
      </c>
      <c r="B1104" s="504" t="s">
        <v>325</v>
      </c>
      <c r="C1104" s="636" t="s">
        <v>397</v>
      </c>
      <c r="D1104" s="431" t="s">
        <v>1656</v>
      </c>
      <c r="E1104" s="482">
        <v>199240</v>
      </c>
      <c r="F1104" s="482"/>
      <c r="G1104" s="482"/>
      <c r="H1104" s="482"/>
      <c r="I1104" s="482"/>
      <c r="J1104" s="482" t="s">
        <v>800</v>
      </c>
      <c r="K1104" s="482" t="s">
        <v>794</v>
      </c>
      <c r="L1104" s="482" t="s">
        <v>800</v>
      </c>
      <c r="M1104" s="482" t="s">
        <v>294</v>
      </c>
      <c r="N1104" s="482">
        <v>20.008769990000001</v>
      </c>
      <c r="O1104" s="482">
        <v>93.816879270000001</v>
      </c>
      <c r="P1104" s="482" t="s">
        <v>919</v>
      </c>
      <c r="Q1104" s="482" t="s">
        <v>776</v>
      </c>
      <c r="R1104" s="486"/>
      <c r="S1104" s="487"/>
      <c r="T1104" s="506" t="s">
        <v>801</v>
      </c>
      <c r="U1104" s="488"/>
      <c r="V1104" s="391" t="s">
        <v>397</v>
      </c>
      <c r="W1104" s="482"/>
    </row>
    <row r="1105" spans="1:23" ht="14.25" customHeight="1">
      <c r="A1105" s="504" t="s">
        <v>294</v>
      </c>
      <c r="B1105" s="504" t="s">
        <v>325</v>
      </c>
      <c r="C1105" s="504" t="s">
        <v>389</v>
      </c>
      <c r="D1105" s="431" t="s">
        <v>1656</v>
      </c>
      <c r="E1105" s="482">
        <v>199134</v>
      </c>
      <c r="F1105" s="482"/>
      <c r="G1105" s="482"/>
      <c r="H1105" s="482"/>
      <c r="I1105" s="482"/>
      <c r="J1105" s="482" t="s">
        <v>800</v>
      </c>
      <c r="K1105" s="482" t="s">
        <v>794</v>
      </c>
      <c r="L1105" s="482" t="s">
        <v>800</v>
      </c>
      <c r="M1105" s="482" t="s">
        <v>807</v>
      </c>
      <c r="N1105" s="482">
        <v>19.95569038</v>
      </c>
      <c r="O1105" s="482">
        <v>93.80155182</v>
      </c>
      <c r="P1105" s="482" t="s">
        <v>919</v>
      </c>
      <c r="Q1105" s="482" t="s">
        <v>776</v>
      </c>
      <c r="R1105" s="486"/>
      <c r="S1105" s="487"/>
      <c r="T1105" s="506" t="s">
        <v>801</v>
      </c>
      <c r="U1105" s="488"/>
      <c r="V1105" s="482" t="s">
        <v>808</v>
      </c>
      <c r="W1105" s="482"/>
    </row>
    <row r="1106" spans="1:23" ht="14.25" customHeight="1">
      <c r="A1106" s="504" t="s">
        <v>294</v>
      </c>
      <c r="B1106" s="504" t="s">
        <v>325</v>
      </c>
      <c r="C1106" s="504" t="s">
        <v>381</v>
      </c>
      <c r="D1106" s="431" t="s">
        <v>1656</v>
      </c>
      <c r="E1106" s="482">
        <v>199161</v>
      </c>
      <c r="F1106" s="482"/>
      <c r="G1106" s="482"/>
      <c r="H1106" s="482"/>
      <c r="I1106" s="482"/>
      <c r="J1106" s="482" t="s">
        <v>800</v>
      </c>
      <c r="K1106" s="482" t="s">
        <v>794</v>
      </c>
      <c r="L1106" s="482" t="s">
        <v>800</v>
      </c>
      <c r="M1106" s="482" t="s">
        <v>803</v>
      </c>
      <c r="N1106" s="482">
        <v>19.70627975</v>
      </c>
      <c r="O1106" s="482">
        <v>94.016433719999995</v>
      </c>
      <c r="P1106" s="482" t="s">
        <v>919</v>
      </c>
      <c r="Q1106" s="482" t="s">
        <v>776</v>
      </c>
      <c r="R1106" s="486"/>
      <c r="S1106" s="487"/>
      <c r="T1106" s="506" t="s">
        <v>801</v>
      </c>
      <c r="U1106" s="488"/>
      <c r="V1106" s="482" t="s">
        <v>381</v>
      </c>
      <c r="W1106" s="482"/>
    </row>
    <row r="1107" spans="1:23" ht="14.25" customHeight="1">
      <c r="A1107" s="484" t="s">
        <v>294</v>
      </c>
      <c r="B1107" s="504" t="s">
        <v>325</v>
      </c>
      <c r="C1107" s="504" t="s">
        <v>376</v>
      </c>
      <c r="D1107" s="431" t="s">
        <v>1656</v>
      </c>
      <c r="E1107" s="482">
        <v>199266</v>
      </c>
      <c r="F1107" s="482"/>
      <c r="G1107" s="482"/>
      <c r="H1107" s="482"/>
      <c r="I1107" s="482"/>
      <c r="J1107" s="482" t="s">
        <v>800</v>
      </c>
      <c r="K1107" s="482" t="s">
        <v>794</v>
      </c>
      <c r="L1107" s="482" t="s">
        <v>800</v>
      </c>
      <c r="M1107" s="482" t="s">
        <v>803</v>
      </c>
      <c r="N1107" s="482">
        <v>19.6192894</v>
      </c>
      <c r="O1107" s="482">
        <v>93.95968628</v>
      </c>
      <c r="P1107" s="482" t="s">
        <v>919</v>
      </c>
      <c r="Q1107" s="482" t="s">
        <v>776</v>
      </c>
      <c r="R1107" s="486"/>
      <c r="S1107" s="487"/>
      <c r="T1107" s="506" t="s">
        <v>801</v>
      </c>
      <c r="U1107" s="488"/>
      <c r="V1107" s="482" t="s">
        <v>376</v>
      </c>
      <c r="W1107" s="482"/>
    </row>
    <row r="1108" spans="1:23" ht="14.25" customHeight="1">
      <c r="A1108" s="484" t="s">
        <v>294</v>
      </c>
      <c r="B1108" s="504" t="s">
        <v>325</v>
      </c>
      <c r="C1108" s="504" t="s">
        <v>371</v>
      </c>
      <c r="D1108" s="431" t="s">
        <v>1656</v>
      </c>
      <c r="E1108" s="482">
        <v>199191</v>
      </c>
      <c r="F1108" s="482"/>
      <c r="G1108" s="482"/>
      <c r="H1108" s="482"/>
      <c r="I1108" s="482"/>
      <c r="J1108" s="482" t="s">
        <v>800</v>
      </c>
      <c r="K1108" s="482" t="s">
        <v>794</v>
      </c>
      <c r="L1108" s="482" t="s">
        <v>800</v>
      </c>
      <c r="M1108" s="482" t="s">
        <v>294</v>
      </c>
      <c r="N1108" s="482">
        <v>19.484790799999999</v>
      </c>
      <c r="O1108" s="482">
        <v>94.007926940000004</v>
      </c>
      <c r="P1108" s="482" t="s">
        <v>919</v>
      </c>
      <c r="Q1108" s="482" t="s">
        <v>776</v>
      </c>
      <c r="R1108" s="486"/>
      <c r="S1108" s="487"/>
      <c r="T1108" s="506" t="s">
        <v>801</v>
      </c>
      <c r="U1108" s="488"/>
      <c r="V1108" s="482" t="s">
        <v>371</v>
      </c>
      <c r="W1108" s="482"/>
    </row>
    <row r="1109" spans="1:23" ht="14.25" customHeight="1">
      <c r="A1109" s="484" t="s">
        <v>294</v>
      </c>
      <c r="B1109" s="504" t="s">
        <v>325</v>
      </c>
      <c r="C1109" s="504" t="s">
        <v>326</v>
      </c>
      <c r="D1109" s="431" t="s">
        <v>1656</v>
      </c>
      <c r="E1109" s="482"/>
      <c r="F1109" s="484"/>
      <c r="G1109" s="482"/>
      <c r="H1109" s="482"/>
      <c r="I1109" s="482"/>
      <c r="J1109" s="482" t="s">
        <v>800</v>
      </c>
      <c r="K1109" s="482" t="s">
        <v>794</v>
      </c>
      <c r="L1109" s="482" t="s">
        <v>800</v>
      </c>
      <c r="M1109" s="482" t="s">
        <v>807</v>
      </c>
      <c r="N1109" s="482"/>
      <c r="O1109" s="482"/>
      <c r="P1109" s="482" t="s">
        <v>919</v>
      </c>
      <c r="Q1109" s="482" t="s">
        <v>776</v>
      </c>
      <c r="R1109" s="486"/>
      <c r="S1109" s="487"/>
      <c r="T1109" s="506" t="s">
        <v>801</v>
      </c>
      <c r="U1109" s="488"/>
      <c r="V1109" s="482" t="s">
        <v>326</v>
      </c>
      <c r="W1109" s="482"/>
    </row>
    <row r="1110" spans="1:23" ht="14.25" customHeight="1">
      <c r="A1110" s="484" t="s">
        <v>294</v>
      </c>
      <c r="B1110" s="504" t="s">
        <v>325</v>
      </c>
      <c r="C1110" s="504" t="s">
        <v>394</v>
      </c>
      <c r="D1110" s="431" t="s">
        <v>1656</v>
      </c>
      <c r="E1110" s="482">
        <v>199250</v>
      </c>
      <c r="F1110" s="482"/>
      <c r="G1110" s="482"/>
      <c r="H1110" s="482"/>
      <c r="I1110" s="482"/>
      <c r="J1110" s="482" t="s">
        <v>800</v>
      </c>
      <c r="K1110" s="482" t="s">
        <v>794</v>
      </c>
      <c r="L1110" s="482" t="s">
        <v>800</v>
      </c>
      <c r="M1110" s="482" t="s">
        <v>294</v>
      </c>
      <c r="N1110" s="482">
        <v>19.989589689999999</v>
      </c>
      <c r="O1110" s="482">
        <v>93.823867800000002</v>
      </c>
      <c r="P1110" s="482" t="s">
        <v>919</v>
      </c>
      <c r="Q1110" s="482" t="s">
        <v>776</v>
      </c>
      <c r="R1110" s="486"/>
      <c r="S1110" s="487"/>
      <c r="T1110" s="506" t="s">
        <v>801</v>
      </c>
      <c r="U1110" s="488"/>
      <c r="V1110" s="482" t="s">
        <v>810</v>
      </c>
      <c r="W1110" s="482"/>
    </row>
    <row r="1111" spans="1:23" ht="14.25" customHeight="1">
      <c r="A1111" s="484" t="s">
        <v>294</v>
      </c>
      <c r="B1111" s="504" t="s">
        <v>325</v>
      </c>
      <c r="C1111" s="504" t="s">
        <v>383</v>
      </c>
      <c r="D1111" s="431" t="s">
        <v>1656</v>
      </c>
      <c r="E1111" s="482">
        <v>199158</v>
      </c>
      <c r="F1111" s="482"/>
      <c r="G1111" s="482"/>
      <c r="H1111" s="482"/>
      <c r="I1111" s="482"/>
      <c r="J1111" s="482" t="s">
        <v>800</v>
      </c>
      <c r="K1111" s="482" t="s">
        <v>794</v>
      </c>
      <c r="L1111" s="482" t="s">
        <v>800</v>
      </c>
      <c r="M1111" s="482" t="s">
        <v>294</v>
      </c>
      <c r="N1111" s="482">
        <v>19.725629810000001</v>
      </c>
      <c r="O1111" s="482">
        <v>94.03105927</v>
      </c>
      <c r="P1111" s="482" t="s">
        <v>919</v>
      </c>
      <c r="Q1111" s="482" t="s">
        <v>776</v>
      </c>
      <c r="R1111" s="486"/>
      <c r="S1111" s="487"/>
      <c r="T1111" s="506" t="s">
        <v>801</v>
      </c>
      <c r="U1111" s="488"/>
      <c r="V1111" s="482" t="s">
        <v>804</v>
      </c>
      <c r="W1111" s="482"/>
    </row>
    <row r="1112" spans="1:23" ht="14.25" customHeight="1">
      <c r="A1112" s="484" t="s">
        <v>294</v>
      </c>
      <c r="B1112" s="504" t="s">
        <v>325</v>
      </c>
      <c r="C1112" s="504" t="s">
        <v>372</v>
      </c>
      <c r="D1112" s="431" t="s">
        <v>1656</v>
      </c>
      <c r="E1112" s="482">
        <v>199195</v>
      </c>
      <c r="F1112" s="482"/>
      <c r="G1112" s="482"/>
      <c r="H1112" s="482"/>
      <c r="I1112" s="482"/>
      <c r="J1112" s="482" t="s">
        <v>800</v>
      </c>
      <c r="K1112" s="482" t="s">
        <v>794</v>
      </c>
      <c r="L1112" s="482" t="s">
        <v>800</v>
      </c>
      <c r="M1112" s="482" t="s">
        <v>294</v>
      </c>
      <c r="N1112" s="482">
        <v>19.591590879999998</v>
      </c>
      <c r="O1112" s="482">
        <v>93.80825806</v>
      </c>
      <c r="P1112" s="482" t="s">
        <v>919</v>
      </c>
      <c r="Q1112" s="482" t="s">
        <v>776</v>
      </c>
      <c r="R1112" s="486"/>
      <c r="S1112" s="487"/>
      <c r="T1112" s="506">
        <v>42745</v>
      </c>
      <c r="U1112" s="488"/>
      <c r="V1112" s="482"/>
      <c r="W1112" s="482"/>
    </row>
    <row r="1113" spans="1:23" ht="14.25" customHeight="1">
      <c r="A1113" s="484" t="s">
        <v>294</v>
      </c>
      <c r="B1113" s="504" t="s">
        <v>325</v>
      </c>
      <c r="C1113" s="504" t="s">
        <v>378</v>
      </c>
      <c r="D1113" s="431" t="s">
        <v>1656</v>
      </c>
      <c r="E1113" s="482">
        <v>199223</v>
      </c>
      <c r="F1113" s="482"/>
      <c r="G1113" s="482"/>
      <c r="H1113" s="482"/>
      <c r="I1113" s="482"/>
      <c r="J1113" s="482" t="s">
        <v>800</v>
      </c>
      <c r="K1113" s="482" t="s">
        <v>794</v>
      </c>
      <c r="L1113" s="482" t="s">
        <v>800</v>
      </c>
      <c r="M1113" s="482" t="s">
        <v>803</v>
      </c>
      <c r="N1113" s="482">
        <v>19.639009479999999</v>
      </c>
      <c r="O1113" s="482">
        <v>94.036079409999999</v>
      </c>
      <c r="P1113" s="482" t="s">
        <v>919</v>
      </c>
      <c r="Q1113" s="482" t="s">
        <v>776</v>
      </c>
      <c r="R1113" s="486"/>
      <c r="S1113" s="487"/>
      <c r="T1113" s="506" t="s">
        <v>801</v>
      </c>
      <c r="U1113" s="488"/>
      <c r="V1113" s="482" t="s">
        <v>378</v>
      </c>
      <c r="W1113" s="482"/>
    </row>
    <row r="1114" spans="1:23" ht="14.25" customHeight="1">
      <c r="A1114" s="484" t="s">
        <v>294</v>
      </c>
      <c r="B1114" s="504" t="s">
        <v>325</v>
      </c>
      <c r="C1114" s="504" t="s">
        <v>385</v>
      </c>
      <c r="D1114" s="431" t="s">
        <v>1656</v>
      </c>
      <c r="E1114" s="482">
        <v>199160</v>
      </c>
      <c r="F1114" s="482"/>
      <c r="G1114" s="482"/>
      <c r="H1114" s="482"/>
      <c r="I1114" s="482"/>
      <c r="J1114" s="482" t="s">
        <v>800</v>
      </c>
      <c r="K1114" s="482" t="s">
        <v>794</v>
      </c>
      <c r="L1114" s="482" t="s">
        <v>800</v>
      </c>
      <c r="M1114" s="482" t="s">
        <v>294</v>
      </c>
      <c r="N1114" s="482">
        <v>19.738719939999999</v>
      </c>
      <c r="O1114" s="482">
        <v>94.03549194</v>
      </c>
      <c r="P1114" s="482" t="s">
        <v>919</v>
      </c>
      <c r="Q1114" s="482" t="s">
        <v>776</v>
      </c>
      <c r="R1114" s="486"/>
      <c r="S1114" s="487"/>
      <c r="T1114" s="506" t="s">
        <v>801</v>
      </c>
      <c r="U1114" s="488"/>
      <c r="V1114" s="482" t="s">
        <v>385</v>
      </c>
      <c r="W1114" s="482"/>
    </row>
    <row r="1115" spans="1:23" ht="14.25" customHeight="1">
      <c r="A1115" s="484" t="s">
        <v>294</v>
      </c>
      <c r="B1115" s="504" t="s">
        <v>325</v>
      </c>
      <c r="C1115" s="504" t="s">
        <v>379</v>
      </c>
      <c r="D1115" s="431" t="s">
        <v>1656</v>
      </c>
      <c r="E1115" s="482">
        <v>199218</v>
      </c>
      <c r="F1115" s="482"/>
      <c r="G1115" s="482"/>
      <c r="H1115" s="482"/>
      <c r="I1115" s="482"/>
      <c r="J1115" s="482" t="s">
        <v>800</v>
      </c>
      <c r="K1115" s="482" t="s">
        <v>794</v>
      </c>
      <c r="L1115" s="482" t="s">
        <v>800</v>
      </c>
      <c r="M1115" s="482" t="s">
        <v>294</v>
      </c>
      <c r="N1115" s="482">
        <v>19.646549220000001</v>
      </c>
      <c r="O1115" s="482">
        <v>94.004188540000001</v>
      </c>
      <c r="P1115" s="482" t="s">
        <v>919</v>
      </c>
      <c r="Q1115" s="482" t="s">
        <v>776</v>
      </c>
      <c r="R1115" s="490"/>
      <c r="S1115" s="491"/>
      <c r="T1115" s="506" t="s">
        <v>801</v>
      </c>
      <c r="U1115" s="488"/>
      <c r="V1115" s="482" t="s">
        <v>379</v>
      </c>
      <c r="W1115" s="482"/>
    </row>
    <row r="1116" spans="1:23" ht="14.25" customHeight="1">
      <c r="A1116" s="484" t="s">
        <v>294</v>
      </c>
      <c r="B1116" s="504" t="s">
        <v>325</v>
      </c>
      <c r="C1116" s="504" t="s">
        <v>395</v>
      </c>
      <c r="D1116" s="431" t="s">
        <v>1656</v>
      </c>
      <c r="E1116" s="482">
        <v>199248</v>
      </c>
      <c r="F1116" s="482"/>
      <c r="G1116" s="482"/>
      <c r="H1116" s="482"/>
      <c r="I1116" s="482"/>
      <c r="J1116" s="482" t="s">
        <v>800</v>
      </c>
      <c r="K1116" s="484" t="s">
        <v>794</v>
      </c>
      <c r="L1116" s="484" t="s">
        <v>800</v>
      </c>
      <c r="M1116" s="482" t="s">
        <v>803</v>
      </c>
      <c r="N1116" s="482">
        <v>19.991359710000001</v>
      </c>
      <c r="O1116" s="482">
        <v>93.834663390000003</v>
      </c>
      <c r="P1116" s="482" t="s">
        <v>919</v>
      </c>
      <c r="Q1116" s="482" t="s">
        <v>776</v>
      </c>
      <c r="R1116" s="486"/>
      <c r="S1116" s="487"/>
      <c r="T1116" s="506" t="s">
        <v>801</v>
      </c>
      <c r="U1116" s="488"/>
      <c r="V1116" s="482" t="s">
        <v>395</v>
      </c>
      <c r="W1116" s="482"/>
    </row>
    <row r="1117" spans="1:23" ht="14.25" customHeight="1">
      <c r="A1117" s="484" t="s">
        <v>294</v>
      </c>
      <c r="B1117" s="504" t="s">
        <v>325</v>
      </c>
      <c r="C1117" s="504" t="s">
        <v>386</v>
      </c>
      <c r="D1117" s="431" t="s">
        <v>1656</v>
      </c>
      <c r="E1117" s="482">
        <v>199137</v>
      </c>
      <c r="F1117" s="484"/>
      <c r="G1117" s="482"/>
      <c r="H1117" s="482"/>
      <c r="I1117" s="482"/>
      <c r="J1117" s="482" t="s">
        <v>800</v>
      </c>
      <c r="K1117" s="482" t="s">
        <v>794</v>
      </c>
      <c r="L1117" s="482" t="s">
        <v>800</v>
      </c>
      <c r="M1117" s="482" t="s">
        <v>294</v>
      </c>
      <c r="N1117" s="482">
        <v>19.904430390000002</v>
      </c>
      <c r="O1117" s="482">
        <v>93.79277802</v>
      </c>
      <c r="P1117" s="482" t="s">
        <v>919</v>
      </c>
      <c r="Q1117" s="482" t="s">
        <v>776</v>
      </c>
      <c r="R1117" s="486"/>
      <c r="S1117" s="487"/>
      <c r="T1117" s="506" t="s">
        <v>801</v>
      </c>
      <c r="U1117" s="488"/>
      <c r="V1117" s="482" t="s">
        <v>386</v>
      </c>
      <c r="W1117" s="482"/>
    </row>
    <row r="1118" spans="1:23" ht="14.25" customHeight="1">
      <c r="A1118" s="484" t="s">
        <v>294</v>
      </c>
      <c r="B1118" s="504" t="s">
        <v>325</v>
      </c>
      <c r="C1118" s="504" t="s">
        <v>388</v>
      </c>
      <c r="D1118" s="431" t="s">
        <v>1656</v>
      </c>
      <c r="E1118" s="482">
        <v>199135</v>
      </c>
      <c r="F1118" s="489"/>
      <c r="G1118" s="482"/>
      <c r="H1118" s="482"/>
      <c r="I1118" s="482"/>
      <c r="J1118" s="482" t="s">
        <v>800</v>
      </c>
      <c r="K1118" s="482" t="s">
        <v>794</v>
      </c>
      <c r="L1118" s="482" t="s">
        <v>800</v>
      </c>
      <c r="M1118" s="482" t="s">
        <v>803</v>
      </c>
      <c r="N1118" s="482">
        <v>19.930080409999999</v>
      </c>
      <c r="O1118" s="482">
        <v>93.787002560000005</v>
      </c>
      <c r="P1118" s="482" t="s">
        <v>919</v>
      </c>
      <c r="Q1118" s="482" t="s">
        <v>776</v>
      </c>
      <c r="R1118" s="486"/>
      <c r="S1118" s="487"/>
      <c r="T1118" s="506" t="s">
        <v>801</v>
      </c>
      <c r="U1118" s="488"/>
      <c r="V1118" s="482" t="s">
        <v>388</v>
      </c>
      <c r="W1118" s="482"/>
    </row>
    <row r="1119" spans="1:23" ht="14.25" customHeight="1">
      <c r="A1119" s="484" t="s">
        <v>294</v>
      </c>
      <c r="B1119" s="504" t="s">
        <v>325</v>
      </c>
      <c r="C1119" s="504" t="s">
        <v>374</v>
      </c>
      <c r="D1119" s="431" t="s">
        <v>1656</v>
      </c>
      <c r="E1119" s="482">
        <v>199261</v>
      </c>
      <c r="F1119" s="482"/>
      <c r="G1119" s="482"/>
      <c r="H1119" s="482"/>
      <c r="I1119" s="482"/>
      <c r="J1119" s="482" t="s">
        <v>800</v>
      </c>
      <c r="K1119" s="482" t="s">
        <v>794</v>
      </c>
      <c r="L1119" s="482" t="s">
        <v>800</v>
      </c>
      <c r="M1119" s="482" t="s">
        <v>294</v>
      </c>
      <c r="N1119" s="482">
        <v>19.61120987</v>
      </c>
      <c r="O1119" s="482">
        <v>93.995933530000002</v>
      </c>
      <c r="P1119" s="482" t="s">
        <v>919</v>
      </c>
      <c r="Q1119" s="482" t="s">
        <v>776</v>
      </c>
      <c r="R1119" s="486"/>
      <c r="S1119" s="487"/>
      <c r="T1119" s="506" t="s">
        <v>801</v>
      </c>
      <c r="U1119" s="488"/>
      <c r="V1119" s="482" t="s">
        <v>802</v>
      </c>
      <c r="W1119" s="482"/>
    </row>
    <row r="1120" spans="1:23" ht="14.25" customHeight="1">
      <c r="A1120" s="484" t="s">
        <v>294</v>
      </c>
      <c r="B1120" s="504" t="s">
        <v>325</v>
      </c>
      <c r="C1120" s="504" t="s">
        <v>380</v>
      </c>
      <c r="D1120" s="431" t="s">
        <v>1656</v>
      </c>
      <c r="E1120" s="482">
        <v>199156</v>
      </c>
      <c r="F1120" s="482"/>
      <c r="G1120" s="482"/>
      <c r="H1120" s="482"/>
      <c r="I1120" s="482"/>
      <c r="J1120" s="482" t="s">
        <v>800</v>
      </c>
      <c r="K1120" s="482" t="s">
        <v>794</v>
      </c>
      <c r="L1120" s="482" t="s">
        <v>800</v>
      </c>
      <c r="M1120" s="482" t="s">
        <v>803</v>
      </c>
      <c r="N1120" s="482">
        <v>19.686580660000001</v>
      </c>
      <c r="O1120" s="482">
        <v>94.048843379999994</v>
      </c>
      <c r="P1120" s="482" t="s">
        <v>919</v>
      </c>
      <c r="Q1120" s="482" t="s">
        <v>776</v>
      </c>
      <c r="R1120" s="486"/>
      <c r="S1120" s="487"/>
      <c r="T1120" s="506" t="s">
        <v>801</v>
      </c>
      <c r="U1120" s="488"/>
      <c r="V1120" s="503" t="s">
        <v>380</v>
      </c>
      <c r="W1120" s="482"/>
    </row>
    <row r="1121" spans="1:23" ht="14.25" customHeight="1">
      <c r="A1121" s="484" t="s">
        <v>294</v>
      </c>
      <c r="B1121" s="504" t="s">
        <v>325</v>
      </c>
      <c r="C1121" s="504" t="s">
        <v>377</v>
      </c>
      <c r="D1121" s="431" t="s">
        <v>1656</v>
      </c>
      <c r="E1121" s="484">
        <v>199265</v>
      </c>
      <c r="F1121" s="482"/>
      <c r="G1121" s="482"/>
      <c r="H1121" s="482"/>
      <c r="I1121" s="482"/>
      <c r="J1121" s="482" t="s">
        <v>800</v>
      </c>
      <c r="K1121" s="482" t="s">
        <v>794</v>
      </c>
      <c r="L1121" s="482" t="s">
        <v>800</v>
      </c>
      <c r="M1121" s="482" t="s">
        <v>294</v>
      </c>
      <c r="N1121" s="482">
        <v>19.627199170000001</v>
      </c>
      <c r="O1121" s="482">
        <v>93.962989809999996</v>
      </c>
      <c r="P1121" s="482" t="s">
        <v>919</v>
      </c>
      <c r="Q1121" s="482" t="s">
        <v>776</v>
      </c>
      <c r="R1121" s="486"/>
      <c r="S1121" s="487"/>
      <c r="T1121" s="506" t="s">
        <v>801</v>
      </c>
      <c r="U1121" s="488"/>
      <c r="V1121" s="482" t="s">
        <v>377</v>
      </c>
      <c r="W1121" s="482"/>
    </row>
    <row r="1122" spans="1:23" ht="14.25" customHeight="1">
      <c r="A1122" s="484" t="s">
        <v>294</v>
      </c>
      <c r="B1122" s="504" t="s">
        <v>325</v>
      </c>
      <c r="C1122" s="504" t="s">
        <v>375</v>
      </c>
      <c r="D1122" s="431" t="s">
        <v>1656</v>
      </c>
      <c r="E1122" s="482">
        <v>199262</v>
      </c>
      <c r="F1122" s="482"/>
      <c r="G1122" s="482"/>
      <c r="H1122" s="482"/>
      <c r="I1122" s="482"/>
      <c r="J1122" s="482" t="s">
        <v>800</v>
      </c>
      <c r="K1122" s="482" t="s">
        <v>794</v>
      </c>
      <c r="L1122" s="482" t="s">
        <v>800</v>
      </c>
      <c r="M1122" s="482" t="s">
        <v>294</v>
      </c>
      <c r="N1122" s="482">
        <v>19.61580086</v>
      </c>
      <c r="O1122" s="482">
        <v>94.000473020000001</v>
      </c>
      <c r="P1122" s="482" t="s">
        <v>919</v>
      </c>
      <c r="Q1122" s="482" t="s">
        <v>776</v>
      </c>
      <c r="R1122" s="486"/>
      <c r="S1122" s="487"/>
      <c r="T1122" s="506" t="s">
        <v>801</v>
      </c>
      <c r="U1122" s="488"/>
      <c r="V1122" s="482" t="s">
        <v>375</v>
      </c>
      <c r="W1122" s="482"/>
    </row>
    <row r="1123" spans="1:23" ht="14.25" customHeight="1">
      <c r="A1123" s="484" t="s">
        <v>294</v>
      </c>
      <c r="B1123" s="504" t="s">
        <v>325</v>
      </c>
      <c r="C1123" s="504" t="s">
        <v>392</v>
      </c>
      <c r="D1123" s="431" t="s">
        <v>1656</v>
      </c>
      <c r="E1123" s="482">
        <v>199241</v>
      </c>
      <c r="F1123" s="482"/>
      <c r="G1123" s="482"/>
      <c r="H1123" s="482"/>
      <c r="I1123" s="482"/>
      <c r="J1123" s="482" t="s">
        <v>800</v>
      </c>
      <c r="K1123" s="482" t="s">
        <v>794</v>
      </c>
      <c r="L1123" s="482" t="s">
        <v>800</v>
      </c>
      <c r="M1123" s="482" t="s">
        <v>803</v>
      </c>
      <c r="N1123" s="482">
        <v>19.988599780000001</v>
      </c>
      <c r="O1123" s="482">
        <v>93.803939819999997</v>
      </c>
      <c r="P1123" s="482" t="s">
        <v>919</v>
      </c>
      <c r="Q1123" s="482" t="s">
        <v>776</v>
      </c>
      <c r="R1123" s="486"/>
      <c r="S1123" s="487"/>
      <c r="T1123" s="506" t="s">
        <v>801</v>
      </c>
      <c r="U1123" s="488"/>
      <c r="V1123" s="391" t="s">
        <v>809</v>
      </c>
      <c r="W1123" s="482"/>
    </row>
    <row r="1124" spans="1:23" ht="14.25" customHeight="1">
      <c r="A1124" s="484" t="s">
        <v>294</v>
      </c>
      <c r="B1124" s="504" t="s">
        <v>325</v>
      </c>
      <c r="C1124" s="504" t="s">
        <v>390</v>
      </c>
      <c r="D1124" s="431" t="s">
        <v>1656</v>
      </c>
      <c r="E1124" s="482">
        <v>220838</v>
      </c>
      <c r="F1124" s="482"/>
      <c r="G1124" s="482"/>
      <c r="H1124" s="482"/>
      <c r="I1124" s="482"/>
      <c r="J1124" s="482" t="s">
        <v>800</v>
      </c>
      <c r="K1124" s="482" t="s">
        <v>794</v>
      </c>
      <c r="L1124" s="482" t="s">
        <v>800</v>
      </c>
      <c r="M1124" s="482" t="s">
        <v>803</v>
      </c>
      <c r="N1124" s="498">
        <v>19.962713239999999</v>
      </c>
      <c r="O1124" s="498">
        <v>93.885574340000005</v>
      </c>
      <c r="P1124" s="482" t="s">
        <v>919</v>
      </c>
      <c r="Q1124" s="482" t="s">
        <v>776</v>
      </c>
      <c r="R1124" s="486"/>
      <c r="S1124" s="487"/>
      <c r="T1124" s="506" t="s">
        <v>801</v>
      </c>
      <c r="U1124" s="488"/>
      <c r="V1124" s="482" t="s">
        <v>390</v>
      </c>
      <c r="W1124" s="482"/>
    </row>
    <row r="1125" spans="1:23" ht="14.25" customHeight="1">
      <c r="A1125" s="484" t="s">
        <v>294</v>
      </c>
      <c r="B1125" s="504" t="s">
        <v>325</v>
      </c>
      <c r="C1125" s="504" t="s">
        <v>387</v>
      </c>
      <c r="D1125" s="431" t="s">
        <v>1656</v>
      </c>
      <c r="E1125" s="482">
        <v>199133</v>
      </c>
      <c r="F1125" s="482"/>
      <c r="G1125" s="482"/>
      <c r="H1125" s="482"/>
      <c r="I1125" s="482"/>
      <c r="J1125" s="482" t="s">
        <v>800</v>
      </c>
      <c r="K1125" s="482" t="s">
        <v>794</v>
      </c>
      <c r="L1125" s="482" t="s">
        <v>800</v>
      </c>
      <c r="M1125" s="482" t="s">
        <v>294</v>
      </c>
      <c r="N1125" s="482">
        <v>19.925739289999999</v>
      </c>
      <c r="O1125" s="482">
        <v>93.792991639999997</v>
      </c>
      <c r="P1125" s="482" t="s">
        <v>919</v>
      </c>
      <c r="Q1125" s="482" t="s">
        <v>776</v>
      </c>
      <c r="R1125" s="486"/>
      <c r="S1125" s="487"/>
      <c r="T1125" s="506" t="s">
        <v>801</v>
      </c>
      <c r="U1125" s="488"/>
      <c r="V1125" s="482" t="s">
        <v>805</v>
      </c>
      <c r="W1125" s="482"/>
    </row>
    <row r="1126" spans="1:23" ht="14.25" customHeight="1">
      <c r="A1126" s="668" t="s">
        <v>698</v>
      </c>
      <c r="B1126" s="657" t="s">
        <v>1234</v>
      </c>
      <c r="C1126" s="658" t="s">
        <v>2997</v>
      </c>
      <c r="D1126" s="485"/>
      <c r="E1126" s="659"/>
      <c r="F1126" s="659"/>
      <c r="G1126" s="659"/>
      <c r="H1126" s="659"/>
      <c r="I1126" s="659"/>
      <c r="J1126" s="659" t="s">
        <v>794</v>
      </c>
      <c r="K1126" s="659" t="s">
        <v>794</v>
      </c>
      <c r="L1126" s="659" t="s">
        <v>794</v>
      </c>
      <c r="M1126" s="659"/>
      <c r="N1126" s="659"/>
      <c r="O1126" s="659"/>
      <c r="P1126" s="659"/>
      <c r="Q1126" s="659" t="s">
        <v>3102</v>
      </c>
      <c r="R1126" s="660"/>
      <c r="S1126" s="656"/>
      <c r="T1126" s="661">
        <v>43843</v>
      </c>
      <c r="U1126" s="660"/>
      <c r="V1126" s="659"/>
      <c r="W1126" s="486"/>
    </row>
    <row r="1127" spans="1:23" ht="14.25" customHeight="1">
      <c r="A1127" s="668" t="s">
        <v>698</v>
      </c>
      <c r="B1127" s="657" t="s">
        <v>1234</v>
      </c>
      <c r="C1127" s="658" t="s">
        <v>2998</v>
      </c>
      <c r="D1127" s="485"/>
      <c r="E1127" s="659"/>
      <c r="F1127" s="659"/>
      <c r="G1127" s="659"/>
      <c r="H1127" s="659"/>
      <c r="I1127" s="659"/>
      <c r="J1127" s="659" t="s">
        <v>794</v>
      </c>
      <c r="K1127" s="659" t="s">
        <v>794</v>
      </c>
      <c r="L1127" s="659" t="s">
        <v>794</v>
      </c>
      <c r="M1127" s="659"/>
      <c r="N1127" s="659"/>
      <c r="O1127" s="659"/>
      <c r="P1127" s="659"/>
      <c r="Q1127" s="659" t="s">
        <v>3102</v>
      </c>
      <c r="R1127" s="660"/>
      <c r="S1127" s="656"/>
      <c r="T1127" s="661">
        <v>43843</v>
      </c>
      <c r="U1127" s="660"/>
      <c r="V1127" s="659"/>
      <c r="W1127" s="486"/>
    </row>
    <row r="1128" spans="1:23" ht="14.25" customHeight="1">
      <c r="A1128" s="668" t="s">
        <v>698</v>
      </c>
      <c r="B1128" s="657" t="s">
        <v>1234</v>
      </c>
      <c r="C1128" s="658" t="s">
        <v>2995</v>
      </c>
      <c r="D1128" s="485"/>
      <c r="E1128" s="659"/>
      <c r="F1128" s="659"/>
      <c r="G1128" s="659"/>
      <c r="H1128" s="659"/>
      <c r="I1128" s="659"/>
      <c r="J1128" s="659" t="s">
        <v>794</v>
      </c>
      <c r="K1128" s="659" t="s">
        <v>794</v>
      </c>
      <c r="L1128" s="659" t="s">
        <v>794</v>
      </c>
      <c r="M1128" s="659"/>
      <c r="N1128" s="659"/>
      <c r="O1128" s="659"/>
      <c r="P1128" s="659"/>
      <c r="Q1128" s="659" t="s">
        <v>3102</v>
      </c>
      <c r="R1128" s="660"/>
      <c r="S1128" s="656"/>
      <c r="T1128" s="661">
        <v>43843</v>
      </c>
      <c r="U1128" s="660"/>
      <c r="V1128" s="659"/>
      <c r="W1128" s="486"/>
    </row>
    <row r="1129" spans="1:23" ht="14.25" customHeight="1">
      <c r="A1129" s="668" t="s">
        <v>698</v>
      </c>
      <c r="B1129" s="657" t="s">
        <v>1234</v>
      </c>
      <c r="C1129" s="658" t="s">
        <v>2996</v>
      </c>
      <c r="D1129" s="485"/>
      <c r="E1129" s="659"/>
      <c r="F1129" s="659"/>
      <c r="G1129" s="659"/>
      <c r="H1129" s="659"/>
      <c r="I1129" s="659"/>
      <c r="J1129" s="659" t="s">
        <v>794</v>
      </c>
      <c r="K1129" s="659" t="s">
        <v>794</v>
      </c>
      <c r="L1129" s="659" t="s">
        <v>794</v>
      </c>
      <c r="M1129" s="659"/>
      <c r="N1129" s="659"/>
      <c r="O1129" s="659"/>
      <c r="P1129" s="659"/>
      <c r="Q1129" s="659" t="s">
        <v>3102</v>
      </c>
      <c r="R1129" s="660"/>
      <c r="S1129" s="656"/>
      <c r="T1129" s="661">
        <v>43843</v>
      </c>
      <c r="U1129" s="660"/>
      <c r="V1129" s="659"/>
      <c r="W1129" s="486"/>
    </row>
    <row r="1130" spans="1:23" ht="14.25" customHeight="1">
      <c r="A1130" s="491" t="s">
        <v>698</v>
      </c>
      <c r="B1130" s="514" t="s">
        <v>717</v>
      </c>
      <c r="C1130" s="452" t="s">
        <v>718</v>
      </c>
      <c r="D1130" s="431" t="s">
        <v>2817</v>
      </c>
      <c r="E1130" s="482" t="s">
        <v>1425</v>
      </c>
      <c r="F1130" s="482" t="s">
        <v>718</v>
      </c>
      <c r="G1130" s="482" t="s">
        <v>718</v>
      </c>
      <c r="H1130" s="482" t="s">
        <v>40</v>
      </c>
      <c r="I1130" s="482" t="s">
        <v>2662</v>
      </c>
      <c r="J1130" s="482" t="s">
        <v>42</v>
      </c>
      <c r="K1130" s="482" t="s">
        <v>42</v>
      </c>
      <c r="L1130" s="482" t="s">
        <v>42</v>
      </c>
      <c r="M1130" s="482" t="s">
        <v>43</v>
      </c>
      <c r="N1130" s="482">
        <v>23.354268999999999</v>
      </c>
      <c r="O1130" s="482">
        <v>98.218626999999998</v>
      </c>
      <c r="P1130" s="482" t="s">
        <v>757</v>
      </c>
      <c r="Q1130" s="482" t="s">
        <v>776</v>
      </c>
      <c r="R1130" s="486">
        <v>35</v>
      </c>
      <c r="S1130" s="486">
        <v>183</v>
      </c>
      <c r="T1130" s="506"/>
      <c r="U1130" s="488"/>
      <c r="V1130" s="482" t="s">
        <v>718</v>
      </c>
      <c r="W1130" s="392" t="s">
        <v>2167</v>
      </c>
    </row>
    <row r="1131" spans="1:23" ht="14.25" customHeight="1">
      <c r="A1131" s="491" t="s">
        <v>698</v>
      </c>
      <c r="B1131" s="514" t="s">
        <v>717</v>
      </c>
      <c r="C1131" s="452" t="s">
        <v>741</v>
      </c>
      <c r="D1131" s="485" t="s">
        <v>1734</v>
      </c>
      <c r="E1131" s="482" t="s">
        <v>1426</v>
      </c>
      <c r="F1131" s="482" t="s">
        <v>1761</v>
      </c>
      <c r="G1131" s="482" t="s">
        <v>1761</v>
      </c>
      <c r="H1131" s="482"/>
      <c r="I1131" s="482" t="s">
        <v>2116</v>
      </c>
      <c r="J1131" s="482" t="s">
        <v>42</v>
      </c>
      <c r="K1131" s="482" t="s">
        <v>964</v>
      </c>
      <c r="L1131" s="482" t="s">
        <v>756</v>
      </c>
      <c r="M1131" s="482" t="s">
        <v>774</v>
      </c>
      <c r="N1131" s="482">
        <v>23.372409999999999</v>
      </c>
      <c r="O1131" s="482">
        <v>98.352670000000003</v>
      </c>
      <c r="P1131" s="482" t="s">
        <v>769</v>
      </c>
      <c r="Q1131" s="482" t="s">
        <v>776</v>
      </c>
      <c r="R1131" s="494"/>
      <c r="S1131" s="487"/>
      <c r="T1131" s="506">
        <v>43276</v>
      </c>
      <c r="U1131" s="488" t="s">
        <v>1965</v>
      </c>
      <c r="V1131" s="482" t="s">
        <v>741</v>
      </c>
      <c r="W1131" s="392" t="s">
        <v>2168</v>
      </c>
    </row>
    <row r="1132" spans="1:23" ht="14.25" customHeight="1">
      <c r="A1132" s="491" t="s">
        <v>698</v>
      </c>
      <c r="B1132" s="514" t="s">
        <v>717</v>
      </c>
      <c r="C1132" s="452" t="s">
        <v>747</v>
      </c>
      <c r="D1132" s="485" t="s">
        <v>1657</v>
      </c>
      <c r="E1132" s="482" t="s">
        <v>1424</v>
      </c>
      <c r="F1132" s="482" t="s">
        <v>1668</v>
      </c>
      <c r="G1132" s="482" t="s">
        <v>1668</v>
      </c>
      <c r="H1132" s="482"/>
      <c r="I1132" s="482">
        <v>0</v>
      </c>
      <c r="J1132" s="482" t="s">
        <v>42</v>
      </c>
      <c r="K1132" s="482" t="s">
        <v>42</v>
      </c>
      <c r="L1132" s="482" t="s">
        <v>756</v>
      </c>
      <c r="M1132" s="482" t="s">
        <v>43</v>
      </c>
      <c r="N1132" s="482">
        <v>23.353999999999999</v>
      </c>
      <c r="O1132" s="482">
        <v>98.221000000000004</v>
      </c>
      <c r="P1132" s="482" t="s">
        <v>757</v>
      </c>
      <c r="Q1132" s="482" t="s">
        <v>758</v>
      </c>
      <c r="R1132" s="494"/>
      <c r="S1132" s="487"/>
      <c r="T1132" s="506"/>
      <c r="U1132" s="488"/>
      <c r="V1132" s="482"/>
      <c r="W1132" s="392" t="s">
        <v>2169</v>
      </c>
    </row>
    <row r="1133" spans="1:23" ht="14.25" customHeight="1">
      <c r="A1133" s="491" t="s">
        <v>698</v>
      </c>
      <c r="B1133" s="514" t="s">
        <v>739</v>
      </c>
      <c r="C1133" s="452" t="s">
        <v>2641</v>
      </c>
      <c r="D1133" s="485"/>
      <c r="E1133" s="482"/>
      <c r="F1133" s="482"/>
      <c r="G1133" s="482"/>
      <c r="H1133" s="482"/>
      <c r="I1133" s="482"/>
      <c r="J1133" s="482" t="s">
        <v>2652</v>
      </c>
      <c r="K1133" s="482" t="s">
        <v>2622</v>
      </c>
      <c r="L1133" s="482" t="s">
        <v>2622</v>
      </c>
      <c r="M1133" s="482" t="s">
        <v>43</v>
      </c>
      <c r="N1133" s="482"/>
      <c r="O1133" s="482"/>
      <c r="P1133" s="482" t="s">
        <v>1972</v>
      </c>
      <c r="Q1133" s="482"/>
      <c r="R1133" s="494"/>
      <c r="S1133" s="487"/>
      <c r="T1133" s="506">
        <v>43567</v>
      </c>
      <c r="U1133" s="488"/>
      <c r="V1133" s="482"/>
      <c r="W1133" s="486"/>
    </row>
    <row r="1134" spans="1:23" ht="14.25" customHeight="1">
      <c r="A1134" s="491" t="s">
        <v>698</v>
      </c>
      <c r="B1134" s="514" t="s">
        <v>739</v>
      </c>
      <c r="C1134" s="452" t="s">
        <v>740</v>
      </c>
      <c r="D1134" s="431" t="s">
        <v>2817</v>
      </c>
      <c r="E1134" s="482" t="s">
        <v>1416</v>
      </c>
      <c r="F1134" s="482" t="s">
        <v>1757</v>
      </c>
      <c r="G1134" s="482" t="s">
        <v>1758</v>
      </c>
      <c r="H1134" s="482"/>
      <c r="I1134" s="484" t="s">
        <v>2116</v>
      </c>
      <c r="J1134" s="482" t="s">
        <v>42</v>
      </c>
      <c r="K1134" s="482" t="s">
        <v>42</v>
      </c>
      <c r="L1134" s="482" t="s">
        <v>772</v>
      </c>
      <c r="M1134" s="482" t="s">
        <v>43</v>
      </c>
      <c r="N1134" s="482">
        <v>22.677008000000001</v>
      </c>
      <c r="O1134" s="482">
        <v>97.314762999999999</v>
      </c>
      <c r="P1134" s="482" t="s">
        <v>757</v>
      </c>
      <c r="Q1134" s="482" t="s">
        <v>758</v>
      </c>
      <c r="R1134" s="486">
        <v>37</v>
      </c>
      <c r="S1134" s="486">
        <v>120</v>
      </c>
      <c r="T1134" s="506"/>
      <c r="U1134" s="488" t="s">
        <v>958</v>
      </c>
      <c r="V1134" s="482" t="s">
        <v>959</v>
      </c>
      <c r="W1134" s="392" t="s">
        <v>2170</v>
      </c>
    </row>
    <row r="1135" spans="1:23" ht="14.25" customHeight="1">
      <c r="A1135" s="491" t="s">
        <v>698</v>
      </c>
      <c r="B1135" s="514" t="s">
        <v>739</v>
      </c>
      <c r="C1135" s="452" t="s">
        <v>2642</v>
      </c>
      <c r="D1135" s="485"/>
      <c r="E1135" s="482"/>
      <c r="F1135" s="482"/>
      <c r="G1135" s="482"/>
      <c r="H1135" s="482"/>
      <c r="I1135" s="482"/>
      <c r="J1135" s="482" t="s">
        <v>2652</v>
      </c>
      <c r="K1135" s="482" t="s">
        <v>2622</v>
      </c>
      <c r="L1135" s="482" t="s">
        <v>2622</v>
      </c>
      <c r="M1135" s="482" t="s">
        <v>43</v>
      </c>
      <c r="N1135" s="482"/>
      <c r="O1135" s="482"/>
      <c r="P1135" s="482" t="s">
        <v>1972</v>
      </c>
      <c r="Q1135" s="482"/>
      <c r="R1135" s="494"/>
      <c r="S1135" s="487"/>
      <c r="T1135" s="506">
        <v>43567</v>
      </c>
      <c r="U1135" s="488"/>
      <c r="V1135" s="482"/>
      <c r="W1135" s="486"/>
    </row>
    <row r="1136" spans="1:23" ht="14.25" customHeight="1">
      <c r="A1136" s="491" t="s">
        <v>698</v>
      </c>
      <c r="B1136" s="514" t="s">
        <v>739</v>
      </c>
      <c r="C1136" s="452" t="s">
        <v>2643</v>
      </c>
      <c r="D1136" s="485"/>
      <c r="E1136" s="482"/>
      <c r="F1136" s="482"/>
      <c r="G1136" s="482"/>
      <c r="H1136" s="482"/>
      <c r="I1136" s="482"/>
      <c r="J1136" s="482" t="s">
        <v>2652</v>
      </c>
      <c r="K1136" s="482" t="s">
        <v>2622</v>
      </c>
      <c r="L1136" s="482" t="s">
        <v>2622</v>
      </c>
      <c r="M1136" s="482" t="s">
        <v>43</v>
      </c>
      <c r="N1136" s="482"/>
      <c r="O1136" s="482"/>
      <c r="P1136" s="482" t="s">
        <v>1972</v>
      </c>
      <c r="Q1136" s="482"/>
      <c r="R1136" s="494"/>
      <c r="S1136" s="487"/>
      <c r="T1136" s="506">
        <v>43567</v>
      </c>
      <c r="U1136" s="488"/>
      <c r="V1136" s="482"/>
      <c r="W1136" s="486"/>
    </row>
    <row r="1137" spans="1:23" ht="14.25" customHeight="1">
      <c r="A1137" s="668" t="s">
        <v>698</v>
      </c>
      <c r="B1137" s="657" t="s">
        <v>1246</v>
      </c>
      <c r="C1137" s="658" t="s">
        <v>3010</v>
      </c>
      <c r="D1137" s="485"/>
      <c r="E1137" s="659"/>
      <c r="F1137" s="659"/>
      <c r="G1137" s="659"/>
      <c r="H1137" s="659"/>
      <c r="I1137" s="659"/>
      <c r="J1137" s="659" t="s">
        <v>794</v>
      </c>
      <c r="K1137" s="659" t="s">
        <v>794</v>
      </c>
      <c r="L1137" s="659" t="s">
        <v>794</v>
      </c>
      <c r="M1137" s="659"/>
      <c r="N1137" s="659"/>
      <c r="O1137" s="659"/>
      <c r="P1137" s="659"/>
      <c r="Q1137" s="659" t="s">
        <v>3102</v>
      </c>
      <c r="R1137" s="660"/>
      <c r="S1137" s="656"/>
      <c r="T1137" s="661">
        <v>43843</v>
      </c>
      <c r="U1137" s="660"/>
      <c r="V1137" s="659"/>
      <c r="W1137" s="486"/>
    </row>
    <row r="1138" spans="1:23" ht="14.25" customHeight="1">
      <c r="A1138" s="668" t="s">
        <v>698</v>
      </c>
      <c r="B1138" s="657" t="s">
        <v>1246</v>
      </c>
      <c r="C1138" s="658" t="s">
        <v>3009</v>
      </c>
      <c r="D1138" s="485"/>
      <c r="E1138" s="659"/>
      <c r="F1138" s="659"/>
      <c r="G1138" s="659"/>
      <c r="H1138" s="659"/>
      <c r="I1138" s="659"/>
      <c r="J1138" s="659" t="s">
        <v>794</v>
      </c>
      <c r="K1138" s="659" t="s">
        <v>794</v>
      </c>
      <c r="L1138" s="659" t="s">
        <v>794</v>
      </c>
      <c r="M1138" s="659"/>
      <c r="N1138" s="659"/>
      <c r="O1138" s="659"/>
      <c r="P1138" s="659"/>
      <c r="Q1138" s="659" t="s">
        <v>3102</v>
      </c>
      <c r="R1138" s="660"/>
      <c r="S1138" s="656"/>
      <c r="T1138" s="661">
        <v>43843</v>
      </c>
      <c r="U1138" s="660"/>
      <c r="V1138" s="659"/>
      <c r="W1138" s="486"/>
    </row>
    <row r="1139" spans="1:23" ht="14.25" customHeight="1">
      <c r="A1139" s="668" t="s">
        <v>698</v>
      </c>
      <c r="B1139" s="657" t="s">
        <v>3068</v>
      </c>
      <c r="C1139" s="658" t="s">
        <v>3081</v>
      </c>
      <c r="D1139" s="485"/>
      <c r="E1139" s="659"/>
      <c r="F1139" s="670"/>
      <c r="G1139" s="659"/>
      <c r="H1139" s="659"/>
      <c r="I1139" s="659"/>
      <c r="J1139" s="659" t="s">
        <v>794</v>
      </c>
      <c r="K1139" s="659" t="s">
        <v>794</v>
      </c>
      <c r="L1139" s="659" t="s">
        <v>794</v>
      </c>
      <c r="M1139" s="659"/>
      <c r="N1139" s="659"/>
      <c r="O1139" s="659"/>
      <c r="P1139" s="659"/>
      <c r="Q1139" s="659" t="s">
        <v>3102</v>
      </c>
      <c r="R1139" s="660"/>
      <c r="S1139" s="656"/>
      <c r="T1139" s="661">
        <v>43843</v>
      </c>
      <c r="U1139" s="660"/>
      <c r="V1139" s="659"/>
      <c r="W1139" s="486"/>
    </row>
    <row r="1140" spans="1:23" ht="14.25" customHeight="1">
      <c r="A1140" s="668" t="s">
        <v>698</v>
      </c>
      <c r="B1140" s="657" t="s">
        <v>3068</v>
      </c>
      <c r="C1140" s="658" t="s">
        <v>3092</v>
      </c>
      <c r="D1140" s="485"/>
      <c r="E1140" s="659"/>
      <c r="F1140" s="659"/>
      <c r="G1140" s="659"/>
      <c r="H1140" s="659"/>
      <c r="I1140" s="659"/>
      <c r="J1140" s="659" t="s">
        <v>794</v>
      </c>
      <c r="K1140" s="659" t="s">
        <v>794</v>
      </c>
      <c r="L1140" s="659" t="s">
        <v>794</v>
      </c>
      <c r="M1140" s="659"/>
      <c r="N1140" s="659"/>
      <c r="O1140" s="659"/>
      <c r="P1140" s="659"/>
      <c r="Q1140" s="659" t="s">
        <v>3102</v>
      </c>
      <c r="R1140" s="660"/>
      <c r="S1140" s="656"/>
      <c r="T1140" s="661">
        <v>43843</v>
      </c>
      <c r="U1140" s="660"/>
      <c r="V1140" s="659"/>
      <c r="W1140" s="486"/>
    </row>
    <row r="1141" spans="1:23" ht="14.25" customHeight="1">
      <c r="A1141" s="668" t="s">
        <v>698</v>
      </c>
      <c r="B1141" s="657" t="s">
        <v>3068</v>
      </c>
      <c r="C1141" s="658" t="s">
        <v>3077</v>
      </c>
      <c r="D1141" s="485"/>
      <c r="E1141" s="659"/>
      <c r="F1141" s="659"/>
      <c r="G1141" s="659"/>
      <c r="H1141" s="659"/>
      <c r="I1141" s="659"/>
      <c r="J1141" s="659" t="s">
        <v>794</v>
      </c>
      <c r="K1141" s="659" t="s">
        <v>794</v>
      </c>
      <c r="L1141" s="659" t="s">
        <v>794</v>
      </c>
      <c r="M1141" s="659"/>
      <c r="N1141" s="659"/>
      <c r="O1141" s="659"/>
      <c r="P1141" s="659"/>
      <c r="Q1141" s="659" t="s">
        <v>3102</v>
      </c>
      <c r="R1141" s="660"/>
      <c r="S1141" s="656"/>
      <c r="T1141" s="661">
        <v>43843</v>
      </c>
      <c r="U1141" s="660"/>
      <c r="V1141" s="670"/>
      <c r="W1141" s="486"/>
    </row>
    <row r="1142" spans="1:23" ht="14.25" customHeight="1">
      <c r="A1142" s="668" t="s">
        <v>698</v>
      </c>
      <c r="B1142" s="657" t="s">
        <v>3068</v>
      </c>
      <c r="C1142" s="658" t="s">
        <v>3100</v>
      </c>
      <c r="D1142" s="485"/>
      <c r="E1142" s="659"/>
      <c r="F1142" s="659"/>
      <c r="G1142" s="659"/>
      <c r="H1142" s="659"/>
      <c r="I1142" s="659"/>
      <c r="J1142" s="659" t="s">
        <v>794</v>
      </c>
      <c r="K1142" s="659" t="s">
        <v>794</v>
      </c>
      <c r="L1142" s="659" t="s">
        <v>794</v>
      </c>
      <c r="M1142" s="659"/>
      <c r="N1142" s="659"/>
      <c r="O1142" s="659"/>
      <c r="P1142" s="659"/>
      <c r="Q1142" s="659" t="s">
        <v>3102</v>
      </c>
      <c r="R1142" s="660"/>
      <c r="S1142" s="656"/>
      <c r="T1142" s="661">
        <v>43843</v>
      </c>
      <c r="U1142" s="660"/>
      <c r="V1142" s="659"/>
      <c r="W1142" s="486"/>
    </row>
    <row r="1143" spans="1:23" ht="14.25" customHeight="1">
      <c r="A1143" s="668" t="s">
        <v>698</v>
      </c>
      <c r="B1143" s="657" t="s">
        <v>3068</v>
      </c>
      <c r="C1143" s="658" t="s">
        <v>3093</v>
      </c>
      <c r="D1143" s="485"/>
      <c r="E1143" s="659"/>
      <c r="F1143" s="659"/>
      <c r="G1143" s="659"/>
      <c r="H1143" s="659"/>
      <c r="I1143" s="659"/>
      <c r="J1143" s="659" t="s">
        <v>794</v>
      </c>
      <c r="K1143" s="659" t="s">
        <v>794</v>
      </c>
      <c r="L1143" s="659" t="s">
        <v>794</v>
      </c>
      <c r="M1143" s="659"/>
      <c r="N1143" s="659"/>
      <c r="O1143" s="659"/>
      <c r="P1143" s="659"/>
      <c r="Q1143" s="659" t="s">
        <v>3102</v>
      </c>
      <c r="R1143" s="660"/>
      <c r="S1143" s="656"/>
      <c r="T1143" s="661">
        <v>43843</v>
      </c>
      <c r="U1143" s="660"/>
      <c r="V1143" s="659"/>
      <c r="W1143" s="486"/>
    </row>
    <row r="1144" spans="1:23" ht="14.25" customHeight="1">
      <c r="A1144" s="668" t="s">
        <v>698</v>
      </c>
      <c r="B1144" s="657" t="s">
        <v>3068</v>
      </c>
      <c r="C1144" s="658" t="s">
        <v>3094</v>
      </c>
      <c r="D1144" s="485"/>
      <c r="E1144" s="659"/>
      <c r="F1144" s="659"/>
      <c r="G1144" s="659"/>
      <c r="H1144" s="659"/>
      <c r="I1144" s="659"/>
      <c r="J1144" s="659" t="s">
        <v>794</v>
      </c>
      <c r="K1144" s="659" t="s">
        <v>794</v>
      </c>
      <c r="L1144" s="659" t="s">
        <v>794</v>
      </c>
      <c r="M1144" s="659"/>
      <c r="N1144" s="659"/>
      <c r="O1144" s="659"/>
      <c r="P1144" s="659"/>
      <c r="Q1144" s="659" t="s">
        <v>3102</v>
      </c>
      <c r="R1144" s="660"/>
      <c r="S1144" s="656"/>
      <c r="T1144" s="661">
        <v>43843</v>
      </c>
      <c r="U1144" s="660"/>
      <c r="V1144" s="659"/>
      <c r="W1144" s="486"/>
    </row>
    <row r="1145" spans="1:23" ht="14.25" customHeight="1">
      <c r="A1145" s="668" t="s">
        <v>698</v>
      </c>
      <c r="B1145" s="657" t="s">
        <v>3068</v>
      </c>
      <c r="C1145" s="658" t="s">
        <v>3087</v>
      </c>
      <c r="D1145" s="485"/>
      <c r="E1145" s="659"/>
      <c r="F1145" s="659"/>
      <c r="G1145" s="659"/>
      <c r="H1145" s="659"/>
      <c r="I1145" s="659"/>
      <c r="J1145" s="659" t="s">
        <v>794</v>
      </c>
      <c r="K1145" s="659" t="s">
        <v>794</v>
      </c>
      <c r="L1145" s="659" t="s">
        <v>794</v>
      </c>
      <c r="M1145" s="659"/>
      <c r="N1145" s="659"/>
      <c r="O1145" s="659"/>
      <c r="P1145" s="659"/>
      <c r="Q1145" s="659" t="s">
        <v>3102</v>
      </c>
      <c r="R1145" s="660"/>
      <c r="S1145" s="656"/>
      <c r="T1145" s="661">
        <v>43843</v>
      </c>
      <c r="U1145" s="660"/>
      <c r="V1145" s="659"/>
      <c r="W1145" s="486"/>
    </row>
    <row r="1146" spans="1:23" ht="14.25" customHeight="1">
      <c r="A1146" s="668" t="s">
        <v>698</v>
      </c>
      <c r="B1146" s="657" t="s">
        <v>3068</v>
      </c>
      <c r="C1146" s="658" t="s">
        <v>3076</v>
      </c>
      <c r="D1146" s="485"/>
      <c r="E1146" s="659"/>
      <c r="F1146" s="659"/>
      <c r="G1146" s="659"/>
      <c r="H1146" s="659"/>
      <c r="I1146" s="659"/>
      <c r="J1146" s="659" t="s">
        <v>794</v>
      </c>
      <c r="K1146" s="659" t="s">
        <v>794</v>
      </c>
      <c r="L1146" s="659" t="s">
        <v>794</v>
      </c>
      <c r="M1146" s="659"/>
      <c r="N1146" s="659"/>
      <c r="O1146" s="659"/>
      <c r="P1146" s="659"/>
      <c r="Q1146" s="659" t="s">
        <v>3102</v>
      </c>
      <c r="R1146" s="660"/>
      <c r="S1146" s="656"/>
      <c r="T1146" s="661">
        <v>43843</v>
      </c>
      <c r="U1146" s="660"/>
      <c r="V1146" s="659"/>
      <c r="W1146" s="486"/>
    </row>
    <row r="1147" spans="1:23" ht="14.25" customHeight="1">
      <c r="A1147" s="668" t="s">
        <v>698</v>
      </c>
      <c r="B1147" s="657" t="s">
        <v>3068</v>
      </c>
      <c r="C1147" s="658" t="s">
        <v>3096</v>
      </c>
      <c r="D1147" s="485"/>
      <c r="E1147" s="659"/>
      <c r="F1147" s="659"/>
      <c r="G1147" s="659"/>
      <c r="H1147" s="659"/>
      <c r="I1147" s="659"/>
      <c r="J1147" s="659" t="s">
        <v>794</v>
      </c>
      <c r="K1147" s="659" t="s">
        <v>794</v>
      </c>
      <c r="L1147" s="659" t="s">
        <v>794</v>
      </c>
      <c r="M1147" s="659"/>
      <c r="N1147" s="659"/>
      <c r="O1147" s="659"/>
      <c r="P1147" s="659"/>
      <c r="Q1147" s="659" t="s">
        <v>3102</v>
      </c>
      <c r="R1147" s="660"/>
      <c r="S1147" s="656"/>
      <c r="T1147" s="661">
        <v>43843</v>
      </c>
      <c r="U1147" s="660"/>
      <c r="V1147" s="659"/>
      <c r="W1147" s="486"/>
    </row>
    <row r="1148" spans="1:23" ht="14.25" customHeight="1">
      <c r="A1148" s="668" t="s">
        <v>698</v>
      </c>
      <c r="B1148" s="657" t="s">
        <v>3068</v>
      </c>
      <c r="C1148" s="658" t="s">
        <v>3079</v>
      </c>
      <c r="D1148" s="485"/>
      <c r="E1148" s="659"/>
      <c r="F1148" s="659"/>
      <c r="G1148" s="659"/>
      <c r="H1148" s="659"/>
      <c r="I1148" s="659"/>
      <c r="J1148" s="659" t="s">
        <v>794</v>
      </c>
      <c r="K1148" s="659" t="s">
        <v>794</v>
      </c>
      <c r="L1148" s="659" t="s">
        <v>794</v>
      </c>
      <c r="M1148" s="659"/>
      <c r="N1148" s="659"/>
      <c r="O1148" s="659"/>
      <c r="P1148" s="659"/>
      <c r="Q1148" s="659" t="s">
        <v>3102</v>
      </c>
      <c r="R1148" s="660"/>
      <c r="S1148" s="656"/>
      <c r="T1148" s="661">
        <v>43843</v>
      </c>
      <c r="U1148" s="660"/>
      <c r="V1148" s="659"/>
      <c r="W1148" s="486"/>
    </row>
    <row r="1149" spans="1:23" ht="14.25" customHeight="1">
      <c r="A1149" s="668" t="s">
        <v>698</v>
      </c>
      <c r="B1149" s="657" t="s">
        <v>3068</v>
      </c>
      <c r="C1149" s="658" t="s">
        <v>3095</v>
      </c>
      <c r="D1149" s="485"/>
      <c r="E1149" s="659"/>
      <c r="F1149" s="659"/>
      <c r="G1149" s="659"/>
      <c r="H1149" s="659"/>
      <c r="I1149" s="659"/>
      <c r="J1149" s="659" t="s">
        <v>794</v>
      </c>
      <c r="K1149" s="659" t="s">
        <v>794</v>
      </c>
      <c r="L1149" s="659" t="s">
        <v>794</v>
      </c>
      <c r="M1149" s="659"/>
      <c r="N1149" s="659"/>
      <c r="O1149" s="659"/>
      <c r="P1149" s="659"/>
      <c r="Q1149" s="659" t="s">
        <v>3102</v>
      </c>
      <c r="R1149" s="660"/>
      <c r="S1149" s="656"/>
      <c r="T1149" s="661">
        <v>43843</v>
      </c>
      <c r="U1149" s="660"/>
      <c r="V1149" s="659"/>
      <c r="W1149" s="486"/>
    </row>
    <row r="1150" spans="1:23" ht="14.25" customHeight="1">
      <c r="A1150" s="668" t="s">
        <v>698</v>
      </c>
      <c r="B1150" s="657" t="s">
        <v>3068</v>
      </c>
      <c r="C1150" s="658" t="s">
        <v>3069</v>
      </c>
      <c r="D1150" s="485"/>
      <c r="E1150" s="659"/>
      <c r="F1150" s="659"/>
      <c r="G1150" s="659"/>
      <c r="H1150" s="659"/>
      <c r="I1150" s="659"/>
      <c r="J1150" s="659" t="s">
        <v>794</v>
      </c>
      <c r="K1150" s="659" t="s">
        <v>794</v>
      </c>
      <c r="L1150" s="659" t="s">
        <v>794</v>
      </c>
      <c r="M1150" s="659"/>
      <c r="N1150" s="659"/>
      <c r="O1150" s="659"/>
      <c r="P1150" s="659"/>
      <c r="Q1150" s="659" t="s">
        <v>3102</v>
      </c>
      <c r="R1150" s="660"/>
      <c r="S1150" s="656"/>
      <c r="T1150" s="661">
        <v>43843</v>
      </c>
      <c r="U1150" s="660"/>
      <c r="V1150" s="659"/>
      <c r="W1150" s="486"/>
    </row>
    <row r="1151" spans="1:23" ht="14.25" customHeight="1">
      <c r="A1151" s="668" t="s">
        <v>698</v>
      </c>
      <c r="B1151" s="657" t="s">
        <v>3068</v>
      </c>
      <c r="C1151" s="658" t="s">
        <v>3075</v>
      </c>
      <c r="D1151" s="485"/>
      <c r="E1151" s="659"/>
      <c r="F1151" s="659"/>
      <c r="G1151" s="659"/>
      <c r="H1151" s="659"/>
      <c r="I1151" s="659"/>
      <c r="J1151" s="659" t="s">
        <v>794</v>
      </c>
      <c r="K1151" s="659" t="s">
        <v>794</v>
      </c>
      <c r="L1151" s="659" t="s">
        <v>794</v>
      </c>
      <c r="M1151" s="659"/>
      <c r="N1151" s="659"/>
      <c r="O1151" s="659"/>
      <c r="P1151" s="659"/>
      <c r="Q1151" s="659" t="s">
        <v>3102</v>
      </c>
      <c r="R1151" s="660"/>
      <c r="S1151" s="656"/>
      <c r="T1151" s="661">
        <v>43843</v>
      </c>
      <c r="U1151" s="660"/>
      <c r="V1151" s="659"/>
      <c r="W1151" s="486"/>
    </row>
    <row r="1152" spans="1:23" ht="14.25" customHeight="1">
      <c r="A1152" s="668" t="s">
        <v>698</v>
      </c>
      <c r="B1152" s="657" t="s">
        <v>3068</v>
      </c>
      <c r="C1152" s="658" t="s">
        <v>3091</v>
      </c>
      <c r="D1152" s="485"/>
      <c r="E1152" s="659"/>
      <c r="F1152" s="659"/>
      <c r="G1152" s="659"/>
      <c r="H1152" s="659"/>
      <c r="I1152" s="659"/>
      <c r="J1152" s="659" t="s">
        <v>794</v>
      </c>
      <c r="K1152" s="659" t="s">
        <v>794</v>
      </c>
      <c r="L1152" s="659" t="s">
        <v>794</v>
      </c>
      <c r="M1152" s="659"/>
      <c r="N1152" s="659"/>
      <c r="O1152" s="659"/>
      <c r="P1152" s="659"/>
      <c r="Q1152" s="659" t="s">
        <v>3102</v>
      </c>
      <c r="R1152" s="660"/>
      <c r="S1152" s="656"/>
      <c r="T1152" s="661">
        <v>43843</v>
      </c>
      <c r="U1152" s="660"/>
      <c r="V1152" s="659"/>
      <c r="W1152" s="486"/>
    </row>
    <row r="1153" spans="1:23" ht="14.25" customHeight="1">
      <c r="A1153" s="668" t="s">
        <v>698</v>
      </c>
      <c r="B1153" s="657" t="s">
        <v>3068</v>
      </c>
      <c r="C1153" s="658" t="s">
        <v>3074</v>
      </c>
      <c r="D1153" s="485"/>
      <c r="E1153" s="659"/>
      <c r="F1153" s="659"/>
      <c r="G1153" s="659"/>
      <c r="H1153" s="659"/>
      <c r="I1153" s="659"/>
      <c r="J1153" s="659" t="s">
        <v>794</v>
      </c>
      <c r="K1153" s="659" t="s">
        <v>794</v>
      </c>
      <c r="L1153" s="659" t="s">
        <v>794</v>
      </c>
      <c r="M1153" s="659"/>
      <c r="N1153" s="659"/>
      <c r="O1153" s="659"/>
      <c r="P1153" s="659"/>
      <c r="Q1153" s="659" t="s">
        <v>3102</v>
      </c>
      <c r="R1153" s="660"/>
      <c r="S1153" s="656"/>
      <c r="T1153" s="661">
        <v>43843</v>
      </c>
      <c r="U1153" s="660"/>
      <c r="V1153" s="659"/>
      <c r="W1153" s="486"/>
    </row>
    <row r="1154" spans="1:23" ht="14.25" customHeight="1">
      <c r="A1154" s="668" t="s">
        <v>698</v>
      </c>
      <c r="B1154" s="657" t="s">
        <v>3068</v>
      </c>
      <c r="C1154" s="658" t="s">
        <v>3080</v>
      </c>
      <c r="D1154" s="485"/>
      <c r="E1154" s="659"/>
      <c r="F1154" s="659"/>
      <c r="G1154" s="659"/>
      <c r="H1154" s="659"/>
      <c r="I1154" s="659"/>
      <c r="J1154" s="659" t="s">
        <v>794</v>
      </c>
      <c r="K1154" s="659" t="s">
        <v>794</v>
      </c>
      <c r="L1154" s="659" t="s">
        <v>794</v>
      </c>
      <c r="M1154" s="659"/>
      <c r="N1154" s="659"/>
      <c r="O1154" s="659"/>
      <c r="P1154" s="659"/>
      <c r="Q1154" s="659" t="s">
        <v>3102</v>
      </c>
      <c r="R1154" s="660"/>
      <c r="S1154" s="656"/>
      <c r="T1154" s="661">
        <v>43843</v>
      </c>
      <c r="U1154" s="660"/>
      <c r="V1154" s="659"/>
      <c r="W1154" s="486"/>
    </row>
    <row r="1155" spans="1:23" ht="14.25" customHeight="1">
      <c r="A1155" s="668" t="s">
        <v>698</v>
      </c>
      <c r="B1155" s="657" t="s">
        <v>3068</v>
      </c>
      <c r="C1155" s="658" t="s">
        <v>3078</v>
      </c>
      <c r="D1155" s="485"/>
      <c r="E1155" s="659"/>
      <c r="F1155" s="659"/>
      <c r="G1155" s="659"/>
      <c r="H1155" s="659"/>
      <c r="I1155" s="659"/>
      <c r="J1155" s="659" t="s">
        <v>794</v>
      </c>
      <c r="K1155" s="659" t="s">
        <v>794</v>
      </c>
      <c r="L1155" s="659" t="s">
        <v>794</v>
      </c>
      <c r="M1155" s="659"/>
      <c r="N1155" s="659"/>
      <c r="O1155" s="659"/>
      <c r="P1155" s="659"/>
      <c r="Q1155" s="659" t="s">
        <v>3102</v>
      </c>
      <c r="R1155" s="660"/>
      <c r="S1155" s="656"/>
      <c r="T1155" s="661">
        <v>43843</v>
      </c>
      <c r="U1155" s="660"/>
      <c r="V1155" s="659"/>
      <c r="W1155" s="486"/>
    </row>
    <row r="1156" spans="1:23" ht="14.25" customHeight="1">
      <c r="A1156" s="656" t="s">
        <v>698</v>
      </c>
      <c r="B1156" s="657" t="s">
        <v>3068</v>
      </c>
      <c r="C1156" s="658" t="s">
        <v>3071</v>
      </c>
      <c r="D1156" s="485"/>
      <c r="E1156" s="659"/>
      <c r="F1156" s="659"/>
      <c r="G1156" s="659"/>
      <c r="H1156" s="659"/>
      <c r="I1156" s="659"/>
      <c r="J1156" s="659" t="s">
        <v>794</v>
      </c>
      <c r="K1156" s="659" t="s">
        <v>794</v>
      </c>
      <c r="L1156" s="659" t="s">
        <v>794</v>
      </c>
      <c r="M1156" s="659"/>
      <c r="N1156" s="659"/>
      <c r="O1156" s="659"/>
      <c r="P1156" s="659"/>
      <c r="Q1156" s="659" t="s">
        <v>3102</v>
      </c>
      <c r="R1156" s="660"/>
      <c r="S1156" s="656"/>
      <c r="T1156" s="661">
        <v>43843</v>
      </c>
      <c r="U1156" s="660"/>
      <c r="V1156" s="659"/>
      <c r="W1156" s="486"/>
    </row>
    <row r="1157" spans="1:23" ht="14.25" customHeight="1">
      <c r="A1157" s="656" t="s">
        <v>698</v>
      </c>
      <c r="B1157" s="657" t="s">
        <v>3068</v>
      </c>
      <c r="C1157" s="658" t="s">
        <v>3097</v>
      </c>
      <c r="D1157" s="485"/>
      <c r="E1157" s="659"/>
      <c r="F1157" s="659"/>
      <c r="G1157" s="659"/>
      <c r="H1157" s="659"/>
      <c r="I1157" s="659"/>
      <c r="J1157" s="659" t="s">
        <v>794</v>
      </c>
      <c r="K1157" s="659" t="s">
        <v>794</v>
      </c>
      <c r="L1157" s="659" t="s">
        <v>794</v>
      </c>
      <c r="M1157" s="659"/>
      <c r="N1157" s="659"/>
      <c r="O1157" s="659"/>
      <c r="P1157" s="659"/>
      <c r="Q1157" s="659" t="s">
        <v>3102</v>
      </c>
      <c r="R1157" s="660"/>
      <c r="S1157" s="656"/>
      <c r="T1157" s="661">
        <v>43843</v>
      </c>
      <c r="U1157" s="660"/>
      <c r="V1157" s="659"/>
      <c r="W1157" s="486"/>
    </row>
    <row r="1158" spans="1:23" ht="14.25" customHeight="1">
      <c r="A1158" s="656" t="s">
        <v>698</v>
      </c>
      <c r="B1158" s="657" t="s">
        <v>3068</v>
      </c>
      <c r="C1158" s="658" t="s">
        <v>3089</v>
      </c>
      <c r="D1158" s="485"/>
      <c r="E1158" s="659"/>
      <c r="F1158" s="659"/>
      <c r="G1158" s="659"/>
      <c r="H1158" s="659"/>
      <c r="I1158" s="659"/>
      <c r="J1158" s="659" t="s">
        <v>794</v>
      </c>
      <c r="K1158" s="659" t="s">
        <v>794</v>
      </c>
      <c r="L1158" s="659" t="s">
        <v>794</v>
      </c>
      <c r="M1158" s="659"/>
      <c r="N1158" s="659"/>
      <c r="O1158" s="659"/>
      <c r="P1158" s="659"/>
      <c r="Q1158" s="659" t="s">
        <v>3102</v>
      </c>
      <c r="R1158" s="660"/>
      <c r="S1158" s="656"/>
      <c r="T1158" s="661">
        <v>43843</v>
      </c>
      <c r="U1158" s="660"/>
      <c r="V1158" s="659"/>
      <c r="W1158" s="486"/>
    </row>
    <row r="1159" spans="1:23" ht="14.25" customHeight="1">
      <c r="A1159" s="656" t="s">
        <v>698</v>
      </c>
      <c r="B1159" s="657" t="s">
        <v>3068</v>
      </c>
      <c r="C1159" s="658" t="s">
        <v>3090</v>
      </c>
      <c r="D1159" s="485"/>
      <c r="E1159" s="659"/>
      <c r="F1159" s="670"/>
      <c r="G1159" s="659"/>
      <c r="H1159" s="659"/>
      <c r="I1159" s="659"/>
      <c r="J1159" s="659" t="s">
        <v>794</v>
      </c>
      <c r="K1159" s="659" t="s">
        <v>794</v>
      </c>
      <c r="L1159" s="659" t="s">
        <v>794</v>
      </c>
      <c r="M1159" s="659"/>
      <c r="N1159" s="659"/>
      <c r="O1159" s="659"/>
      <c r="P1159" s="659"/>
      <c r="Q1159" s="659" t="s">
        <v>3102</v>
      </c>
      <c r="R1159" s="660"/>
      <c r="S1159" s="656"/>
      <c r="T1159" s="661">
        <v>43843</v>
      </c>
      <c r="U1159" s="660"/>
      <c r="V1159" s="659"/>
      <c r="W1159" s="486"/>
    </row>
    <row r="1160" spans="1:23" ht="14.25" customHeight="1">
      <c r="A1160" s="656" t="s">
        <v>698</v>
      </c>
      <c r="B1160" s="657" t="s">
        <v>3068</v>
      </c>
      <c r="C1160" s="658" t="s">
        <v>3070</v>
      </c>
      <c r="D1160" s="485"/>
      <c r="E1160" s="659"/>
      <c r="F1160" s="659"/>
      <c r="G1160" s="659"/>
      <c r="H1160" s="659"/>
      <c r="I1160" s="659"/>
      <c r="J1160" s="659" t="s">
        <v>794</v>
      </c>
      <c r="K1160" s="659" t="s">
        <v>794</v>
      </c>
      <c r="L1160" s="659" t="s">
        <v>794</v>
      </c>
      <c r="M1160" s="659"/>
      <c r="N1160" s="659"/>
      <c r="O1160" s="659"/>
      <c r="P1160" s="659"/>
      <c r="Q1160" s="659" t="s">
        <v>3102</v>
      </c>
      <c r="R1160" s="660"/>
      <c r="S1160" s="656"/>
      <c r="T1160" s="661">
        <v>43843</v>
      </c>
      <c r="U1160" s="660"/>
      <c r="V1160" s="659"/>
      <c r="W1160" s="486"/>
    </row>
    <row r="1161" spans="1:23" ht="14.25" customHeight="1">
      <c r="A1161" s="656" t="s">
        <v>698</v>
      </c>
      <c r="B1161" s="657" t="s">
        <v>3068</v>
      </c>
      <c r="C1161" s="658" t="s">
        <v>3084</v>
      </c>
      <c r="D1161" s="485"/>
      <c r="E1161" s="659"/>
      <c r="F1161" s="659"/>
      <c r="G1161" s="659"/>
      <c r="H1161" s="659"/>
      <c r="I1161" s="659"/>
      <c r="J1161" s="659" t="s">
        <v>794</v>
      </c>
      <c r="K1161" s="659" t="s">
        <v>794</v>
      </c>
      <c r="L1161" s="659" t="s">
        <v>794</v>
      </c>
      <c r="M1161" s="659"/>
      <c r="N1161" s="659"/>
      <c r="O1161" s="659"/>
      <c r="P1161" s="659"/>
      <c r="Q1161" s="659" t="s">
        <v>3102</v>
      </c>
      <c r="R1161" s="660"/>
      <c r="S1161" s="656"/>
      <c r="T1161" s="661">
        <v>43843</v>
      </c>
      <c r="U1161" s="660"/>
      <c r="V1161" s="670"/>
      <c r="W1161" s="486"/>
    </row>
    <row r="1162" spans="1:23" ht="14.25" customHeight="1">
      <c r="A1162" s="656" t="s">
        <v>698</v>
      </c>
      <c r="B1162" s="657" t="s">
        <v>3068</v>
      </c>
      <c r="C1162" s="658" t="s">
        <v>3083</v>
      </c>
      <c r="D1162" s="485"/>
      <c r="E1162" s="659"/>
      <c r="F1162" s="659"/>
      <c r="G1162" s="659"/>
      <c r="H1162" s="659"/>
      <c r="I1162" s="659"/>
      <c r="J1162" s="659" t="s">
        <v>794</v>
      </c>
      <c r="K1162" s="659" t="s">
        <v>794</v>
      </c>
      <c r="L1162" s="659" t="s">
        <v>794</v>
      </c>
      <c r="M1162" s="659"/>
      <c r="N1162" s="659"/>
      <c r="O1162" s="659"/>
      <c r="P1162" s="659"/>
      <c r="Q1162" s="659" t="s">
        <v>3102</v>
      </c>
      <c r="R1162" s="660"/>
      <c r="S1162" s="656"/>
      <c r="T1162" s="661">
        <v>43843</v>
      </c>
      <c r="U1162" s="660"/>
      <c r="V1162" s="659"/>
      <c r="W1162" s="486"/>
    </row>
    <row r="1163" spans="1:23" ht="14.25" customHeight="1">
      <c r="A1163" s="656" t="s">
        <v>698</v>
      </c>
      <c r="B1163" s="657" t="s">
        <v>3068</v>
      </c>
      <c r="C1163" s="658" t="s">
        <v>3085</v>
      </c>
      <c r="D1163" s="485"/>
      <c r="E1163" s="659"/>
      <c r="F1163" s="659"/>
      <c r="G1163" s="659"/>
      <c r="H1163" s="659"/>
      <c r="I1163" s="659"/>
      <c r="J1163" s="659" t="s">
        <v>794</v>
      </c>
      <c r="K1163" s="659" t="s">
        <v>794</v>
      </c>
      <c r="L1163" s="659" t="s">
        <v>794</v>
      </c>
      <c r="M1163" s="659"/>
      <c r="N1163" s="659"/>
      <c r="O1163" s="659"/>
      <c r="P1163" s="659"/>
      <c r="Q1163" s="659" t="s">
        <v>3102</v>
      </c>
      <c r="R1163" s="660"/>
      <c r="S1163" s="656"/>
      <c r="T1163" s="661">
        <v>43843</v>
      </c>
      <c r="U1163" s="660"/>
      <c r="V1163" s="659"/>
      <c r="W1163" s="486"/>
    </row>
    <row r="1164" spans="1:23" ht="14.25" customHeight="1">
      <c r="A1164" s="656" t="s">
        <v>698</v>
      </c>
      <c r="B1164" s="657" t="s">
        <v>3068</v>
      </c>
      <c r="C1164" s="658" t="s">
        <v>3088</v>
      </c>
      <c r="D1164" s="485"/>
      <c r="E1164" s="659"/>
      <c r="F1164" s="670"/>
      <c r="G1164" s="659"/>
      <c r="H1164" s="659"/>
      <c r="I1164" s="659"/>
      <c r="J1164" s="659" t="s">
        <v>794</v>
      </c>
      <c r="K1164" s="659" t="s">
        <v>794</v>
      </c>
      <c r="L1164" s="659" t="s">
        <v>794</v>
      </c>
      <c r="M1164" s="659"/>
      <c r="N1164" s="659"/>
      <c r="O1164" s="659"/>
      <c r="P1164" s="659"/>
      <c r="Q1164" s="659" t="s">
        <v>3102</v>
      </c>
      <c r="R1164" s="660"/>
      <c r="S1164" s="656"/>
      <c r="T1164" s="661">
        <v>43843</v>
      </c>
      <c r="U1164" s="660"/>
      <c r="V1164" s="659"/>
      <c r="W1164" s="486"/>
    </row>
    <row r="1165" spans="1:23" ht="14.25" customHeight="1">
      <c r="A1165" s="656" t="s">
        <v>698</v>
      </c>
      <c r="B1165" s="657" t="s">
        <v>3068</v>
      </c>
      <c r="C1165" s="658" t="s">
        <v>3086</v>
      </c>
      <c r="D1165" s="485"/>
      <c r="E1165" s="659"/>
      <c r="F1165" s="659"/>
      <c r="G1165" s="659"/>
      <c r="H1165" s="659"/>
      <c r="I1165" s="659"/>
      <c r="J1165" s="659" t="s">
        <v>794</v>
      </c>
      <c r="K1165" s="659" t="s">
        <v>794</v>
      </c>
      <c r="L1165" s="659" t="s">
        <v>794</v>
      </c>
      <c r="M1165" s="659"/>
      <c r="N1165" s="659"/>
      <c r="O1165" s="659"/>
      <c r="P1165" s="659"/>
      <c r="Q1165" s="659" t="s">
        <v>3102</v>
      </c>
      <c r="R1165" s="660"/>
      <c r="S1165" s="656"/>
      <c r="T1165" s="661">
        <v>43843</v>
      </c>
      <c r="U1165" s="660"/>
      <c r="V1165" s="659"/>
      <c r="W1165" s="486"/>
    </row>
    <row r="1166" spans="1:23" ht="14.25" customHeight="1">
      <c r="A1166" s="656" t="s">
        <v>698</v>
      </c>
      <c r="B1166" s="657" t="s">
        <v>3068</v>
      </c>
      <c r="C1166" s="658" t="s">
        <v>3072</v>
      </c>
      <c r="D1166" s="485"/>
      <c r="E1166" s="659"/>
      <c r="F1166" s="659"/>
      <c r="G1166" s="659"/>
      <c r="H1166" s="659"/>
      <c r="I1166" s="659"/>
      <c r="J1166" s="659" t="s">
        <v>794</v>
      </c>
      <c r="K1166" s="659" t="s">
        <v>794</v>
      </c>
      <c r="L1166" s="659" t="s">
        <v>794</v>
      </c>
      <c r="M1166" s="659"/>
      <c r="N1166" s="659"/>
      <c r="O1166" s="659"/>
      <c r="P1166" s="659"/>
      <c r="Q1166" s="659" t="s">
        <v>3102</v>
      </c>
      <c r="R1166" s="660"/>
      <c r="S1166" s="656"/>
      <c r="T1166" s="661">
        <v>43843</v>
      </c>
      <c r="U1166" s="660"/>
      <c r="V1166" s="670"/>
      <c r="W1166" s="486"/>
    </row>
    <row r="1167" spans="1:23" ht="14.25" customHeight="1">
      <c r="A1167" s="656" t="s">
        <v>698</v>
      </c>
      <c r="B1167" s="657" t="s">
        <v>3068</v>
      </c>
      <c r="C1167" s="658" t="s">
        <v>3082</v>
      </c>
      <c r="D1167" s="485"/>
      <c r="E1167" s="659"/>
      <c r="F1167" s="670"/>
      <c r="G1167" s="659"/>
      <c r="H1167" s="659"/>
      <c r="I1167" s="659"/>
      <c r="J1167" s="659" t="s">
        <v>794</v>
      </c>
      <c r="K1167" s="659" t="s">
        <v>794</v>
      </c>
      <c r="L1167" s="659" t="s">
        <v>794</v>
      </c>
      <c r="M1167" s="659"/>
      <c r="N1167" s="659"/>
      <c r="O1167" s="659"/>
      <c r="P1167" s="659"/>
      <c r="Q1167" s="659" t="s">
        <v>3102</v>
      </c>
      <c r="R1167" s="660"/>
      <c r="S1167" s="656"/>
      <c r="T1167" s="661">
        <v>43843</v>
      </c>
      <c r="U1167" s="660"/>
      <c r="V1167" s="659"/>
      <c r="W1167" s="486"/>
    </row>
    <row r="1168" spans="1:23" ht="14.25" customHeight="1">
      <c r="A1168" s="656" t="s">
        <v>698</v>
      </c>
      <c r="B1168" s="657" t="s">
        <v>3068</v>
      </c>
      <c r="C1168" s="658" t="s">
        <v>3099</v>
      </c>
      <c r="D1168" s="485"/>
      <c r="E1168" s="659"/>
      <c r="F1168" s="659"/>
      <c r="G1168" s="659"/>
      <c r="H1168" s="659"/>
      <c r="I1168" s="659"/>
      <c r="J1168" s="659" t="s">
        <v>794</v>
      </c>
      <c r="K1168" s="659" t="s">
        <v>794</v>
      </c>
      <c r="L1168" s="659" t="s">
        <v>794</v>
      </c>
      <c r="M1168" s="659"/>
      <c r="N1168" s="659"/>
      <c r="O1168" s="659"/>
      <c r="P1168" s="659"/>
      <c r="Q1168" s="659" t="s">
        <v>3102</v>
      </c>
      <c r="R1168" s="660"/>
      <c r="S1168" s="656"/>
      <c r="T1168" s="661">
        <v>43843</v>
      </c>
      <c r="U1168" s="660"/>
      <c r="V1168" s="659"/>
      <c r="W1168" s="486"/>
    </row>
    <row r="1169" spans="1:23" ht="14.25" customHeight="1">
      <c r="A1169" s="656" t="s">
        <v>698</v>
      </c>
      <c r="B1169" s="657" t="s">
        <v>3068</v>
      </c>
      <c r="C1169" s="658" t="s">
        <v>3101</v>
      </c>
      <c r="D1169" s="485"/>
      <c r="E1169" s="659"/>
      <c r="F1169" s="659"/>
      <c r="G1169" s="659"/>
      <c r="H1169" s="659"/>
      <c r="I1169" s="659"/>
      <c r="J1169" s="659" t="s">
        <v>794</v>
      </c>
      <c r="K1169" s="659" t="s">
        <v>794</v>
      </c>
      <c r="L1169" s="659" t="s">
        <v>794</v>
      </c>
      <c r="M1169" s="659"/>
      <c r="N1169" s="659"/>
      <c r="O1169" s="659"/>
      <c r="P1169" s="659"/>
      <c r="Q1169" s="659" t="s">
        <v>3102</v>
      </c>
      <c r="R1169" s="660"/>
      <c r="S1169" s="656"/>
      <c r="T1169" s="661">
        <v>43843</v>
      </c>
      <c r="U1169" s="660"/>
      <c r="V1169" s="670"/>
      <c r="W1169" s="486"/>
    </row>
    <row r="1170" spans="1:23" ht="14.25" customHeight="1">
      <c r="A1170" s="656" t="s">
        <v>698</v>
      </c>
      <c r="B1170" s="657" t="s">
        <v>3068</v>
      </c>
      <c r="C1170" s="658" t="s">
        <v>3098</v>
      </c>
      <c r="D1170" s="485"/>
      <c r="E1170" s="659"/>
      <c r="F1170" s="659"/>
      <c r="G1170" s="659"/>
      <c r="H1170" s="659"/>
      <c r="I1170" s="659"/>
      <c r="J1170" s="659" t="s">
        <v>794</v>
      </c>
      <c r="K1170" s="659" t="s">
        <v>794</v>
      </c>
      <c r="L1170" s="659" t="s">
        <v>794</v>
      </c>
      <c r="M1170" s="659"/>
      <c r="N1170" s="659"/>
      <c r="O1170" s="659"/>
      <c r="P1170" s="659"/>
      <c r="Q1170" s="659" t="s">
        <v>3102</v>
      </c>
      <c r="R1170" s="660"/>
      <c r="S1170" s="656"/>
      <c r="T1170" s="661">
        <v>43843</v>
      </c>
      <c r="U1170" s="660"/>
      <c r="V1170" s="659"/>
      <c r="W1170" s="486"/>
    </row>
    <row r="1171" spans="1:23" ht="14.25" customHeight="1">
      <c r="A1171" s="656" t="s">
        <v>698</v>
      </c>
      <c r="B1171" s="657" t="s">
        <v>3068</v>
      </c>
      <c r="C1171" s="658" t="s">
        <v>3073</v>
      </c>
      <c r="D1171" s="485"/>
      <c r="E1171" s="659"/>
      <c r="F1171" s="659"/>
      <c r="G1171" s="659"/>
      <c r="H1171" s="659"/>
      <c r="I1171" s="659"/>
      <c r="J1171" s="659" t="s">
        <v>794</v>
      </c>
      <c r="K1171" s="659" t="s">
        <v>794</v>
      </c>
      <c r="L1171" s="659" t="s">
        <v>794</v>
      </c>
      <c r="M1171" s="659"/>
      <c r="N1171" s="659"/>
      <c r="O1171" s="659"/>
      <c r="P1171" s="659"/>
      <c r="Q1171" s="659" t="s">
        <v>3102</v>
      </c>
      <c r="R1171" s="660"/>
      <c r="S1171" s="656"/>
      <c r="T1171" s="661">
        <v>43843</v>
      </c>
      <c r="U1171" s="660"/>
      <c r="V1171" s="659"/>
      <c r="W1171" s="486"/>
    </row>
    <row r="1172" spans="1:23" ht="14.25" customHeight="1">
      <c r="A1172" s="491" t="s">
        <v>698</v>
      </c>
      <c r="B1172" s="514" t="s">
        <v>702</v>
      </c>
      <c r="C1172" s="452" t="s">
        <v>2233</v>
      </c>
      <c r="D1172" s="431" t="s">
        <v>2817</v>
      </c>
      <c r="E1172" s="482" t="s">
        <v>2234</v>
      </c>
      <c r="F1172" s="482" t="s">
        <v>2235</v>
      </c>
      <c r="G1172" s="482" t="s">
        <v>2235</v>
      </c>
      <c r="H1172" s="482"/>
      <c r="I1172" s="484" t="s">
        <v>2116</v>
      </c>
      <c r="J1172" s="482" t="s">
        <v>42</v>
      </c>
      <c r="K1172" s="482" t="s">
        <v>42</v>
      </c>
      <c r="L1172" s="482" t="s">
        <v>772</v>
      </c>
      <c r="M1172" s="482" t="s">
        <v>43</v>
      </c>
      <c r="N1172" s="482">
        <v>0</v>
      </c>
      <c r="O1172" s="482">
        <v>0</v>
      </c>
      <c r="P1172" s="482" t="s">
        <v>757</v>
      </c>
      <c r="Q1172" s="482" t="s">
        <v>2236</v>
      </c>
      <c r="R1172" s="486">
        <v>86</v>
      </c>
      <c r="S1172" s="486">
        <v>525</v>
      </c>
      <c r="T1172" s="506">
        <v>43405</v>
      </c>
      <c r="U1172" s="488" t="s">
        <v>2237</v>
      </c>
      <c r="V1172" s="482" t="s">
        <v>2233</v>
      </c>
      <c r="W1172" s="392" t="s">
        <v>2238</v>
      </c>
    </row>
    <row r="1173" spans="1:23" ht="14.25" customHeight="1">
      <c r="A1173" s="491" t="s">
        <v>698</v>
      </c>
      <c r="B1173" s="514" t="s">
        <v>702</v>
      </c>
      <c r="C1173" s="452" t="s">
        <v>2239</v>
      </c>
      <c r="D1173" s="431" t="s">
        <v>2817</v>
      </c>
      <c r="E1173" s="482" t="s">
        <v>2240</v>
      </c>
      <c r="F1173" s="482" t="s">
        <v>2241</v>
      </c>
      <c r="G1173" s="482"/>
      <c r="H1173" s="482" t="s">
        <v>40</v>
      </c>
      <c r="I1173" s="482" t="s">
        <v>1331</v>
      </c>
      <c r="J1173" s="482" t="s">
        <v>42</v>
      </c>
      <c r="K1173" s="482" t="s">
        <v>42</v>
      </c>
      <c r="L1173" s="482" t="s">
        <v>42</v>
      </c>
      <c r="M1173" s="482" t="s">
        <v>43</v>
      </c>
      <c r="N1173" s="482">
        <v>0</v>
      </c>
      <c r="O1173" s="482">
        <v>0</v>
      </c>
      <c r="P1173" s="482" t="s">
        <v>757</v>
      </c>
      <c r="Q1173" s="482" t="s">
        <v>2236</v>
      </c>
      <c r="R1173" s="486">
        <v>32</v>
      </c>
      <c r="S1173" s="486">
        <v>150</v>
      </c>
      <c r="T1173" s="506"/>
      <c r="U1173" s="488" t="s">
        <v>2242</v>
      </c>
      <c r="V1173" s="482" t="s">
        <v>2239</v>
      </c>
      <c r="W1173" s="392" t="s">
        <v>2245</v>
      </c>
    </row>
    <row r="1174" spans="1:23" ht="14.25" customHeight="1">
      <c r="A1174" s="491" t="s">
        <v>698</v>
      </c>
      <c r="B1174" s="514" t="s">
        <v>702</v>
      </c>
      <c r="C1174" s="452" t="s">
        <v>723</v>
      </c>
      <c r="D1174" s="485" t="s">
        <v>1657</v>
      </c>
      <c r="E1174" s="482" t="s">
        <v>1429</v>
      </c>
      <c r="F1174" s="482" t="s">
        <v>1669</v>
      </c>
      <c r="G1174" s="482" t="s">
        <v>1670</v>
      </c>
      <c r="H1174" s="482" t="s">
        <v>40</v>
      </c>
      <c r="I1174" s="482" t="s">
        <v>131</v>
      </c>
      <c r="J1174" s="482" t="s">
        <v>42</v>
      </c>
      <c r="K1174" s="482" t="s">
        <v>964</v>
      </c>
      <c r="L1174" s="482" t="s">
        <v>756</v>
      </c>
      <c r="M1174" s="482" t="s">
        <v>43</v>
      </c>
      <c r="N1174" s="482">
        <v>23.4008</v>
      </c>
      <c r="O1174" s="482">
        <v>97.848529999999997</v>
      </c>
      <c r="P1174" s="482" t="s">
        <v>757</v>
      </c>
      <c r="Q1174" s="482" t="s">
        <v>776</v>
      </c>
      <c r="R1174" s="494"/>
      <c r="S1174" s="487"/>
      <c r="T1174" s="506">
        <v>43049</v>
      </c>
      <c r="U1174" s="488" t="s">
        <v>966</v>
      </c>
      <c r="V1174" s="482" t="s">
        <v>723</v>
      </c>
      <c r="W1174" s="392" t="s">
        <v>2171</v>
      </c>
    </row>
    <row r="1175" spans="1:23" ht="14.25" customHeight="1">
      <c r="A1175" s="491" t="s">
        <v>698</v>
      </c>
      <c r="B1175" s="514" t="s">
        <v>702</v>
      </c>
      <c r="C1175" s="452" t="s">
        <v>1100</v>
      </c>
      <c r="D1175" s="485" t="s">
        <v>1656</v>
      </c>
      <c r="E1175" s="482"/>
      <c r="F1175" s="482"/>
      <c r="G1175" s="482"/>
      <c r="H1175" s="482"/>
      <c r="I1175" s="482"/>
      <c r="J1175" s="482" t="s">
        <v>1460</v>
      </c>
      <c r="K1175" s="482" t="s">
        <v>42</v>
      </c>
      <c r="L1175" s="482" t="s">
        <v>1095</v>
      </c>
      <c r="M1175" s="482" t="s">
        <v>43</v>
      </c>
      <c r="N1175" s="482"/>
      <c r="O1175" s="482"/>
      <c r="P1175" s="482" t="s">
        <v>757</v>
      </c>
      <c r="Q1175" s="482" t="s">
        <v>776</v>
      </c>
      <c r="R1175" s="494"/>
      <c r="S1175" s="487"/>
      <c r="T1175" s="506"/>
      <c r="U1175" s="488" t="s">
        <v>1091</v>
      </c>
      <c r="V1175" s="482" t="s">
        <v>1100</v>
      </c>
      <c r="W1175" s="486"/>
    </row>
    <row r="1176" spans="1:23" ht="14.25" customHeight="1">
      <c r="A1176" s="491" t="s">
        <v>698</v>
      </c>
      <c r="B1176" s="514" t="s">
        <v>702</v>
      </c>
      <c r="C1176" s="452" t="s">
        <v>724</v>
      </c>
      <c r="D1176" s="431" t="s">
        <v>2817</v>
      </c>
      <c r="E1176" s="482" t="s">
        <v>1431</v>
      </c>
      <c r="F1176" s="482" t="s">
        <v>1762</v>
      </c>
      <c r="G1176" s="482" t="s">
        <v>1763</v>
      </c>
      <c r="H1176" s="482" t="s">
        <v>40</v>
      </c>
      <c r="I1176" s="482" t="s">
        <v>2662</v>
      </c>
      <c r="J1176" s="482" t="s">
        <v>42</v>
      </c>
      <c r="K1176" s="482" t="s">
        <v>42</v>
      </c>
      <c r="L1176" s="482" t="s">
        <v>42</v>
      </c>
      <c r="M1176" s="482" t="s">
        <v>43</v>
      </c>
      <c r="N1176" s="482">
        <v>23.450914000000001</v>
      </c>
      <c r="O1176" s="482">
        <v>97.926813999999993</v>
      </c>
      <c r="P1176" s="482" t="s">
        <v>757</v>
      </c>
      <c r="Q1176" s="482" t="s">
        <v>776</v>
      </c>
      <c r="R1176" s="486">
        <v>53</v>
      </c>
      <c r="S1176" s="486">
        <v>261</v>
      </c>
      <c r="T1176" s="506"/>
      <c r="U1176" s="488"/>
      <c r="V1176" s="482" t="s">
        <v>724</v>
      </c>
      <c r="W1176" s="392" t="s">
        <v>2172</v>
      </c>
    </row>
    <row r="1177" spans="1:23" ht="14.25" customHeight="1">
      <c r="A1177" s="491" t="s">
        <v>698</v>
      </c>
      <c r="B1177" s="514" t="s">
        <v>702</v>
      </c>
      <c r="C1177" s="452" t="s">
        <v>729</v>
      </c>
      <c r="D1177" s="431" t="s">
        <v>2817</v>
      </c>
      <c r="E1177" s="482" t="s">
        <v>1432</v>
      </c>
      <c r="F1177" s="482" t="s">
        <v>1762</v>
      </c>
      <c r="G1177" s="482" t="s">
        <v>1661</v>
      </c>
      <c r="H1177" s="482" t="s">
        <v>40</v>
      </c>
      <c r="I1177" s="482" t="s">
        <v>2662</v>
      </c>
      <c r="J1177" s="482" t="s">
        <v>42</v>
      </c>
      <c r="K1177" s="482" t="s">
        <v>42</v>
      </c>
      <c r="L1177" s="482" t="s">
        <v>42</v>
      </c>
      <c r="M1177" s="482" t="s">
        <v>43</v>
      </c>
      <c r="N1177" s="482">
        <v>23.460349999999998</v>
      </c>
      <c r="O1177" s="482">
        <v>97.947360000000003</v>
      </c>
      <c r="P1177" s="482" t="s">
        <v>757</v>
      </c>
      <c r="Q1177" s="482" t="s">
        <v>758</v>
      </c>
      <c r="R1177" s="486">
        <v>37</v>
      </c>
      <c r="S1177" s="486">
        <v>150</v>
      </c>
      <c r="T1177" s="506">
        <v>42836</v>
      </c>
      <c r="U1177" s="488" t="s">
        <v>967</v>
      </c>
      <c r="V1177" s="482"/>
      <c r="W1177" s="392" t="s">
        <v>2173</v>
      </c>
    </row>
    <row r="1178" spans="1:23" ht="14.25" customHeight="1">
      <c r="A1178" s="491" t="s">
        <v>698</v>
      </c>
      <c r="B1178" s="514" t="s">
        <v>702</v>
      </c>
      <c r="C1178" s="452" t="s">
        <v>703</v>
      </c>
      <c r="D1178" s="431" t="s">
        <v>2817</v>
      </c>
      <c r="E1178" s="482" t="s">
        <v>1433</v>
      </c>
      <c r="F1178" s="482" t="s">
        <v>1762</v>
      </c>
      <c r="G1178" s="482" t="s">
        <v>1764</v>
      </c>
      <c r="H1178" s="482" t="s">
        <v>40</v>
      </c>
      <c r="I1178" s="482" t="s">
        <v>1331</v>
      </c>
      <c r="J1178" s="482" t="s">
        <v>42</v>
      </c>
      <c r="K1178" s="482" t="s">
        <v>42</v>
      </c>
      <c r="L1178" s="482" t="s">
        <v>42</v>
      </c>
      <c r="M1178" s="482" t="s">
        <v>43</v>
      </c>
      <c r="N1178" s="482">
        <v>23.460349999999998</v>
      </c>
      <c r="O1178" s="482">
        <v>97.947360000000003</v>
      </c>
      <c r="P1178" s="482" t="s">
        <v>757</v>
      </c>
      <c r="Q1178" s="482" t="s">
        <v>776</v>
      </c>
      <c r="R1178" s="486">
        <v>28</v>
      </c>
      <c r="S1178" s="486">
        <v>135</v>
      </c>
      <c r="T1178" s="506"/>
      <c r="U1178" s="488"/>
      <c r="V1178" s="482" t="s">
        <v>703</v>
      </c>
      <c r="W1178" s="392" t="s">
        <v>2174</v>
      </c>
    </row>
    <row r="1179" spans="1:23" ht="14.25" customHeight="1">
      <c r="A1179" s="491" t="s">
        <v>698</v>
      </c>
      <c r="B1179" s="514" t="s">
        <v>702</v>
      </c>
      <c r="C1179" s="452" t="s">
        <v>748</v>
      </c>
      <c r="D1179" s="485" t="s">
        <v>1656</v>
      </c>
      <c r="E1179" s="482"/>
      <c r="F1179" s="482"/>
      <c r="G1179" s="482"/>
      <c r="H1179" s="482"/>
      <c r="I1179" s="482"/>
      <c r="J1179" s="482" t="s">
        <v>1460</v>
      </c>
      <c r="K1179" s="482" t="s">
        <v>42</v>
      </c>
      <c r="L1179" s="482" t="s">
        <v>42</v>
      </c>
      <c r="M1179" s="482" t="s">
        <v>43</v>
      </c>
      <c r="N1179" s="482"/>
      <c r="O1179" s="482"/>
      <c r="P1179" s="482" t="s">
        <v>757</v>
      </c>
      <c r="Q1179" s="482" t="s">
        <v>776</v>
      </c>
      <c r="R1179" s="494"/>
      <c r="S1179" s="487"/>
      <c r="T1179" s="506">
        <v>42747</v>
      </c>
      <c r="U1179" s="488"/>
      <c r="V1179" s="482"/>
      <c r="W1179" s="486"/>
    </row>
    <row r="1180" spans="1:23" ht="14.25" customHeight="1">
      <c r="A1180" s="491" t="s">
        <v>698</v>
      </c>
      <c r="B1180" s="514" t="s">
        <v>702</v>
      </c>
      <c r="C1180" s="452" t="s">
        <v>2113</v>
      </c>
      <c r="D1180" s="431" t="s">
        <v>2817</v>
      </c>
      <c r="E1180" s="482" t="s">
        <v>1436</v>
      </c>
      <c r="F1180" s="482" t="s">
        <v>1767</v>
      </c>
      <c r="G1180" s="482" t="s">
        <v>1767</v>
      </c>
      <c r="H1180" s="482" t="s">
        <v>40</v>
      </c>
      <c r="I1180" s="482" t="s">
        <v>1331</v>
      </c>
      <c r="J1180" s="482" t="s">
        <v>42</v>
      </c>
      <c r="K1180" s="482" t="s">
        <v>42</v>
      </c>
      <c r="L1180" s="482" t="s">
        <v>42</v>
      </c>
      <c r="M1180" s="482" t="s">
        <v>43</v>
      </c>
      <c r="N1180" s="482">
        <v>23.591999999999999</v>
      </c>
      <c r="O1180" s="482">
        <v>97.796999999999997</v>
      </c>
      <c r="P1180" s="482" t="s">
        <v>757</v>
      </c>
      <c r="Q1180" s="482" t="s">
        <v>776</v>
      </c>
      <c r="R1180" s="486">
        <v>66</v>
      </c>
      <c r="S1180" s="486">
        <v>346</v>
      </c>
      <c r="T1180" s="506" t="s">
        <v>801</v>
      </c>
      <c r="U1180" s="488"/>
      <c r="V1180" s="482"/>
      <c r="W1180" s="392" t="s">
        <v>2175</v>
      </c>
    </row>
    <row r="1181" spans="1:23" ht="14.25" customHeight="1">
      <c r="A1181" s="491" t="s">
        <v>698</v>
      </c>
      <c r="B1181" s="514" t="s">
        <v>702</v>
      </c>
      <c r="C1181" s="452" t="s">
        <v>737</v>
      </c>
      <c r="D1181" s="431" t="s">
        <v>2817</v>
      </c>
      <c r="E1181" s="482" t="s">
        <v>1622</v>
      </c>
      <c r="F1181" s="482" t="s">
        <v>1850</v>
      </c>
      <c r="G1181" s="482" t="s">
        <v>737</v>
      </c>
      <c r="H1181" s="482"/>
      <c r="I1181" s="484" t="s">
        <v>2116</v>
      </c>
      <c r="J1181" s="482" t="s">
        <v>42</v>
      </c>
      <c r="K1181" s="482" t="s">
        <v>42</v>
      </c>
      <c r="L1181" s="482" t="s">
        <v>772</v>
      </c>
      <c r="M1181" s="482" t="s">
        <v>43</v>
      </c>
      <c r="N1181" s="482">
        <v>0</v>
      </c>
      <c r="O1181" s="482">
        <v>0</v>
      </c>
      <c r="P1181" s="482" t="s">
        <v>757</v>
      </c>
      <c r="Q1181" s="482" t="s">
        <v>798</v>
      </c>
      <c r="R1181" s="486">
        <v>24</v>
      </c>
      <c r="S1181" s="486">
        <v>84</v>
      </c>
      <c r="T1181" s="506" t="s">
        <v>1079</v>
      </c>
      <c r="U1181" s="488"/>
      <c r="V1181" s="482"/>
      <c r="W1181" s="392" t="s">
        <v>2176</v>
      </c>
    </row>
    <row r="1182" spans="1:23" ht="14.25" customHeight="1">
      <c r="A1182" s="491" t="s">
        <v>698</v>
      </c>
      <c r="B1182" s="514" t="s">
        <v>702</v>
      </c>
      <c r="C1182" s="452" t="s">
        <v>2114</v>
      </c>
      <c r="D1182" s="431" t="s">
        <v>2817</v>
      </c>
      <c r="E1182" s="482" t="s">
        <v>1435</v>
      </c>
      <c r="F1182" s="482" t="s">
        <v>1767</v>
      </c>
      <c r="G1182" s="482" t="s">
        <v>1767</v>
      </c>
      <c r="H1182" s="482" t="s">
        <v>40</v>
      </c>
      <c r="I1182" s="482" t="s">
        <v>1331</v>
      </c>
      <c r="J1182" s="482" t="s">
        <v>42</v>
      </c>
      <c r="K1182" s="482" t="s">
        <v>964</v>
      </c>
      <c r="L1182" s="482" t="s">
        <v>42</v>
      </c>
      <c r="M1182" s="482" t="s">
        <v>43</v>
      </c>
      <c r="N1182" s="482">
        <v>23.588920000000002</v>
      </c>
      <c r="O1182" s="482">
        <v>97.793019999999999</v>
      </c>
      <c r="P1182" s="482" t="s">
        <v>757</v>
      </c>
      <c r="Q1182" s="482" t="s">
        <v>776</v>
      </c>
      <c r="R1182" s="486">
        <v>76</v>
      </c>
      <c r="S1182" s="486">
        <v>344</v>
      </c>
      <c r="T1182" s="506"/>
      <c r="U1182" s="488"/>
      <c r="V1182" s="482" t="s">
        <v>732</v>
      </c>
      <c r="W1182" s="392" t="s">
        <v>2177</v>
      </c>
    </row>
    <row r="1183" spans="1:23" ht="14.25" customHeight="1">
      <c r="A1183" s="491" t="s">
        <v>698</v>
      </c>
      <c r="B1183" s="514" t="s">
        <v>702</v>
      </c>
      <c r="C1183" s="452" t="s">
        <v>1112</v>
      </c>
      <c r="D1183" s="485" t="s">
        <v>1656</v>
      </c>
      <c r="E1183" s="482"/>
      <c r="F1183" s="482"/>
      <c r="G1183" s="482"/>
      <c r="H1183" s="482"/>
      <c r="I1183" s="482"/>
      <c r="J1183" s="482" t="s">
        <v>1460</v>
      </c>
      <c r="K1183" s="482" t="s">
        <v>42</v>
      </c>
      <c r="L1183" s="482" t="s">
        <v>42</v>
      </c>
      <c r="M1183" s="482" t="s">
        <v>43</v>
      </c>
      <c r="N1183" s="482"/>
      <c r="O1183" s="482"/>
      <c r="P1183" s="482" t="s">
        <v>757</v>
      </c>
      <c r="Q1183" s="482" t="s">
        <v>776</v>
      </c>
      <c r="R1183" s="494"/>
      <c r="S1183" s="487"/>
      <c r="T1183" s="506"/>
      <c r="U1183" s="488" t="s">
        <v>1091</v>
      </c>
      <c r="V1183" s="482"/>
      <c r="W1183" s="486"/>
    </row>
    <row r="1184" spans="1:23" ht="14.25" customHeight="1">
      <c r="A1184" s="491" t="s">
        <v>698</v>
      </c>
      <c r="B1184" s="514" t="s">
        <v>702</v>
      </c>
      <c r="C1184" s="452" t="s">
        <v>728</v>
      </c>
      <c r="D1184" s="431" t="s">
        <v>2817</v>
      </c>
      <c r="E1184" s="482" t="s">
        <v>1453</v>
      </c>
      <c r="F1184" s="482" t="s">
        <v>1771</v>
      </c>
      <c r="G1184" s="482" t="s">
        <v>1772</v>
      </c>
      <c r="H1184" s="482"/>
      <c r="I1184" s="484" t="s">
        <v>2116</v>
      </c>
      <c r="J1184" s="482" t="s">
        <v>42</v>
      </c>
      <c r="K1184" s="482" t="s">
        <v>42</v>
      </c>
      <c r="L1184" s="482" t="s">
        <v>772</v>
      </c>
      <c r="M1184" s="482" t="s">
        <v>43</v>
      </c>
      <c r="N1184" s="482">
        <v>23.850999999999999</v>
      </c>
      <c r="O1184" s="482">
        <v>98.337999999999994</v>
      </c>
      <c r="P1184" s="482" t="s">
        <v>757</v>
      </c>
      <c r="Q1184" s="482" t="s">
        <v>758</v>
      </c>
      <c r="R1184" s="486">
        <v>30</v>
      </c>
      <c r="S1184" s="486">
        <v>170</v>
      </c>
      <c r="T1184" s="506"/>
      <c r="U1184" s="488" t="s">
        <v>978</v>
      </c>
      <c r="V1184" s="482"/>
      <c r="W1184" s="392" t="s">
        <v>2178</v>
      </c>
    </row>
    <row r="1185" spans="1:23" ht="14.25" customHeight="1">
      <c r="A1185" s="491" t="s">
        <v>698</v>
      </c>
      <c r="B1185" s="514" t="s">
        <v>702</v>
      </c>
      <c r="C1185" s="452" t="s">
        <v>711</v>
      </c>
      <c r="D1185" s="431" t="s">
        <v>2817</v>
      </c>
      <c r="E1185" s="482" t="s">
        <v>1428</v>
      </c>
      <c r="F1185" s="482"/>
      <c r="G1185" s="482"/>
      <c r="H1185" s="482" t="s">
        <v>40</v>
      </c>
      <c r="I1185" s="482" t="s">
        <v>2662</v>
      </c>
      <c r="J1185" s="482" t="s">
        <v>42</v>
      </c>
      <c r="K1185" s="482" t="s">
        <v>964</v>
      </c>
      <c r="L1185" s="482" t="s">
        <v>42</v>
      </c>
      <c r="M1185" s="482" t="s">
        <v>43</v>
      </c>
      <c r="N1185" s="482">
        <v>23.400155999999999</v>
      </c>
      <c r="O1185" s="482">
        <v>98.220614999999995</v>
      </c>
      <c r="P1185" s="482" t="s">
        <v>757</v>
      </c>
      <c r="Q1185" s="482" t="s">
        <v>776</v>
      </c>
      <c r="R1185" s="486">
        <v>38</v>
      </c>
      <c r="S1185" s="486">
        <v>208</v>
      </c>
      <c r="T1185" s="506"/>
      <c r="U1185" s="488"/>
      <c r="V1185" s="482" t="s">
        <v>965</v>
      </c>
      <c r="W1185" s="392" t="s">
        <v>2179</v>
      </c>
    </row>
    <row r="1186" spans="1:23" ht="14.25" customHeight="1">
      <c r="A1186" s="491" t="s">
        <v>698</v>
      </c>
      <c r="B1186" s="514" t="s">
        <v>702</v>
      </c>
      <c r="C1186" s="452" t="s">
        <v>707</v>
      </c>
      <c r="D1186" s="431" t="s">
        <v>2817</v>
      </c>
      <c r="E1186" s="482" t="s">
        <v>1434</v>
      </c>
      <c r="F1186" s="482" t="s">
        <v>1765</v>
      </c>
      <c r="G1186" s="482" t="s">
        <v>1766</v>
      </c>
      <c r="H1186" s="482" t="s">
        <v>40</v>
      </c>
      <c r="I1186" s="482" t="s">
        <v>1331</v>
      </c>
      <c r="J1186" s="482" t="s">
        <v>42</v>
      </c>
      <c r="K1186" s="482" t="s">
        <v>42</v>
      </c>
      <c r="L1186" s="482" t="s">
        <v>42</v>
      </c>
      <c r="M1186" s="482" t="s">
        <v>43</v>
      </c>
      <c r="N1186" s="482">
        <v>23.463000000000001</v>
      </c>
      <c r="O1186" s="482">
        <v>98.248999999999995</v>
      </c>
      <c r="P1186" s="482" t="s">
        <v>757</v>
      </c>
      <c r="Q1186" s="482" t="s">
        <v>776</v>
      </c>
      <c r="R1186" s="486">
        <v>19</v>
      </c>
      <c r="S1186" s="486">
        <v>89</v>
      </c>
      <c r="T1186" s="506"/>
      <c r="U1186" s="488"/>
      <c r="V1186" s="482" t="s">
        <v>968</v>
      </c>
      <c r="W1186" s="392" t="s">
        <v>2180</v>
      </c>
    </row>
    <row r="1187" spans="1:23" ht="14.25" customHeight="1">
      <c r="A1187" s="491" t="s">
        <v>698</v>
      </c>
      <c r="B1187" s="514" t="s">
        <v>702</v>
      </c>
      <c r="C1187" s="452" t="s">
        <v>1116</v>
      </c>
      <c r="D1187" s="485" t="s">
        <v>1656</v>
      </c>
      <c r="E1187" s="482"/>
      <c r="F1187" s="482"/>
      <c r="G1187" s="482"/>
      <c r="H1187" s="482"/>
      <c r="I1187" s="482"/>
      <c r="J1187" s="482" t="s">
        <v>1460</v>
      </c>
      <c r="K1187" s="482" t="s">
        <v>42</v>
      </c>
      <c r="L1187" s="482" t="s">
        <v>1095</v>
      </c>
      <c r="M1187" s="482" t="s">
        <v>43</v>
      </c>
      <c r="N1187" s="482"/>
      <c r="O1187" s="482"/>
      <c r="P1187" s="482" t="s">
        <v>757</v>
      </c>
      <c r="Q1187" s="482" t="s">
        <v>776</v>
      </c>
      <c r="R1187" s="494"/>
      <c r="S1187" s="487"/>
      <c r="T1187" s="506"/>
      <c r="U1187" s="488" t="s">
        <v>1091</v>
      </c>
      <c r="V1187" s="482" t="s">
        <v>1117</v>
      </c>
      <c r="W1187" s="486"/>
    </row>
    <row r="1188" spans="1:23" ht="14.25" customHeight="1">
      <c r="A1188" s="491" t="s">
        <v>698</v>
      </c>
      <c r="B1188" s="514" t="s">
        <v>702</v>
      </c>
      <c r="C1188" s="452" t="s">
        <v>714</v>
      </c>
      <c r="D1188" s="431" t="s">
        <v>2817</v>
      </c>
      <c r="E1188" s="482" t="s">
        <v>1440</v>
      </c>
      <c r="F1188" s="482" t="s">
        <v>1768</v>
      </c>
      <c r="G1188" s="482" t="s">
        <v>1769</v>
      </c>
      <c r="H1188" s="482" t="s">
        <v>40</v>
      </c>
      <c r="I1188" s="482" t="s">
        <v>2662</v>
      </c>
      <c r="J1188" s="482" t="s">
        <v>42</v>
      </c>
      <c r="K1188" s="482" t="s">
        <v>42</v>
      </c>
      <c r="L1188" s="482" t="s">
        <v>42</v>
      </c>
      <c r="M1188" s="482" t="s">
        <v>43</v>
      </c>
      <c r="N1188" s="482">
        <v>23.694130000000001</v>
      </c>
      <c r="O1188" s="482">
        <v>97.818979999999996</v>
      </c>
      <c r="P1188" s="482" t="s">
        <v>757</v>
      </c>
      <c r="Q1188" s="482" t="s">
        <v>776</v>
      </c>
      <c r="R1188" s="486">
        <v>56</v>
      </c>
      <c r="S1188" s="486">
        <v>263</v>
      </c>
      <c r="T1188" s="506"/>
      <c r="U1188" s="488"/>
      <c r="V1188" s="482" t="s">
        <v>714</v>
      </c>
      <c r="W1188" s="392" t="s">
        <v>2181</v>
      </c>
    </row>
    <row r="1189" spans="1:23" ht="14.25" customHeight="1">
      <c r="A1189" s="491" t="s">
        <v>698</v>
      </c>
      <c r="B1189" s="514" t="s">
        <v>702</v>
      </c>
      <c r="C1189" s="452" t="s">
        <v>2115</v>
      </c>
      <c r="D1189" s="431" t="s">
        <v>2817</v>
      </c>
      <c r="E1189" s="482" t="s">
        <v>1439</v>
      </c>
      <c r="F1189" s="482"/>
      <c r="G1189" s="482"/>
      <c r="H1189" s="482" t="s">
        <v>40</v>
      </c>
      <c r="I1189" s="482" t="s">
        <v>1331</v>
      </c>
      <c r="J1189" s="482" t="s">
        <v>42</v>
      </c>
      <c r="K1189" s="482" t="s">
        <v>42</v>
      </c>
      <c r="L1189" s="482" t="s">
        <v>42</v>
      </c>
      <c r="M1189" s="482" t="s">
        <v>43</v>
      </c>
      <c r="N1189" s="482">
        <v>23.682887999999998</v>
      </c>
      <c r="O1189" s="482">
        <v>97.810101000000003</v>
      </c>
      <c r="P1189" s="482" t="s">
        <v>757</v>
      </c>
      <c r="Q1189" s="482" t="s">
        <v>776</v>
      </c>
      <c r="R1189" s="486">
        <v>36</v>
      </c>
      <c r="S1189" s="486">
        <v>120</v>
      </c>
      <c r="T1189" s="506" t="s">
        <v>801</v>
      </c>
      <c r="U1189" s="488"/>
      <c r="V1189" s="482"/>
      <c r="W1189" s="392" t="s">
        <v>2182</v>
      </c>
    </row>
    <row r="1190" spans="1:23" ht="14.25" customHeight="1">
      <c r="A1190" s="491" t="s">
        <v>698</v>
      </c>
      <c r="B1190" s="514" t="s">
        <v>702</v>
      </c>
      <c r="C1190" s="452" t="s">
        <v>725</v>
      </c>
      <c r="D1190" s="431" t="s">
        <v>2817</v>
      </c>
      <c r="E1190" s="482" t="s">
        <v>1430</v>
      </c>
      <c r="F1190" s="482" t="s">
        <v>1669</v>
      </c>
      <c r="G1190" s="482">
        <v>0</v>
      </c>
      <c r="H1190" s="482" t="s">
        <v>40</v>
      </c>
      <c r="I1190" s="482" t="s">
        <v>1331</v>
      </c>
      <c r="J1190" s="482" t="s">
        <v>42</v>
      </c>
      <c r="K1190" s="482" t="s">
        <v>964</v>
      </c>
      <c r="L1190" s="482" t="s">
        <v>42</v>
      </c>
      <c r="M1190" s="482" t="s">
        <v>43</v>
      </c>
      <c r="N1190" s="482">
        <v>23.447111</v>
      </c>
      <c r="O1190" s="482">
        <v>97.868876999999998</v>
      </c>
      <c r="P1190" s="482" t="s">
        <v>757</v>
      </c>
      <c r="Q1190" s="482" t="s">
        <v>758</v>
      </c>
      <c r="R1190" s="486">
        <v>105</v>
      </c>
      <c r="S1190" s="486">
        <v>642</v>
      </c>
      <c r="T1190" s="506"/>
      <c r="U1190" s="488"/>
      <c r="V1190" s="482"/>
      <c r="W1190" s="392" t="s">
        <v>2183</v>
      </c>
    </row>
    <row r="1191" spans="1:23" ht="14.25" customHeight="1">
      <c r="A1191" s="491" t="s">
        <v>698</v>
      </c>
      <c r="B1191" s="514" t="s">
        <v>702</v>
      </c>
      <c r="C1191" s="452" t="s">
        <v>745</v>
      </c>
      <c r="D1191" s="431" t="s">
        <v>2817</v>
      </c>
      <c r="E1191" s="482" t="s">
        <v>1896</v>
      </c>
      <c r="F1191" s="482" t="s">
        <v>745</v>
      </c>
      <c r="G1191" s="482" t="s">
        <v>745</v>
      </c>
      <c r="H1191" s="482" t="s">
        <v>40</v>
      </c>
      <c r="I1191" s="482" t="s">
        <v>1331</v>
      </c>
      <c r="J1191" s="482" t="s">
        <v>42</v>
      </c>
      <c r="K1191" s="482" t="s">
        <v>42</v>
      </c>
      <c r="L1191" s="482" t="s">
        <v>42</v>
      </c>
      <c r="M1191" s="482" t="s">
        <v>43</v>
      </c>
      <c r="N1191" s="482">
        <v>0</v>
      </c>
      <c r="O1191" s="482">
        <v>0</v>
      </c>
      <c r="P1191" s="482" t="s">
        <v>757</v>
      </c>
      <c r="Q1191" s="482"/>
      <c r="R1191" s="486">
        <v>36</v>
      </c>
      <c r="S1191" s="486">
        <v>192</v>
      </c>
      <c r="T1191" s="506"/>
      <c r="U1191" s="488" t="s">
        <v>1149</v>
      </c>
      <c r="V1191" s="482"/>
      <c r="W1191" s="392" t="s">
        <v>2184</v>
      </c>
    </row>
    <row r="1192" spans="1:23" ht="14.25" customHeight="1">
      <c r="A1192" s="491" t="s">
        <v>698</v>
      </c>
      <c r="B1192" s="514" t="s">
        <v>702</v>
      </c>
      <c r="C1192" s="452" t="s">
        <v>721</v>
      </c>
      <c r="D1192" s="431" t="s">
        <v>2817</v>
      </c>
      <c r="E1192" s="482" t="s">
        <v>1427</v>
      </c>
      <c r="F1192" s="482" t="s">
        <v>1669</v>
      </c>
      <c r="G1192" s="482" t="s">
        <v>1670</v>
      </c>
      <c r="H1192" s="482" t="s">
        <v>40</v>
      </c>
      <c r="I1192" s="482" t="s">
        <v>2662</v>
      </c>
      <c r="J1192" s="482" t="s">
        <v>42</v>
      </c>
      <c r="K1192" s="482" t="s">
        <v>964</v>
      </c>
      <c r="L1192" s="482" t="s">
        <v>42</v>
      </c>
      <c r="M1192" s="482" t="s">
        <v>43</v>
      </c>
      <c r="N1192" s="482">
        <v>23.38503</v>
      </c>
      <c r="O1192" s="482">
        <v>97.837040000000002</v>
      </c>
      <c r="P1192" s="482" t="s">
        <v>757</v>
      </c>
      <c r="Q1192" s="482" t="s">
        <v>776</v>
      </c>
      <c r="R1192" s="486">
        <v>205</v>
      </c>
      <c r="S1192" s="486">
        <v>1053</v>
      </c>
      <c r="T1192" s="506"/>
      <c r="U1192" s="488"/>
      <c r="V1192" s="482" t="s">
        <v>721</v>
      </c>
      <c r="W1192" s="392" t="s">
        <v>2185</v>
      </c>
    </row>
    <row r="1193" spans="1:23" ht="14.25" customHeight="1">
      <c r="A1193" s="491" t="s">
        <v>698</v>
      </c>
      <c r="B1193" s="514" t="s">
        <v>1253</v>
      </c>
      <c r="C1193" s="452" t="s">
        <v>2820</v>
      </c>
      <c r="D1193" s="485"/>
      <c r="E1193" s="482"/>
      <c r="F1193" s="482"/>
      <c r="G1193" s="482"/>
      <c r="H1193" s="482"/>
      <c r="I1193" s="482"/>
      <c r="J1193" s="482" t="s">
        <v>1460</v>
      </c>
      <c r="K1193" s="482" t="s">
        <v>42</v>
      </c>
      <c r="L1193" s="482" t="s">
        <v>772</v>
      </c>
      <c r="M1193" s="482" t="s">
        <v>43</v>
      </c>
      <c r="N1193" s="482"/>
      <c r="O1193" s="482"/>
      <c r="P1193" s="482" t="s">
        <v>757</v>
      </c>
      <c r="Q1193" s="482" t="s">
        <v>2821</v>
      </c>
      <c r="R1193" s="494"/>
      <c r="S1193" s="487"/>
      <c r="T1193" s="506"/>
      <c r="U1193" s="488"/>
      <c r="V1193" s="482"/>
      <c r="W1193" s="486"/>
    </row>
    <row r="1194" spans="1:23" ht="14.25" customHeight="1">
      <c r="A1194" s="491" t="s">
        <v>698</v>
      </c>
      <c r="B1194" s="514" t="s">
        <v>1253</v>
      </c>
      <c r="C1194" s="452" t="s">
        <v>1313</v>
      </c>
      <c r="D1194" s="485" t="s">
        <v>1876</v>
      </c>
      <c r="E1194" s="482"/>
      <c r="F1194" s="482" t="s">
        <v>1877</v>
      </c>
      <c r="G1194" s="482"/>
      <c r="H1194" s="482"/>
      <c r="I1194" s="482"/>
      <c r="J1194" s="482" t="s">
        <v>1460</v>
      </c>
      <c r="K1194" s="482"/>
      <c r="L1194" s="482"/>
      <c r="M1194" s="482"/>
      <c r="N1194" s="482"/>
      <c r="O1194" s="482"/>
      <c r="P1194" s="482" t="s">
        <v>757</v>
      </c>
      <c r="Q1194" s="482"/>
      <c r="R1194" s="494"/>
      <c r="S1194" s="487"/>
      <c r="T1194" s="506"/>
      <c r="U1194" s="488"/>
      <c r="V1194" s="482"/>
      <c r="W1194" s="486"/>
    </row>
    <row r="1195" spans="1:23" ht="14.25" customHeight="1">
      <c r="A1195" s="491" t="s">
        <v>698</v>
      </c>
      <c r="B1195" s="514" t="s">
        <v>1253</v>
      </c>
      <c r="C1195" s="452" t="s">
        <v>2822</v>
      </c>
      <c r="D1195" s="485"/>
      <c r="E1195" s="482"/>
      <c r="F1195" s="482"/>
      <c r="G1195" s="482"/>
      <c r="H1195" s="482"/>
      <c r="I1195" s="482"/>
      <c r="J1195" s="482" t="s">
        <v>1460</v>
      </c>
      <c r="K1195" s="482" t="s">
        <v>42</v>
      </c>
      <c r="L1195" s="482" t="s">
        <v>772</v>
      </c>
      <c r="M1195" s="482" t="s">
        <v>43</v>
      </c>
      <c r="N1195" s="482"/>
      <c r="O1195" s="482"/>
      <c r="P1195" s="482" t="s">
        <v>757</v>
      </c>
      <c r="Q1195" s="482" t="s">
        <v>2821</v>
      </c>
      <c r="R1195" s="494"/>
      <c r="S1195" s="487"/>
      <c r="T1195" s="506">
        <v>43633</v>
      </c>
      <c r="U1195" s="488"/>
      <c r="V1195" s="482"/>
      <c r="W1195" s="486"/>
    </row>
    <row r="1196" spans="1:23" ht="14.25" customHeight="1">
      <c r="A1196" s="491" t="s">
        <v>698</v>
      </c>
      <c r="B1196" s="514" t="s">
        <v>1253</v>
      </c>
      <c r="C1196" s="452" t="s">
        <v>2435</v>
      </c>
      <c r="D1196" s="485"/>
      <c r="E1196" s="482"/>
      <c r="F1196" s="482"/>
      <c r="G1196" s="482"/>
      <c r="H1196" s="482"/>
      <c r="I1196" s="482"/>
      <c r="J1196" s="482" t="s">
        <v>2652</v>
      </c>
      <c r="K1196" s="482" t="s">
        <v>2622</v>
      </c>
      <c r="L1196" s="482" t="s">
        <v>2622</v>
      </c>
      <c r="M1196" s="482" t="s">
        <v>43</v>
      </c>
      <c r="N1196" s="482"/>
      <c r="O1196" s="482"/>
      <c r="P1196" s="482" t="s">
        <v>1972</v>
      </c>
      <c r="Q1196" s="482"/>
      <c r="R1196" s="494"/>
      <c r="S1196" s="487"/>
      <c r="T1196" s="506"/>
      <c r="U1196" s="488"/>
      <c r="V1196" s="482"/>
      <c r="W1196" s="392"/>
    </row>
    <row r="1197" spans="1:23" ht="14.25" customHeight="1">
      <c r="A1197" s="656" t="s">
        <v>698</v>
      </c>
      <c r="B1197" s="657" t="s">
        <v>1255</v>
      </c>
      <c r="C1197" s="658" t="s">
        <v>3103</v>
      </c>
      <c r="D1197" s="485"/>
      <c r="E1197" s="659"/>
      <c r="F1197" s="659"/>
      <c r="G1197" s="659"/>
      <c r="H1197" s="659"/>
      <c r="I1197" s="659"/>
      <c r="J1197" s="659" t="s">
        <v>794</v>
      </c>
      <c r="K1197" s="659" t="s">
        <v>794</v>
      </c>
      <c r="L1197" s="659" t="s">
        <v>794</v>
      </c>
      <c r="M1197" s="659"/>
      <c r="N1197" s="659"/>
      <c r="O1197" s="659"/>
      <c r="P1197" s="659"/>
      <c r="Q1197" s="659" t="s">
        <v>3102</v>
      </c>
      <c r="R1197" s="660"/>
      <c r="S1197" s="656"/>
      <c r="T1197" s="661">
        <v>43843</v>
      </c>
      <c r="U1197" s="660"/>
      <c r="V1197" s="659"/>
      <c r="W1197" s="486"/>
    </row>
    <row r="1198" spans="1:23" ht="14.25" customHeight="1">
      <c r="A1198" s="656" t="s">
        <v>698</v>
      </c>
      <c r="B1198" s="657" t="s">
        <v>1255</v>
      </c>
      <c r="C1198" s="658" t="s">
        <v>3104</v>
      </c>
      <c r="D1198" s="485"/>
      <c r="E1198" s="659"/>
      <c r="F1198" s="659"/>
      <c r="G1198" s="659"/>
      <c r="H1198" s="659"/>
      <c r="I1198" s="659"/>
      <c r="J1198" s="659" t="s">
        <v>794</v>
      </c>
      <c r="K1198" s="659" t="s">
        <v>794</v>
      </c>
      <c r="L1198" s="659" t="s">
        <v>794</v>
      </c>
      <c r="M1198" s="659"/>
      <c r="N1198" s="659"/>
      <c r="O1198" s="659"/>
      <c r="P1198" s="659"/>
      <c r="Q1198" s="659" t="s">
        <v>3102</v>
      </c>
      <c r="R1198" s="660"/>
      <c r="S1198" s="656"/>
      <c r="T1198" s="661">
        <v>43843</v>
      </c>
      <c r="U1198" s="660"/>
      <c r="V1198" s="659"/>
      <c r="W1198" s="486"/>
    </row>
    <row r="1199" spans="1:23" ht="14.25" customHeight="1">
      <c r="A1199" s="656" t="s">
        <v>698</v>
      </c>
      <c r="B1199" s="657" t="s">
        <v>1255</v>
      </c>
      <c r="C1199" s="658" t="s">
        <v>3105</v>
      </c>
      <c r="D1199" s="485"/>
      <c r="E1199" s="659"/>
      <c r="F1199" s="659"/>
      <c r="G1199" s="659"/>
      <c r="H1199" s="659"/>
      <c r="I1199" s="659"/>
      <c r="J1199" s="659" t="s">
        <v>794</v>
      </c>
      <c r="K1199" s="659" t="s">
        <v>794</v>
      </c>
      <c r="L1199" s="659" t="s">
        <v>794</v>
      </c>
      <c r="M1199" s="659"/>
      <c r="N1199" s="659"/>
      <c r="O1199" s="659"/>
      <c r="P1199" s="659"/>
      <c r="Q1199" s="659" t="s">
        <v>3102</v>
      </c>
      <c r="R1199" s="660"/>
      <c r="S1199" s="656"/>
      <c r="T1199" s="661">
        <v>43843</v>
      </c>
      <c r="U1199" s="660"/>
      <c r="V1199" s="659"/>
      <c r="W1199" s="486"/>
    </row>
    <row r="1200" spans="1:23" ht="14.25" customHeight="1">
      <c r="A1200" s="656" t="s">
        <v>698</v>
      </c>
      <c r="B1200" s="657" t="s">
        <v>1255</v>
      </c>
      <c r="C1200" s="658" t="s">
        <v>3106</v>
      </c>
      <c r="D1200" s="485"/>
      <c r="E1200" s="659"/>
      <c r="F1200" s="659"/>
      <c r="G1200" s="659"/>
      <c r="H1200" s="659"/>
      <c r="I1200" s="659"/>
      <c r="J1200" s="659" t="s">
        <v>794</v>
      </c>
      <c r="K1200" s="659" t="s">
        <v>794</v>
      </c>
      <c r="L1200" s="659" t="s">
        <v>794</v>
      </c>
      <c r="M1200" s="659"/>
      <c r="N1200" s="659"/>
      <c r="O1200" s="659"/>
      <c r="P1200" s="659"/>
      <c r="Q1200" s="659" t="s">
        <v>3102</v>
      </c>
      <c r="R1200" s="660"/>
      <c r="S1200" s="656"/>
      <c r="T1200" s="661">
        <v>43843</v>
      </c>
      <c r="U1200" s="660"/>
      <c r="V1200" s="659"/>
      <c r="W1200" s="486"/>
    </row>
    <row r="1201" spans="1:23" ht="14.25" customHeight="1">
      <c r="A1201" s="491" t="s">
        <v>698</v>
      </c>
      <c r="B1201" s="514" t="s">
        <v>705</v>
      </c>
      <c r="C1201" s="452" t="s">
        <v>1080</v>
      </c>
      <c r="D1201" s="431" t="s">
        <v>1656</v>
      </c>
      <c r="E1201" s="482"/>
      <c r="F1201" s="482"/>
      <c r="G1201" s="482"/>
      <c r="H1201" s="482"/>
      <c r="I1201" s="482"/>
      <c r="J1201" s="482" t="s">
        <v>794</v>
      </c>
      <c r="K1201" s="482" t="s">
        <v>794</v>
      </c>
      <c r="L1201" s="482" t="s">
        <v>794</v>
      </c>
      <c r="M1201" s="482"/>
      <c r="N1201" s="482"/>
      <c r="O1201" s="482"/>
      <c r="P1201" s="482" t="s">
        <v>795</v>
      </c>
      <c r="Q1201" s="482"/>
      <c r="R1201" s="486"/>
      <c r="S1201" s="486"/>
      <c r="T1201" s="506"/>
      <c r="U1201" s="488"/>
      <c r="V1201" s="482" t="s">
        <v>1081</v>
      </c>
      <c r="W1201" s="392"/>
    </row>
    <row r="1202" spans="1:23" ht="14.25" customHeight="1">
      <c r="A1202" s="491" t="s">
        <v>698</v>
      </c>
      <c r="B1202" s="514" t="s">
        <v>705</v>
      </c>
      <c r="C1202" s="452" t="s">
        <v>743</v>
      </c>
      <c r="D1202" s="431" t="s">
        <v>2243</v>
      </c>
      <c r="E1202" s="482" t="s">
        <v>1332</v>
      </c>
      <c r="F1202" s="482">
        <v>0</v>
      </c>
      <c r="G1202" s="482">
        <v>0</v>
      </c>
      <c r="H1202" s="482"/>
      <c r="I1202" s="482" t="s">
        <v>2116</v>
      </c>
      <c r="J1202" s="482" t="s">
        <v>42</v>
      </c>
      <c r="K1202" s="482" t="s">
        <v>42</v>
      </c>
      <c r="L1202" s="482" t="s">
        <v>756</v>
      </c>
      <c r="M1202" s="482" t="s">
        <v>43</v>
      </c>
      <c r="N1202" s="482"/>
      <c r="O1202" s="482"/>
      <c r="P1202" s="482" t="s">
        <v>757</v>
      </c>
      <c r="Q1202" s="482" t="s">
        <v>758</v>
      </c>
      <c r="R1202" s="486"/>
      <c r="S1202" s="486"/>
      <c r="T1202" s="506"/>
      <c r="U1202" s="488" t="s">
        <v>2665</v>
      </c>
      <c r="V1202" s="482"/>
      <c r="W1202" s="392" t="s">
        <v>2244</v>
      </c>
    </row>
    <row r="1203" spans="1:23" ht="14.25" customHeight="1">
      <c r="A1203" s="491" t="s">
        <v>698</v>
      </c>
      <c r="B1203" s="514" t="s">
        <v>705</v>
      </c>
      <c r="C1203" s="452" t="s">
        <v>731</v>
      </c>
      <c r="D1203" s="485" t="s">
        <v>2817</v>
      </c>
      <c r="E1203" s="482" t="s">
        <v>1423</v>
      </c>
      <c r="F1203" s="482" t="s">
        <v>1686</v>
      </c>
      <c r="G1203" s="482" t="s">
        <v>1706</v>
      </c>
      <c r="H1203" s="482" t="s">
        <v>40</v>
      </c>
      <c r="I1203" s="482" t="s">
        <v>2662</v>
      </c>
      <c r="J1203" s="482" t="s">
        <v>42</v>
      </c>
      <c r="K1203" s="482" t="s">
        <v>42</v>
      </c>
      <c r="L1203" s="482" t="s">
        <v>42</v>
      </c>
      <c r="M1203" s="482" t="s">
        <v>43</v>
      </c>
      <c r="N1203" s="482">
        <v>23.250678000000001</v>
      </c>
      <c r="O1203" s="482">
        <v>97.124403000000001</v>
      </c>
      <c r="P1203" s="482" t="s">
        <v>757</v>
      </c>
      <c r="Q1203" s="482" t="s">
        <v>776</v>
      </c>
      <c r="R1203" s="494">
        <v>29</v>
      </c>
      <c r="S1203" s="487">
        <v>158</v>
      </c>
      <c r="T1203" s="506"/>
      <c r="U1203" s="488"/>
      <c r="V1203" s="482" t="s">
        <v>731</v>
      </c>
      <c r="W1203" s="392" t="s">
        <v>2186</v>
      </c>
    </row>
    <row r="1204" spans="1:23" ht="14.25" customHeight="1">
      <c r="A1204" s="491" t="s">
        <v>698</v>
      </c>
      <c r="B1204" s="514" t="s">
        <v>705</v>
      </c>
      <c r="C1204" s="452" t="s">
        <v>706</v>
      </c>
      <c r="D1204" s="485" t="s">
        <v>2817</v>
      </c>
      <c r="E1204" s="482" t="s">
        <v>1422</v>
      </c>
      <c r="F1204" s="482" t="s">
        <v>1686</v>
      </c>
      <c r="G1204" s="482" t="s">
        <v>1706</v>
      </c>
      <c r="H1204" s="482" t="s">
        <v>40</v>
      </c>
      <c r="I1204" s="482" t="s">
        <v>1331</v>
      </c>
      <c r="J1204" s="482" t="s">
        <v>42</v>
      </c>
      <c r="K1204" s="482" t="s">
        <v>42</v>
      </c>
      <c r="L1204" s="482" t="s">
        <v>42</v>
      </c>
      <c r="M1204" s="482" t="s">
        <v>43</v>
      </c>
      <c r="N1204" s="482">
        <v>23.24661</v>
      </c>
      <c r="O1204" s="482">
        <v>97.116680000000002</v>
      </c>
      <c r="P1204" s="482" t="s">
        <v>757</v>
      </c>
      <c r="Q1204" s="482" t="s">
        <v>776</v>
      </c>
      <c r="R1204" s="494">
        <v>30</v>
      </c>
      <c r="S1204" s="487">
        <v>155</v>
      </c>
      <c r="T1204" s="506"/>
      <c r="U1204" s="488"/>
      <c r="V1204" s="482" t="s">
        <v>706</v>
      </c>
      <c r="W1204" s="392" t="s">
        <v>2187</v>
      </c>
    </row>
    <row r="1205" spans="1:23" ht="14.25" customHeight="1">
      <c r="A1205" s="491" t="s">
        <v>698</v>
      </c>
      <c r="B1205" s="514" t="s">
        <v>708</v>
      </c>
      <c r="C1205" s="452" t="s">
        <v>755</v>
      </c>
      <c r="D1205" s="485" t="s">
        <v>1657</v>
      </c>
      <c r="E1205" s="482" t="s">
        <v>1317</v>
      </c>
      <c r="F1205" s="482" t="s">
        <v>1675</v>
      </c>
      <c r="G1205" s="482" t="s">
        <v>1676</v>
      </c>
      <c r="H1205" s="482"/>
      <c r="I1205" s="482">
        <v>0</v>
      </c>
      <c r="J1205" s="482" t="s">
        <v>42</v>
      </c>
      <c r="K1205" s="482" t="s">
        <v>42</v>
      </c>
      <c r="L1205" s="482" t="s">
        <v>756</v>
      </c>
      <c r="M1205" s="482" t="s">
        <v>43</v>
      </c>
      <c r="N1205" s="482"/>
      <c r="O1205" s="482"/>
      <c r="P1205" s="482" t="s">
        <v>757</v>
      </c>
      <c r="Q1205" s="482" t="s">
        <v>758</v>
      </c>
      <c r="R1205" s="494"/>
      <c r="S1205" s="487"/>
      <c r="T1205" s="506">
        <v>42832</v>
      </c>
      <c r="U1205" s="488"/>
      <c r="V1205" s="482"/>
      <c r="W1205" s="392" t="s">
        <v>2188</v>
      </c>
    </row>
    <row r="1206" spans="1:23" ht="14.25" customHeight="1">
      <c r="A1206" s="491" t="s">
        <v>698</v>
      </c>
      <c r="B1206" s="514" t="s">
        <v>708</v>
      </c>
      <c r="C1206" s="452" t="s">
        <v>759</v>
      </c>
      <c r="D1206" s="485" t="s">
        <v>1657</v>
      </c>
      <c r="E1206" s="482" t="s">
        <v>1318</v>
      </c>
      <c r="F1206" s="482" t="s">
        <v>1675</v>
      </c>
      <c r="G1206" s="482" t="s">
        <v>1677</v>
      </c>
      <c r="H1206" s="482"/>
      <c r="I1206" s="482">
        <v>0</v>
      </c>
      <c r="J1206" s="482" t="s">
        <v>42</v>
      </c>
      <c r="K1206" s="482" t="s">
        <v>42</v>
      </c>
      <c r="L1206" s="482" t="s">
        <v>756</v>
      </c>
      <c r="M1206" s="482" t="s">
        <v>43</v>
      </c>
      <c r="N1206" s="482"/>
      <c r="O1206" s="482"/>
      <c r="P1206" s="482" t="s">
        <v>757</v>
      </c>
      <c r="Q1206" s="482" t="s">
        <v>758</v>
      </c>
      <c r="R1206" s="494"/>
      <c r="S1206" s="487"/>
      <c r="T1206" s="506"/>
      <c r="U1206" s="488"/>
      <c r="V1206" s="482">
        <v>42920</v>
      </c>
      <c r="W1206" s="392" t="s">
        <v>2188</v>
      </c>
    </row>
    <row r="1207" spans="1:23" ht="14.25" customHeight="1">
      <c r="A1207" s="491" t="s">
        <v>698</v>
      </c>
      <c r="B1207" s="514" t="s">
        <v>708</v>
      </c>
      <c r="C1207" s="452" t="s">
        <v>760</v>
      </c>
      <c r="D1207" s="431" t="s">
        <v>1657</v>
      </c>
      <c r="E1207" s="482" t="s">
        <v>1319</v>
      </c>
      <c r="F1207" s="482" t="s">
        <v>1675</v>
      </c>
      <c r="G1207" s="482" t="s">
        <v>1677</v>
      </c>
      <c r="H1207" s="482"/>
      <c r="I1207" s="482">
        <v>0</v>
      </c>
      <c r="J1207" s="482" t="s">
        <v>42</v>
      </c>
      <c r="K1207" s="482" t="s">
        <v>42</v>
      </c>
      <c r="L1207" s="482" t="s">
        <v>756</v>
      </c>
      <c r="M1207" s="482" t="s">
        <v>43</v>
      </c>
      <c r="N1207" s="482"/>
      <c r="O1207" s="482"/>
      <c r="P1207" s="482" t="s">
        <v>757</v>
      </c>
      <c r="Q1207" s="482" t="s">
        <v>758</v>
      </c>
      <c r="R1207" s="486"/>
      <c r="S1207" s="486"/>
      <c r="T1207" s="506"/>
      <c r="U1207" s="488"/>
      <c r="V1207" s="482">
        <v>42920</v>
      </c>
      <c r="W1207" s="392" t="s">
        <v>2188</v>
      </c>
    </row>
    <row r="1208" spans="1:23" ht="14.25" customHeight="1">
      <c r="A1208" s="491" t="s">
        <v>698</v>
      </c>
      <c r="B1208" s="514" t="s">
        <v>708</v>
      </c>
      <c r="C1208" s="452" t="s">
        <v>981</v>
      </c>
      <c r="D1208" s="485" t="s">
        <v>1657</v>
      </c>
      <c r="E1208" s="482" t="s">
        <v>1456</v>
      </c>
      <c r="F1208" s="482" t="s">
        <v>1693</v>
      </c>
      <c r="G1208" s="482" t="s">
        <v>1694</v>
      </c>
      <c r="H1208" s="482"/>
      <c r="I1208" s="482">
        <v>0</v>
      </c>
      <c r="J1208" s="482" t="s">
        <v>42</v>
      </c>
      <c r="K1208" s="482" t="s">
        <v>42</v>
      </c>
      <c r="L1208" s="482" t="s">
        <v>756</v>
      </c>
      <c r="M1208" s="482" t="s">
        <v>43</v>
      </c>
      <c r="N1208" s="482">
        <v>23.917631</v>
      </c>
      <c r="O1208" s="482">
        <v>98.116817999999995</v>
      </c>
      <c r="P1208" s="482" t="s">
        <v>757</v>
      </c>
      <c r="Q1208" s="482" t="s">
        <v>758</v>
      </c>
      <c r="R1208" s="494"/>
      <c r="S1208" s="487"/>
      <c r="T1208" s="506">
        <v>42836</v>
      </c>
      <c r="U1208" s="488"/>
      <c r="V1208" s="482"/>
      <c r="W1208" s="392" t="s">
        <v>2189</v>
      </c>
    </row>
    <row r="1209" spans="1:23" ht="14.25" customHeight="1">
      <c r="A1209" s="491" t="s">
        <v>698</v>
      </c>
      <c r="B1209" s="514" t="s">
        <v>708</v>
      </c>
      <c r="C1209" s="452" t="s">
        <v>738</v>
      </c>
      <c r="D1209" s="485" t="s">
        <v>2817</v>
      </c>
      <c r="E1209" s="482" t="s">
        <v>1620</v>
      </c>
      <c r="F1209" s="482" t="s">
        <v>1848</v>
      </c>
      <c r="G1209" s="482" t="s">
        <v>738</v>
      </c>
      <c r="H1209" s="482" t="s">
        <v>40</v>
      </c>
      <c r="I1209" s="482" t="s">
        <v>2662</v>
      </c>
      <c r="J1209" s="482" t="s">
        <v>42</v>
      </c>
      <c r="K1209" s="482" t="s">
        <v>42</v>
      </c>
      <c r="L1209" s="482" t="s">
        <v>42</v>
      </c>
      <c r="M1209" s="482" t="s">
        <v>43</v>
      </c>
      <c r="N1209" s="482">
        <v>24.08738</v>
      </c>
      <c r="O1209" s="482">
        <v>98.115809999999996</v>
      </c>
      <c r="P1209" s="482" t="s">
        <v>757</v>
      </c>
      <c r="Q1209" s="482" t="s">
        <v>798</v>
      </c>
      <c r="R1209" s="494">
        <v>152</v>
      </c>
      <c r="S1209" s="487">
        <v>788</v>
      </c>
      <c r="T1209" s="506" t="s">
        <v>1079</v>
      </c>
      <c r="U1209" s="488"/>
      <c r="V1209" s="482"/>
      <c r="W1209" s="392" t="s">
        <v>2173</v>
      </c>
    </row>
    <row r="1210" spans="1:23" ht="14.25" customHeight="1">
      <c r="A1210" s="491" t="s">
        <v>698</v>
      </c>
      <c r="B1210" s="514" t="s">
        <v>708</v>
      </c>
      <c r="C1210" s="452" t="s">
        <v>742</v>
      </c>
      <c r="D1210" s="485" t="s">
        <v>1734</v>
      </c>
      <c r="E1210" s="482" t="s">
        <v>1467</v>
      </c>
      <c r="F1210" s="484" t="s">
        <v>738</v>
      </c>
      <c r="G1210" s="482" t="s">
        <v>738</v>
      </c>
      <c r="H1210" s="482"/>
      <c r="I1210" s="482">
        <v>0</v>
      </c>
      <c r="J1210" s="482" t="s">
        <v>42</v>
      </c>
      <c r="K1210" s="482" t="s">
        <v>42</v>
      </c>
      <c r="L1210" s="482" t="s">
        <v>756</v>
      </c>
      <c r="M1210" s="482" t="s">
        <v>43</v>
      </c>
      <c r="N1210" s="482">
        <v>24.08738</v>
      </c>
      <c r="O1210" s="482">
        <v>98.115809999999996</v>
      </c>
      <c r="P1210" s="482" t="s">
        <v>757</v>
      </c>
      <c r="Q1210" s="482" t="s">
        <v>776</v>
      </c>
      <c r="R1210" s="494"/>
      <c r="S1210" s="487"/>
      <c r="T1210" s="506">
        <v>43276</v>
      </c>
      <c r="U1210" s="488" t="s">
        <v>1966</v>
      </c>
      <c r="V1210" s="482" t="s">
        <v>742</v>
      </c>
      <c r="W1210" s="392" t="s">
        <v>1966</v>
      </c>
    </row>
    <row r="1211" spans="1:23" ht="14.25" customHeight="1">
      <c r="A1211" s="491" t="s">
        <v>698</v>
      </c>
      <c r="B1211" s="514" t="s">
        <v>708</v>
      </c>
      <c r="C1211" s="452" t="s">
        <v>749</v>
      </c>
      <c r="D1211" s="485" t="s">
        <v>1657</v>
      </c>
      <c r="E1211" s="482" t="s">
        <v>1326</v>
      </c>
      <c r="F1211" s="482">
        <v>0</v>
      </c>
      <c r="G1211" s="482">
        <v>0</v>
      </c>
      <c r="H1211" s="482"/>
      <c r="I1211" s="482">
        <v>0</v>
      </c>
      <c r="J1211" s="482" t="s">
        <v>42</v>
      </c>
      <c r="K1211" s="482" t="s">
        <v>42</v>
      </c>
      <c r="L1211" s="482" t="s">
        <v>756</v>
      </c>
      <c r="M1211" s="482" t="s">
        <v>43</v>
      </c>
      <c r="N1211" s="482"/>
      <c r="O1211" s="482"/>
      <c r="P1211" s="482" t="s">
        <v>757</v>
      </c>
      <c r="Q1211" s="482" t="s">
        <v>758</v>
      </c>
      <c r="R1211" s="494"/>
      <c r="S1211" s="487"/>
      <c r="T1211" s="506"/>
      <c r="U1211" s="488"/>
      <c r="V1211" s="482">
        <v>42920</v>
      </c>
      <c r="W1211" s="392" t="s">
        <v>2188</v>
      </c>
    </row>
    <row r="1212" spans="1:23" ht="14.25" customHeight="1">
      <c r="A1212" s="491" t="s">
        <v>698</v>
      </c>
      <c r="B1212" s="514" t="s">
        <v>708</v>
      </c>
      <c r="C1212" s="452" t="s">
        <v>766</v>
      </c>
      <c r="D1212" s="485" t="s">
        <v>1657</v>
      </c>
      <c r="E1212" s="482" t="s">
        <v>1327</v>
      </c>
      <c r="F1212" s="482" t="s">
        <v>1675</v>
      </c>
      <c r="G1212" s="482" t="s">
        <v>1677</v>
      </c>
      <c r="H1212" s="482"/>
      <c r="I1212" s="482">
        <v>0</v>
      </c>
      <c r="J1212" s="482" t="s">
        <v>42</v>
      </c>
      <c r="K1212" s="482" t="s">
        <v>42</v>
      </c>
      <c r="L1212" s="482" t="s">
        <v>756</v>
      </c>
      <c r="M1212" s="482" t="s">
        <v>43</v>
      </c>
      <c r="N1212" s="482"/>
      <c r="O1212" s="482"/>
      <c r="P1212" s="482" t="s">
        <v>757</v>
      </c>
      <c r="Q1212" s="482" t="s">
        <v>758</v>
      </c>
      <c r="R1212" s="494"/>
      <c r="S1212" s="487"/>
      <c r="T1212" s="506"/>
      <c r="U1212" s="488"/>
      <c r="V1212" s="484">
        <v>42920</v>
      </c>
      <c r="W1212" s="392" t="s">
        <v>2188</v>
      </c>
    </row>
    <row r="1213" spans="1:23" ht="14.25" customHeight="1">
      <c r="A1213" s="491" t="s">
        <v>698</v>
      </c>
      <c r="B1213" s="514" t="s">
        <v>708</v>
      </c>
      <c r="C1213" s="452" t="s">
        <v>989</v>
      </c>
      <c r="D1213" s="431" t="s">
        <v>1656</v>
      </c>
      <c r="E1213" s="482" t="s">
        <v>1468</v>
      </c>
      <c r="F1213" s="482"/>
      <c r="G1213" s="482"/>
      <c r="H1213" s="482" t="s">
        <v>40</v>
      </c>
      <c r="I1213" s="484" t="s">
        <v>131</v>
      </c>
      <c r="J1213" s="482" t="s">
        <v>42</v>
      </c>
      <c r="K1213" s="482" t="s">
        <v>42</v>
      </c>
      <c r="L1213" s="482" t="s">
        <v>756</v>
      </c>
      <c r="M1213" s="482" t="s">
        <v>774</v>
      </c>
      <c r="N1213" s="482">
        <v>24.101320999999999</v>
      </c>
      <c r="O1213" s="482">
        <v>98.320651999999995</v>
      </c>
      <c r="P1213" s="482" t="s">
        <v>757</v>
      </c>
      <c r="Q1213" s="482"/>
      <c r="R1213" s="486"/>
      <c r="S1213" s="486"/>
      <c r="T1213" s="506"/>
      <c r="U1213" s="488"/>
      <c r="V1213" s="482" t="s">
        <v>990</v>
      </c>
      <c r="W1213" s="392" t="s">
        <v>2190</v>
      </c>
    </row>
    <row r="1214" spans="1:23" ht="14.25" customHeight="1">
      <c r="A1214" s="491" t="s">
        <v>698</v>
      </c>
      <c r="B1214" s="514" t="s">
        <v>708</v>
      </c>
      <c r="C1214" s="452" t="s">
        <v>988</v>
      </c>
      <c r="D1214" s="431" t="s">
        <v>1657</v>
      </c>
      <c r="E1214" s="482" t="s">
        <v>1465</v>
      </c>
      <c r="F1214" s="482" t="s">
        <v>988</v>
      </c>
      <c r="G1214" s="482" t="s">
        <v>988</v>
      </c>
      <c r="H1214" s="482"/>
      <c r="I1214" s="482">
        <v>0</v>
      </c>
      <c r="J1214" s="482" t="s">
        <v>42</v>
      </c>
      <c r="K1214" s="482" t="s">
        <v>42</v>
      </c>
      <c r="L1214" s="482" t="s">
        <v>756</v>
      </c>
      <c r="M1214" s="482" t="s">
        <v>774</v>
      </c>
      <c r="N1214" s="482">
        <v>24.008452999999999</v>
      </c>
      <c r="O1214" s="482">
        <v>98.054946000000001</v>
      </c>
      <c r="P1214" s="482" t="s">
        <v>757</v>
      </c>
      <c r="Q1214" s="482" t="s">
        <v>776</v>
      </c>
      <c r="R1214" s="486"/>
      <c r="S1214" s="486"/>
      <c r="T1214" s="506"/>
      <c r="U1214" s="488"/>
      <c r="V1214" s="482" t="s">
        <v>988</v>
      </c>
      <c r="W1214" s="392" t="s">
        <v>2191</v>
      </c>
    </row>
    <row r="1215" spans="1:23" ht="14.25" customHeight="1">
      <c r="A1215" s="491" t="s">
        <v>698</v>
      </c>
      <c r="B1215" s="514" t="s">
        <v>708</v>
      </c>
      <c r="C1215" s="452" t="s">
        <v>733</v>
      </c>
      <c r="D1215" s="485" t="s">
        <v>2817</v>
      </c>
      <c r="E1215" s="482" t="s">
        <v>1463</v>
      </c>
      <c r="F1215" s="482" t="s">
        <v>1675</v>
      </c>
      <c r="G1215" s="482" t="s">
        <v>1677</v>
      </c>
      <c r="H1215" s="482"/>
      <c r="I1215" s="482" t="s">
        <v>2116</v>
      </c>
      <c r="J1215" s="482" t="s">
        <v>42</v>
      </c>
      <c r="K1215" s="482" t="s">
        <v>42</v>
      </c>
      <c r="L1215" s="482" t="s">
        <v>772</v>
      </c>
      <c r="M1215" s="482" t="s">
        <v>43</v>
      </c>
      <c r="N1215" s="482">
        <v>24.006319999999999</v>
      </c>
      <c r="O1215" s="482">
        <v>97.909400000000005</v>
      </c>
      <c r="P1215" s="482" t="s">
        <v>757</v>
      </c>
      <c r="Q1215" s="482" t="s">
        <v>776</v>
      </c>
      <c r="R1215" s="494">
        <v>40</v>
      </c>
      <c r="S1215" s="487">
        <v>180</v>
      </c>
      <c r="T1215" s="506"/>
      <c r="U1215" s="488"/>
      <c r="V1215" s="482" t="s">
        <v>986</v>
      </c>
      <c r="W1215" s="486" t="s">
        <v>2192</v>
      </c>
    </row>
    <row r="1216" spans="1:23" ht="14.25" customHeight="1">
      <c r="A1216" s="491" t="s">
        <v>698</v>
      </c>
      <c r="B1216" s="514" t="s">
        <v>708</v>
      </c>
      <c r="C1216" s="452" t="s">
        <v>709</v>
      </c>
      <c r="D1216" s="485" t="s">
        <v>2817</v>
      </c>
      <c r="E1216" s="482" t="s">
        <v>1464</v>
      </c>
      <c r="F1216" s="482" t="s">
        <v>1675</v>
      </c>
      <c r="G1216" s="482" t="s">
        <v>1677</v>
      </c>
      <c r="H1216" s="482" t="s">
        <v>40</v>
      </c>
      <c r="I1216" s="482" t="s">
        <v>1331</v>
      </c>
      <c r="J1216" s="482" t="s">
        <v>42</v>
      </c>
      <c r="K1216" s="482" t="s">
        <v>42</v>
      </c>
      <c r="L1216" s="482" t="s">
        <v>42</v>
      </c>
      <c r="M1216" s="482" t="s">
        <v>43</v>
      </c>
      <c r="N1216" s="482">
        <v>24.006789000000001</v>
      </c>
      <c r="O1216" s="482">
        <v>97.911647000000002</v>
      </c>
      <c r="P1216" s="482" t="s">
        <v>757</v>
      </c>
      <c r="Q1216" s="482" t="s">
        <v>776</v>
      </c>
      <c r="R1216" s="494">
        <v>17</v>
      </c>
      <c r="S1216" s="487">
        <v>80</v>
      </c>
      <c r="T1216" s="506"/>
      <c r="U1216" s="488"/>
      <c r="V1216" s="482" t="s">
        <v>987</v>
      </c>
      <c r="W1216" s="392" t="s">
        <v>2193</v>
      </c>
    </row>
    <row r="1217" spans="1:23" ht="14.25" customHeight="1">
      <c r="A1217" s="491" t="s">
        <v>698</v>
      </c>
      <c r="B1217" s="514" t="s">
        <v>708</v>
      </c>
      <c r="C1217" s="452" t="s">
        <v>713</v>
      </c>
      <c r="D1217" s="485" t="s">
        <v>1657</v>
      </c>
      <c r="E1217" s="482" t="s">
        <v>1335</v>
      </c>
      <c r="F1217" s="482" t="s">
        <v>1658</v>
      </c>
      <c r="G1217" s="482" t="s">
        <v>1659</v>
      </c>
      <c r="H1217" s="482"/>
      <c r="I1217" s="482">
        <v>0</v>
      </c>
      <c r="J1217" s="482" t="s">
        <v>42</v>
      </c>
      <c r="K1217" s="482" t="s">
        <v>42</v>
      </c>
      <c r="L1217" s="482" t="s">
        <v>756</v>
      </c>
      <c r="M1217" s="482" t="s">
        <v>774</v>
      </c>
      <c r="N1217" s="482">
        <v>23.933098999999999</v>
      </c>
      <c r="O1217" s="482">
        <v>98.139397000000002</v>
      </c>
      <c r="P1217" s="482" t="s">
        <v>757</v>
      </c>
      <c r="Q1217" s="482" t="s">
        <v>776</v>
      </c>
      <c r="R1217" s="494"/>
      <c r="S1217" s="487"/>
      <c r="T1217" s="506"/>
      <c r="U1217" s="488"/>
      <c r="V1217" s="482" t="s">
        <v>713</v>
      </c>
      <c r="W1217" s="392" t="s">
        <v>2194</v>
      </c>
    </row>
    <row r="1218" spans="1:23" ht="14.25" customHeight="1">
      <c r="A1218" s="491" t="s">
        <v>698</v>
      </c>
      <c r="B1218" s="514" t="s">
        <v>708</v>
      </c>
      <c r="C1218" s="452" t="s">
        <v>982</v>
      </c>
      <c r="D1218" s="485" t="s">
        <v>1657</v>
      </c>
      <c r="E1218" s="482" t="s">
        <v>1459</v>
      </c>
      <c r="F1218" s="484" t="s">
        <v>1695</v>
      </c>
      <c r="G1218" s="482" t="s">
        <v>1696</v>
      </c>
      <c r="H1218" s="482"/>
      <c r="I1218" s="482">
        <v>0</v>
      </c>
      <c r="J1218" s="482" t="s">
        <v>42</v>
      </c>
      <c r="K1218" s="482" t="s">
        <v>42</v>
      </c>
      <c r="L1218" s="482" t="s">
        <v>756</v>
      </c>
      <c r="M1218" s="482" t="s">
        <v>43</v>
      </c>
      <c r="N1218" s="482">
        <v>23.978088</v>
      </c>
      <c r="O1218" s="482">
        <v>98.129380999999995</v>
      </c>
      <c r="P1218" s="482" t="s">
        <v>757</v>
      </c>
      <c r="Q1218" s="482" t="s">
        <v>758</v>
      </c>
      <c r="R1218" s="494"/>
      <c r="S1218" s="487"/>
      <c r="T1218" s="506">
        <v>42836</v>
      </c>
      <c r="U1218" s="488"/>
      <c r="V1218" s="482"/>
      <c r="W1218" s="392" t="s">
        <v>2189</v>
      </c>
    </row>
    <row r="1219" spans="1:23" ht="14.25" customHeight="1">
      <c r="A1219" s="491" t="s">
        <v>698</v>
      </c>
      <c r="B1219" s="514" t="s">
        <v>708</v>
      </c>
      <c r="C1219" s="452" t="s">
        <v>778</v>
      </c>
      <c r="D1219" s="485" t="s">
        <v>1657</v>
      </c>
      <c r="E1219" s="482" t="s">
        <v>1337</v>
      </c>
      <c r="F1219" s="484" t="s">
        <v>1681</v>
      </c>
      <c r="G1219" s="482" t="s">
        <v>1682</v>
      </c>
      <c r="H1219" s="482"/>
      <c r="I1219" s="482">
        <v>0</v>
      </c>
      <c r="J1219" s="482" t="s">
        <v>42</v>
      </c>
      <c r="K1219" s="482" t="s">
        <v>42</v>
      </c>
      <c r="L1219" s="482" t="s">
        <v>756</v>
      </c>
      <c r="M1219" s="482" t="s">
        <v>43</v>
      </c>
      <c r="N1219" s="482"/>
      <c r="O1219" s="482"/>
      <c r="P1219" s="482" t="s">
        <v>757</v>
      </c>
      <c r="Q1219" s="482" t="s">
        <v>758</v>
      </c>
      <c r="R1219" s="494"/>
      <c r="S1219" s="487"/>
      <c r="T1219" s="506">
        <v>42832</v>
      </c>
      <c r="U1219" s="488"/>
      <c r="V1219" s="482"/>
      <c r="W1219" s="392" t="s">
        <v>2188</v>
      </c>
    </row>
    <row r="1220" spans="1:23" ht="14.25" customHeight="1">
      <c r="A1220" s="491" t="s">
        <v>698</v>
      </c>
      <c r="B1220" s="514" t="s">
        <v>708</v>
      </c>
      <c r="C1220" s="452" t="s">
        <v>786</v>
      </c>
      <c r="D1220" s="431" t="s">
        <v>1657</v>
      </c>
      <c r="E1220" s="482" t="s">
        <v>1342</v>
      </c>
      <c r="F1220" s="482" t="s">
        <v>1675</v>
      </c>
      <c r="G1220" s="482" t="s">
        <v>1677</v>
      </c>
      <c r="H1220" s="482"/>
      <c r="I1220" s="484">
        <v>0</v>
      </c>
      <c r="J1220" s="482" t="s">
        <v>42</v>
      </c>
      <c r="K1220" s="482" t="s">
        <v>42</v>
      </c>
      <c r="L1220" s="482" t="s">
        <v>756</v>
      </c>
      <c r="M1220" s="482" t="s">
        <v>43</v>
      </c>
      <c r="N1220" s="482"/>
      <c r="O1220" s="482"/>
      <c r="P1220" s="482" t="s">
        <v>757</v>
      </c>
      <c r="Q1220" s="482" t="s">
        <v>758</v>
      </c>
      <c r="R1220" s="486"/>
      <c r="S1220" s="486"/>
      <c r="T1220" s="506">
        <v>42832</v>
      </c>
      <c r="U1220" s="488"/>
      <c r="V1220" s="484"/>
      <c r="W1220" s="392" t="s">
        <v>2188</v>
      </c>
    </row>
    <row r="1221" spans="1:23" ht="14.25" customHeight="1">
      <c r="A1221" s="491" t="s">
        <v>698</v>
      </c>
      <c r="B1221" s="514" t="s">
        <v>708</v>
      </c>
      <c r="C1221" s="452" t="s">
        <v>788</v>
      </c>
      <c r="D1221" s="485" t="s">
        <v>1657</v>
      </c>
      <c r="E1221" s="482" t="s">
        <v>1344</v>
      </c>
      <c r="F1221" s="482">
        <v>0</v>
      </c>
      <c r="G1221" s="482">
        <v>0</v>
      </c>
      <c r="H1221" s="482"/>
      <c r="I1221" s="482">
        <v>0</v>
      </c>
      <c r="J1221" s="482" t="s">
        <v>42</v>
      </c>
      <c r="K1221" s="482" t="s">
        <v>42</v>
      </c>
      <c r="L1221" s="482" t="s">
        <v>756</v>
      </c>
      <c r="M1221" s="482" t="s">
        <v>43</v>
      </c>
      <c r="N1221" s="482"/>
      <c r="O1221" s="482"/>
      <c r="P1221" s="482" t="s">
        <v>757</v>
      </c>
      <c r="Q1221" s="482" t="s">
        <v>758</v>
      </c>
      <c r="R1221" s="494"/>
      <c r="S1221" s="487"/>
      <c r="T1221" s="506">
        <v>42832</v>
      </c>
      <c r="U1221" s="488"/>
      <c r="V1221" s="484"/>
      <c r="W1221" s="392" t="s">
        <v>2188</v>
      </c>
    </row>
    <row r="1222" spans="1:23" ht="14.25" customHeight="1">
      <c r="A1222" s="656" t="s">
        <v>698</v>
      </c>
      <c r="B1222" s="657" t="s">
        <v>3005</v>
      </c>
      <c r="C1222" s="658" t="s">
        <v>3006</v>
      </c>
      <c r="D1222" s="485"/>
      <c r="E1222" s="659"/>
      <c r="F1222" s="659"/>
      <c r="G1222" s="659"/>
      <c r="H1222" s="659"/>
      <c r="I1222" s="659"/>
      <c r="J1222" s="659" t="s">
        <v>794</v>
      </c>
      <c r="K1222" s="659" t="s">
        <v>794</v>
      </c>
      <c r="L1222" s="659" t="s">
        <v>794</v>
      </c>
      <c r="M1222" s="659"/>
      <c r="N1222" s="659"/>
      <c r="O1222" s="659"/>
      <c r="P1222" s="659"/>
      <c r="Q1222" s="659" t="s">
        <v>3102</v>
      </c>
      <c r="R1222" s="660"/>
      <c r="S1222" s="656"/>
      <c r="T1222" s="661">
        <v>43843</v>
      </c>
      <c r="U1222" s="660"/>
      <c r="V1222" s="659"/>
      <c r="W1222" s="486"/>
    </row>
    <row r="1223" spans="1:23" ht="14.25" customHeight="1">
      <c r="A1223" s="656" t="s">
        <v>698</v>
      </c>
      <c r="B1223" s="657" t="s">
        <v>3005</v>
      </c>
      <c r="C1223" s="658" t="s">
        <v>3011</v>
      </c>
      <c r="D1223" s="485"/>
      <c r="E1223" s="659"/>
      <c r="F1223" s="659"/>
      <c r="G1223" s="659"/>
      <c r="H1223" s="659"/>
      <c r="I1223" s="659"/>
      <c r="J1223" s="659" t="s">
        <v>794</v>
      </c>
      <c r="K1223" s="659" t="s">
        <v>794</v>
      </c>
      <c r="L1223" s="659" t="s">
        <v>794</v>
      </c>
      <c r="M1223" s="659"/>
      <c r="N1223" s="659"/>
      <c r="O1223" s="659"/>
      <c r="P1223" s="659"/>
      <c r="Q1223" s="659" t="s">
        <v>3102</v>
      </c>
      <c r="R1223" s="660"/>
      <c r="S1223" s="656"/>
      <c r="T1223" s="661">
        <v>43843</v>
      </c>
      <c r="U1223" s="660"/>
      <c r="V1223" s="659"/>
      <c r="W1223" s="486"/>
    </row>
    <row r="1224" spans="1:23" ht="14.25" customHeight="1">
      <c r="A1224" s="491" t="s">
        <v>698</v>
      </c>
      <c r="B1224" s="514" t="s">
        <v>699</v>
      </c>
      <c r="C1224" s="452" t="s">
        <v>744</v>
      </c>
      <c r="D1224" s="431" t="s">
        <v>2817</v>
      </c>
      <c r="E1224" s="482" t="s">
        <v>1437</v>
      </c>
      <c r="F1224" s="482" t="s">
        <v>1690</v>
      </c>
      <c r="G1224" s="482" t="s">
        <v>1690</v>
      </c>
      <c r="H1224" s="482"/>
      <c r="I1224" s="482" t="s">
        <v>2116</v>
      </c>
      <c r="J1224" s="482" t="s">
        <v>42</v>
      </c>
      <c r="K1224" s="482" t="s">
        <v>42</v>
      </c>
      <c r="L1224" s="482" t="s">
        <v>772</v>
      </c>
      <c r="M1224" s="482" t="s">
        <v>43</v>
      </c>
      <c r="N1224" s="482">
        <v>23.611999999999998</v>
      </c>
      <c r="O1224" s="482">
        <v>97.506</v>
      </c>
      <c r="P1224" s="482" t="s">
        <v>757</v>
      </c>
      <c r="Q1224" s="482" t="s">
        <v>758</v>
      </c>
      <c r="R1224" s="486">
        <v>62</v>
      </c>
      <c r="S1224" s="486">
        <v>328</v>
      </c>
      <c r="T1224" s="506"/>
      <c r="U1224" s="488" t="s">
        <v>969</v>
      </c>
      <c r="V1224" s="482"/>
      <c r="W1224" s="392" t="s">
        <v>2195</v>
      </c>
    </row>
    <row r="1225" spans="1:23" ht="14.25" customHeight="1">
      <c r="A1225" s="491" t="s">
        <v>698</v>
      </c>
      <c r="B1225" s="514" t="s">
        <v>699</v>
      </c>
      <c r="C1225" s="452" t="s">
        <v>970</v>
      </c>
      <c r="D1225" s="431" t="s">
        <v>1657</v>
      </c>
      <c r="E1225" s="482" t="s">
        <v>1438</v>
      </c>
      <c r="F1225" s="482" t="s">
        <v>1690</v>
      </c>
      <c r="G1225" s="482" t="s">
        <v>1690</v>
      </c>
      <c r="H1225" s="482"/>
      <c r="I1225" s="482">
        <v>0</v>
      </c>
      <c r="J1225" s="482" t="s">
        <v>42</v>
      </c>
      <c r="K1225" s="482" t="s">
        <v>42</v>
      </c>
      <c r="L1225" s="482" t="s">
        <v>756</v>
      </c>
      <c r="M1225" s="482" t="s">
        <v>43</v>
      </c>
      <c r="N1225" s="482">
        <v>23.611999999999998</v>
      </c>
      <c r="O1225" s="482">
        <v>97.504999999999995</v>
      </c>
      <c r="P1225" s="482" t="s">
        <v>757</v>
      </c>
      <c r="Q1225" s="482" t="s">
        <v>758</v>
      </c>
      <c r="R1225" s="486"/>
      <c r="S1225" s="486"/>
      <c r="T1225" s="506"/>
      <c r="U1225" s="488"/>
      <c r="V1225" s="482"/>
      <c r="W1225" s="392" t="s">
        <v>2196</v>
      </c>
    </row>
    <row r="1226" spans="1:23" ht="14.25" customHeight="1">
      <c r="A1226" s="491" t="s">
        <v>698</v>
      </c>
      <c r="B1226" s="514" t="s">
        <v>699</v>
      </c>
      <c r="C1226" s="452" t="s">
        <v>710</v>
      </c>
      <c r="D1226" s="431" t="s">
        <v>2817</v>
      </c>
      <c r="E1226" s="482" t="s">
        <v>1443</v>
      </c>
      <c r="F1226" s="482" t="s">
        <v>1679</v>
      </c>
      <c r="G1226" s="482" t="s">
        <v>1679</v>
      </c>
      <c r="H1226" s="482" t="s">
        <v>40</v>
      </c>
      <c r="I1226" s="482" t="s">
        <v>2662</v>
      </c>
      <c r="J1226" s="482" t="s">
        <v>42</v>
      </c>
      <c r="K1226" s="482" t="s">
        <v>42</v>
      </c>
      <c r="L1226" s="482" t="s">
        <v>42</v>
      </c>
      <c r="M1226" s="482" t="s">
        <v>43</v>
      </c>
      <c r="N1226" s="482">
        <v>23.821380000000001</v>
      </c>
      <c r="O1226" s="482">
        <v>97.681970000000007</v>
      </c>
      <c r="P1226" s="482" t="s">
        <v>757</v>
      </c>
      <c r="Q1226" s="482" t="s">
        <v>776</v>
      </c>
      <c r="R1226" s="486">
        <v>76</v>
      </c>
      <c r="S1226" s="486">
        <v>385</v>
      </c>
      <c r="T1226" s="506"/>
      <c r="U1226" s="488"/>
      <c r="V1226" s="482" t="s">
        <v>710</v>
      </c>
      <c r="W1226" s="392" t="s">
        <v>2197</v>
      </c>
    </row>
    <row r="1227" spans="1:23" ht="14.25" customHeight="1">
      <c r="A1227" s="491" t="s">
        <v>698</v>
      </c>
      <c r="B1227" s="514" t="s">
        <v>699</v>
      </c>
      <c r="C1227" s="452" t="s">
        <v>746</v>
      </c>
      <c r="D1227" s="431" t="s">
        <v>2817</v>
      </c>
      <c r="E1227" s="482" t="s">
        <v>1446</v>
      </c>
      <c r="F1227" s="482" t="s">
        <v>1679</v>
      </c>
      <c r="G1227" s="482" t="s">
        <v>1679</v>
      </c>
      <c r="H1227" s="482" t="s">
        <v>40</v>
      </c>
      <c r="I1227" s="482" t="s">
        <v>2662</v>
      </c>
      <c r="J1227" s="482" t="s">
        <v>42</v>
      </c>
      <c r="K1227" s="482" t="s">
        <v>42</v>
      </c>
      <c r="L1227" s="482" t="s">
        <v>42</v>
      </c>
      <c r="M1227" s="482" t="s">
        <v>43</v>
      </c>
      <c r="N1227" s="482">
        <v>23.828520000000001</v>
      </c>
      <c r="O1227" s="482">
        <v>97.669557999999995</v>
      </c>
      <c r="P1227" s="482" t="s">
        <v>757</v>
      </c>
      <c r="Q1227" s="482" t="s">
        <v>776</v>
      </c>
      <c r="R1227" s="486">
        <v>64</v>
      </c>
      <c r="S1227" s="486">
        <v>349</v>
      </c>
      <c r="T1227" s="506"/>
      <c r="U1227" s="488"/>
      <c r="V1227" s="482" t="s">
        <v>746</v>
      </c>
      <c r="W1227" s="392" t="s">
        <v>2198</v>
      </c>
    </row>
    <row r="1228" spans="1:23" ht="14.25" customHeight="1">
      <c r="A1228" s="491" t="s">
        <v>698</v>
      </c>
      <c r="B1228" s="514" t="s">
        <v>699</v>
      </c>
      <c r="C1228" s="452" t="s">
        <v>734</v>
      </c>
      <c r="D1228" s="485" t="s">
        <v>2817</v>
      </c>
      <c r="E1228" s="482" t="s">
        <v>1452</v>
      </c>
      <c r="F1228" s="482" t="s">
        <v>1679</v>
      </c>
      <c r="G1228" s="482" t="s">
        <v>1679</v>
      </c>
      <c r="H1228" s="482" t="s">
        <v>40</v>
      </c>
      <c r="I1228" s="482" t="s">
        <v>2662</v>
      </c>
      <c r="J1228" s="482" t="s">
        <v>42</v>
      </c>
      <c r="K1228" s="482" t="s">
        <v>42</v>
      </c>
      <c r="L1228" s="482" t="s">
        <v>42</v>
      </c>
      <c r="M1228" s="482" t="s">
        <v>43</v>
      </c>
      <c r="N1228" s="482">
        <v>23.841646999999998</v>
      </c>
      <c r="O1228" s="482">
        <v>97.700940000000003</v>
      </c>
      <c r="P1228" s="482" t="s">
        <v>757</v>
      </c>
      <c r="Q1228" s="482" t="s">
        <v>776</v>
      </c>
      <c r="R1228" s="494">
        <v>36</v>
      </c>
      <c r="S1228" s="487">
        <v>193</v>
      </c>
      <c r="T1228" s="506"/>
      <c r="U1228" s="488"/>
      <c r="V1228" s="482" t="s">
        <v>977</v>
      </c>
      <c r="W1228" s="486" t="s">
        <v>2199</v>
      </c>
    </row>
    <row r="1229" spans="1:23" ht="14.25" customHeight="1">
      <c r="A1229" s="491" t="s">
        <v>698</v>
      </c>
      <c r="B1229" s="514" t="s">
        <v>699</v>
      </c>
      <c r="C1229" s="452" t="s">
        <v>700</v>
      </c>
      <c r="D1229" s="431" t="s">
        <v>2817</v>
      </c>
      <c r="E1229" s="482" t="s">
        <v>1445</v>
      </c>
      <c r="F1229" s="482" t="s">
        <v>1679</v>
      </c>
      <c r="G1229" s="482" t="s">
        <v>1679</v>
      </c>
      <c r="H1229" s="482" t="s">
        <v>40</v>
      </c>
      <c r="I1229" s="482" t="s">
        <v>1331</v>
      </c>
      <c r="J1229" s="482" t="s">
        <v>42</v>
      </c>
      <c r="K1229" s="482" t="s">
        <v>42</v>
      </c>
      <c r="L1229" s="482" t="s">
        <v>42</v>
      </c>
      <c r="M1229" s="482" t="s">
        <v>43</v>
      </c>
      <c r="N1229" s="482">
        <v>23.828150000000001</v>
      </c>
      <c r="O1229" s="482">
        <v>97.670360000000002</v>
      </c>
      <c r="P1229" s="482" t="s">
        <v>757</v>
      </c>
      <c r="Q1229" s="482" t="s">
        <v>776</v>
      </c>
      <c r="R1229" s="486">
        <v>43</v>
      </c>
      <c r="S1229" s="486">
        <v>218</v>
      </c>
      <c r="T1229" s="506"/>
      <c r="U1229" s="488"/>
      <c r="V1229" s="482" t="s">
        <v>700</v>
      </c>
      <c r="W1229" s="392" t="s">
        <v>2200</v>
      </c>
    </row>
    <row r="1230" spans="1:23" ht="14.25" customHeight="1">
      <c r="A1230" s="491" t="s">
        <v>698</v>
      </c>
      <c r="B1230" s="514" t="s">
        <v>699</v>
      </c>
      <c r="C1230" s="452" t="s">
        <v>775</v>
      </c>
      <c r="D1230" s="431" t="s">
        <v>1657</v>
      </c>
      <c r="E1230" s="482" t="s">
        <v>1334</v>
      </c>
      <c r="F1230" s="482" t="s">
        <v>1679</v>
      </c>
      <c r="G1230" s="482" t="s">
        <v>1679</v>
      </c>
      <c r="H1230" s="482"/>
      <c r="I1230" s="482">
        <v>0</v>
      </c>
      <c r="J1230" s="482" t="s">
        <v>42</v>
      </c>
      <c r="K1230" s="482" t="s">
        <v>42</v>
      </c>
      <c r="L1230" s="482" t="s">
        <v>756</v>
      </c>
      <c r="M1230" s="482" t="s">
        <v>774</v>
      </c>
      <c r="N1230" s="482"/>
      <c r="O1230" s="482"/>
      <c r="P1230" s="482" t="s">
        <v>757</v>
      </c>
      <c r="Q1230" s="482"/>
      <c r="R1230" s="486"/>
      <c r="S1230" s="486"/>
      <c r="T1230" s="506"/>
      <c r="U1230" s="488"/>
      <c r="V1230" s="482" t="s">
        <v>775</v>
      </c>
      <c r="W1230" s="392" t="s">
        <v>2201</v>
      </c>
    </row>
    <row r="1231" spans="1:23" ht="14.25" customHeight="1">
      <c r="A1231" s="491" t="s">
        <v>698</v>
      </c>
      <c r="B1231" s="514" t="s">
        <v>699</v>
      </c>
      <c r="C1231" s="452" t="s">
        <v>736</v>
      </c>
      <c r="D1231" s="485" t="s">
        <v>2817</v>
      </c>
      <c r="E1231" s="482" t="s">
        <v>1451</v>
      </c>
      <c r="F1231" s="482" t="s">
        <v>1770</v>
      </c>
      <c r="G1231" s="482" t="s">
        <v>1759</v>
      </c>
      <c r="H1231" s="482" t="s">
        <v>40</v>
      </c>
      <c r="I1231" s="482" t="s">
        <v>2662</v>
      </c>
      <c r="J1231" s="482" t="s">
        <v>42</v>
      </c>
      <c r="K1231" s="482" t="s">
        <v>42</v>
      </c>
      <c r="L1231" s="482" t="s">
        <v>42</v>
      </c>
      <c r="M1231" s="482" t="s">
        <v>43</v>
      </c>
      <c r="N1231" s="482">
        <v>23.838190000000001</v>
      </c>
      <c r="O1231" s="482">
        <v>97.709879999999998</v>
      </c>
      <c r="P1231" s="482" t="s">
        <v>757</v>
      </c>
      <c r="Q1231" s="482" t="s">
        <v>776</v>
      </c>
      <c r="R1231" s="494">
        <v>114</v>
      </c>
      <c r="S1231" s="487">
        <v>545</v>
      </c>
      <c r="T1231" s="506"/>
      <c r="U1231" s="488"/>
      <c r="V1231" s="482" t="s">
        <v>976</v>
      </c>
      <c r="W1231" s="486" t="s">
        <v>2202</v>
      </c>
    </row>
    <row r="1232" spans="1:23" ht="14.25" customHeight="1">
      <c r="A1232" s="491" t="s">
        <v>698</v>
      </c>
      <c r="B1232" s="514" t="s">
        <v>719</v>
      </c>
      <c r="C1232" s="452" t="s">
        <v>726</v>
      </c>
      <c r="D1232" s="431" t="s">
        <v>2817</v>
      </c>
      <c r="E1232" s="482" t="s">
        <v>1420</v>
      </c>
      <c r="F1232" s="482" t="s">
        <v>1683</v>
      </c>
      <c r="G1232" s="482" t="s">
        <v>1684</v>
      </c>
      <c r="H1232" s="482" t="s">
        <v>40</v>
      </c>
      <c r="I1232" s="482" t="s">
        <v>1331</v>
      </c>
      <c r="J1232" s="482" t="s">
        <v>42</v>
      </c>
      <c r="K1232" s="482" t="s">
        <v>42</v>
      </c>
      <c r="L1232" s="482" t="s">
        <v>42</v>
      </c>
      <c r="M1232" s="482" t="s">
        <v>43</v>
      </c>
      <c r="N1232" s="482">
        <v>23.099304</v>
      </c>
      <c r="O1232" s="482">
        <v>97.400671000000003</v>
      </c>
      <c r="P1232" s="482" t="s">
        <v>757</v>
      </c>
      <c r="Q1232" s="482" t="s">
        <v>922</v>
      </c>
      <c r="R1232" s="486">
        <v>61</v>
      </c>
      <c r="S1232" s="486">
        <v>279</v>
      </c>
      <c r="T1232" s="506">
        <v>42983</v>
      </c>
      <c r="U1232" s="488"/>
      <c r="V1232" s="482"/>
      <c r="W1232" s="392" t="s">
        <v>2203</v>
      </c>
    </row>
    <row r="1233" spans="1:23" ht="14.25" customHeight="1">
      <c r="A1233" s="491" t="s">
        <v>698</v>
      </c>
      <c r="B1233" s="514" t="s">
        <v>719</v>
      </c>
      <c r="C1233" s="452" t="s">
        <v>1102</v>
      </c>
      <c r="D1233" s="485" t="s">
        <v>1656</v>
      </c>
      <c r="E1233" s="482"/>
      <c r="F1233" s="482"/>
      <c r="G1233" s="482"/>
      <c r="H1233" s="482"/>
      <c r="I1233" s="482"/>
      <c r="J1233" s="482" t="s">
        <v>1460</v>
      </c>
      <c r="K1233" s="482" t="s">
        <v>42</v>
      </c>
      <c r="L1233" s="482" t="s">
        <v>42</v>
      </c>
      <c r="M1233" s="482" t="s">
        <v>43</v>
      </c>
      <c r="N1233" s="482"/>
      <c r="O1233" s="482"/>
      <c r="P1233" s="482" t="s">
        <v>757</v>
      </c>
      <c r="Q1233" s="482" t="s">
        <v>776</v>
      </c>
      <c r="R1233" s="494"/>
      <c r="S1233" s="487"/>
      <c r="T1233" s="506">
        <v>42747</v>
      </c>
      <c r="U1233" s="488"/>
      <c r="V1233" s="482"/>
      <c r="W1233" s="486"/>
    </row>
    <row r="1234" spans="1:23" ht="14.25" customHeight="1">
      <c r="A1234" s="491" t="s">
        <v>698</v>
      </c>
      <c r="B1234" s="514" t="s">
        <v>719</v>
      </c>
      <c r="C1234" s="452" t="s">
        <v>727</v>
      </c>
      <c r="D1234" s="431" t="s">
        <v>2817</v>
      </c>
      <c r="E1234" s="482" t="s">
        <v>1330</v>
      </c>
      <c r="F1234" s="484" t="s">
        <v>1683</v>
      </c>
      <c r="G1234" s="482" t="s">
        <v>1684</v>
      </c>
      <c r="H1234" s="482" t="s">
        <v>40</v>
      </c>
      <c r="I1234" s="482" t="s">
        <v>1331</v>
      </c>
      <c r="J1234" s="482" t="s">
        <v>42</v>
      </c>
      <c r="K1234" s="482" t="s">
        <v>42</v>
      </c>
      <c r="L1234" s="482" t="s">
        <v>42</v>
      </c>
      <c r="M1234" s="482" t="s">
        <v>43</v>
      </c>
      <c r="N1234" s="482">
        <v>0</v>
      </c>
      <c r="O1234" s="482">
        <v>0</v>
      </c>
      <c r="P1234" s="482" t="s">
        <v>757</v>
      </c>
      <c r="Q1234" s="482" t="s">
        <v>758</v>
      </c>
      <c r="R1234" s="486">
        <v>28</v>
      </c>
      <c r="S1234" s="486">
        <v>144</v>
      </c>
      <c r="T1234" s="506"/>
      <c r="U1234" s="488"/>
      <c r="V1234" s="482"/>
      <c r="W1234" s="392" t="s">
        <v>2203</v>
      </c>
    </row>
    <row r="1235" spans="1:23" ht="14.25" customHeight="1">
      <c r="A1235" s="491" t="s">
        <v>698</v>
      </c>
      <c r="B1235" s="514" t="s">
        <v>719</v>
      </c>
      <c r="C1235" s="452" t="s">
        <v>1938</v>
      </c>
      <c r="D1235" s="485"/>
      <c r="E1235" s="482"/>
      <c r="F1235" s="482"/>
      <c r="G1235" s="482"/>
      <c r="H1235" s="482"/>
      <c r="I1235" s="482"/>
      <c r="J1235" s="482" t="s">
        <v>1460</v>
      </c>
      <c r="K1235" s="482" t="s">
        <v>42</v>
      </c>
      <c r="L1235" s="482" t="s">
        <v>42</v>
      </c>
      <c r="M1235" s="482" t="s">
        <v>43</v>
      </c>
      <c r="N1235" s="482"/>
      <c r="O1235" s="482"/>
      <c r="P1235" s="482" t="s">
        <v>757</v>
      </c>
      <c r="Q1235" s="482" t="s">
        <v>1930</v>
      </c>
      <c r="R1235" s="494"/>
      <c r="S1235" s="487"/>
      <c r="T1235" s="506">
        <v>43270</v>
      </c>
      <c r="U1235" s="488"/>
      <c r="V1235" s="482"/>
      <c r="W1235" s="486"/>
    </row>
    <row r="1236" spans="1:23" ht="14.25" customHeight="1">
      <c r="A1236" s="491" t="s">
        <v>698</v>
      </c>
      <c r="B1236" s="514" t="s">
        <v>719</v>
      </c>
      <c r="C1236" s="452" t="s">
        <v>730</v>
      </c>
      <c r="D1236" s="485" t="s">
        <v>2817</v>
      </c>
      <c r="E1236" s="482" t="s">
        <v>1419</v>
      </c>
      <c r="F1236" s="482" t="s">
        <v>1683</v>
      </c>
      <c r="G1236" s="482" t="s">
        <v>1684</v>
      </c>
      <c r="H1236" s="482" t="s">
        <v>40</v>
      </c>
      <c r="I1236" s="482" t="s">
        <v>2662</v>
      </c>
      <c r="J1236" s="482" t="s">
        <v>42</v>
      </c>
      <c r="K1236" s="482" t="s">
        <v>42</v>
      </c>
      <c r="L1236" s="482" t="s">
        <v>42</v>
      </c>
      <c r="M1236" s="482" t="s">
        <v>43</v>
      </c>
      <c r="N1236" s="482">
        <v>23.094290000000001</v>
      </c>
      <c r="O1236" s="482">
        <v>97.404089999999997</v>
      </c>
      <c r="P1236" s="482" t="s">
        <v>757</v>
      </c>
      <c r="Q1236" s="482" t="s">
        <v>776</v>
      </c>
      <c r="R1236" s="494">
        <v>38</v>
      </c>
      <c r="S1236" s="487">
        <v>159</v>
      </c>
      <c r="T1236" s="506"/>
      <c r="U1236" s="488"/>
      <c r="V1236" s="482" t="s">
        <v>730</v>
      </c>
      <c r="W1236" s="392" t="s">
        <v>2204</v>
      </c>
    </row>
    <row r="1237" spans="1:23" ht="14.25" customHeight="1">
      <c r="A1237" s="491" t="s">
        <v>698</v>
      </c>
      <c r="B1237" s="514" t="s">
        <v>719</v>
      </c>
      <c r="C1237" s="452" t="s">
        <v>961</v>
      </c>
      <c r="D1237" s="485" t="s">
        <v>1657</v>
      </c>
      <c r="E1237" s="482" t="s">
        <v>1418</v>
      </c>
      <c r="F1237" s="482" t="s">
        <v>1683</v>
      </c>
      <c r="G1237" s="482" t="s">
        <v>1684</v>
      </c>
      <c r="H1237" s="482"/>
      <c r="I1237" s="482">
        <v>0</v>
      </c>
      <c r="J1237" s="482" t="s">
        <v>42</v>
      </c>
      <c r="K1237" s="482" t="s">
        <v>42</v>
      </c>
      <c r="L1237" s="482" t="s">
        <v>756</v>
      </c>
      <c r="M1237" s="482" t="s">
        <v>43</v>
      </c>
      <c r="N1237" s="482">
        <v>23.088058</v>
      </c>
      <c r="O1237" s="482">
        <v>97.398989</v>
      </c>
      <c r="P1237" s="482" t="s">
        <v>769</v>
      </c>
      <c r="Q1237" s="482" t="s">
        <v>776</v>
      </c>
      <c r="R1237" s="494"/>
      <c r="S1237" s="487"/>
      <c r="T1237" s="506"/>
      <c r="U1237" s="488"/>
      <c r="V1237" s="482" t="s">
        <v>783</v>
      </c>
      <c r="W1237" s="392" t="s">
        <v>2205</v>
      </c>
    </row>
    <row r="1238" spans="1:23" ht="14.25" customHeight="1">
      <c r="A1238" s="491" t="s">
        <v>698</v>
      </c>
      <c r="B1238" s="514" t="s">
        <v>719</v>
      </c>
      <c r="C1238" s="452" t="s">
        <v>779</v>
      </c>
      <c r="D1238" s="485" t="s">
        <v>1657</v>
      </c>
      <c r="E1238" s="482" t="s">
        <v>1338</v>
      </c>
      <c r="F1238" s="482" t="s">
        <v>1683</v>
      </c>
      <c r="G1238" s="482" t="s">
        <v>1684</v>
      </c>
      <c r="H1238" s="482"/>
      <c r="I1238" s="482">
        <v>0</v>
      </c>
      <c r="J1238" s="482" t="s">
        <v>42</v>
      </c>
      <c r="K1238" s="482" t="s">
        <v>42</v>
      </c>
      <c r="L1238" s="482" t="s">
        <v>756</v>
      </c>
      <c r="M1238" s="482" t="s">
        <v>43</v>
      </c>
      <c r="N1238" s="482"/>
      <c r="O1238" s="482"/>
      <c r="P1238" s="482" t="s">
        <v>757</v>
      </c>
      <c r="Q1238" s="482" t="s">
        <v>758</v>
      </c>
      <c r="R1238" s="494"/>
      <c r="S1238" s="487"/>
      <c r="T1238" s="506">
        <v>43019</v>
      </c>
      <c r="U1238" s="488" t="s">
        <v>780</v>
      </c>
      <c r="V1238" s="482"/>
      <c r="W1238" s="486" t="s">
        <v>780</v>
      </c>
    </row>
    <row r="1239" spans="1:23" ht="14.25" customHeight="1">
      <c r="A1239" s="487" t="s">
        <v>698</v>
      </c>
      <c r="B1239" s="514" t="s">
        <v>719</v>
      </c>
      <c r="C1239" s="452" t="s">
        <v>781</v>
      </c>
      <c r="D1239" s="431" t="s">
        <v>1657</v>
      </c>
      <c r="E1239" s="482" t="s">
        <v>1339</v>
      </c>
      <c r="F1239" s="482" t="s">
        <v>1683</v>
      </c>
      <c r="G1239" s="482" t="s">
        <v>1684</v>
      </c>
      <c r="H1239" s="482"/>
      <c r="I1239" s="484">
        <v>0</v>
      </c>
      <c r="J1239" s="482" t="s">
        <v>42</v>
      </c>
      <c r="K1239" s="482" t="s">
        <v>42</v>
      </c>
      <c r="L1239" s="482" t="s">
        <v>756</v>
      </c>
      <c r="M1239" s="482" t="s">
        <v>43</v>
      </c>
      <c r="N1239" s="482"/>
      <c r="O1239" s="482"/>
      <c r="P1239" s="482" t="s">
        <v>757</v>
      </c>
      <c r="Q1239" s="482" t="s">
        <v>758</v>
      </c>
      <c r="R1239" s="486"/>
      <c r="S1239" s="486"/>
      <c r="T1239" s="506">
        <v>42927</v>
      </c>
      <c r="U1239" s="488" t="s">
        <v>782</v>
      </c>
      <c r="V1239" s="482"/>
      <c r="W1239" s="392" t="s">
        <v>780</v>
      </c>
    </row>
    <row r="1240" spans="1:23" ht="14.25" customHeight="1">
      <c r="A1240" s="487" t="s">
        <v>698</v>
      </c>
      <c r="B1240" s="514" t="s">
        <v>719</v>
      </c>
      <c r="C1240" s="452" t="s">
        <v>783</v>
      </c>
      <c r="D1240" s="485" t="s">
        <v>1657</v>
      </c>
      <c r="E1240" s="482" t="s">
        <v>1340</v>
      </c>
      <c r="F1240" s="482" t="s">
        <v>1683</v>
      </c>
      <c r="G1240" s="482" t="s">
        <v>1684</v>
      </c>
      <c r="H1240" s="482"/>
      <c r="I1240" s="482">
        <v>0</v>
      </c>
      <c r="J1240" s="482" t="s">
        <v>42</v>
      </c>
      <c r="K1240" s="482" t="s">
        <v>42</v>
      </c>
      <c r="L1240" s="482" t="s">
        <v>756</v>
      </c>
      <c r="M1240" s="482" t="s">
        <v>43</v>
      </c>
      <c r="N1240" s="482"/>
      <c r="O1240" s="482"/>
      <c r="P1240" s="482" t="s">
        <v>757</v>
      </c>
      <c r="Q1240" s="482" t="s">
        <v>758</v>
      </c>
      <c r="R1240" s="494"/>
      <c r="S1240" s="487"/>
      <c r="T1240" s="506">
        <v>42927</v>
      </c>
      <c r="U1240" s="488" t="s">
        <v>784</v>
      </c>
      <c r="V1240" s="482"/>
      <c r="W1240" s="392" t="s">
        <v>2194</v>
      </c>
    </row>
    <row r="1241" spans="1:23" ht="14.25" customHeight="1">
      <c r="A1241" s="487" t="s">
        <v>698</v>
      </c>
      <c r="B1241" s="514" t="s">
        <v>719</v>
      </c>
      <c r="C1241" s="452" t="s">
        <v>720</v>
      </c>
      <c r="D1241" s="485" t="s">
        <v>2817</v>
      </c>
      <c r="E1241" s="482" t="s">
        <v>1417</v>
      </c>
      <c r="F1241" s="482" t="s">
        <v>1759</v>
      </c>
      <c r="G1241" s="482" t="s">
        <v>1760</v>
      </c>
      <c r="H1241" s="482"/>
      <c r="I1241" s="482" t="s">
        <v>2116</v>
      </c>
      <c r="J1241" s="482" t="s">
        <v>42</v>
      </c>
      <c r="K1241" s="482" t="s">
        <v>42</v>
      </c>
      <c r="L1241" s="482" t="s">
        <v>772</v>
      </c>
      <c r="M1241" s="482" t="s">
        <v>43</v>
      </c>
      <c r="N1241" s="482">
        <v>22.765999999999998</v>
      </c>
      <c r="O1241" s="482">
        <v>97.358999999999995</v>
      </c>
      <c r="P1241" s="482" t="s">
        <v>757</v>
      </c>
      <c r="Q1241" s="482" t="s">
        <v>758</v>
      </c>
      <c r="R1241" s="494">
        <v>6</v>
      </c>
      <c r="S1241" s="487">
        <v>27</v>
      </c>
      <c r="T1241" s="506"/>
      <c r="U1241" s="488" t="s">
        <v>960</v>
      </c>
      <c r="V1241" s="482"/>
      <c r="W1241" s="486" t="s">
        <v>2206</v>
      </c>
    </row>
    <row r="1242" spans="1:23" ht="14.25" customHeight="1">
      <c r="A1242" s="487" t="s">
        <v>698</v>
      </c>
      <c r="B1242" s="514" t="s">
        <v>719</v>
      </c>
      <c r="C1242" s="452" t="s">
        <v>962</v>
      </c>
      <c r="D1242" s="485" t="s">
        <v>1656</v>
      </c>
      <c r="E1242" s="482" t="s">
        <v>1421</v>
      </c>
      <c r="F1242" s="484"/>
      <c r="G1242" s="482"/>
      <c r="H1242" s="482"/>
      <c r="I1242" s="482">
        <v>0</v>
      </c>
      <c r="J1242" s="482" t="s">
        <v>42</v>
      </c>
      <c r="K1242" s="482" t="s">
        <v>42</v>
      </c>
      <c r="L1242" s="482" t="s">
        <v>756</v>
      </c>
      <c r="M1242" s="482" t="s">
        <v>43</v>
      </c>
      <c r="N1242" s="482">
        <v>23.099304</v>
      </c>
      <c r="O1242" s="482">
        <v>97.400671000000003</v>
      </c>
      <c r="P1242" s="482" t="s">
        <v>757</v>
      </c>
      <c r="Q1242" s="482" t="s">
        <v>758</v>
      </c>
      <c r="R1242" s="494"/>
      <c r="S1242" s="487"/>
      <c r="T1242" s="506">
        <v>42747</v>
      </c>
      <c r="U1242" s="488" t="s">
        <v>963</v>
      </c>
      <c r="V1242" s="482"/>
      <c r="W1242" s="486" t="s">
        <v>2207</v>
      </c>
    </row>
    <row r="1243" spans="1:23" ht="14.25" customHeight="1">
      <c r="A1243" s="487" t="s">
        <v>698</v>
      </c>
      <c r="B1243" s="514" t="s">
        <v>719</v>
      </c>
      <c r="C1243" s="452" t="s">
        <v>1144</v>
      </c>
      <c r="D1243" s="485" t="s">
        <v>1656</v>
      </c>
      <c r="E1243" s="482"/>
      <c r="F1243" s="482"/>
      <c r="G1243" s="482"/>
      <c r="H1243" s="482"/>
      <c r="I1243" s="482"/>
      <c r="J1243" s="482" t="s">
        <v>1460</v>
      </c>
      <c r="K1243" s="482" t="s">
        <v>42</v>
      </c>
      <c r="L1243" s="482" t="s">
        <v>756</v>
      </c>
      <c r="M1243" s="482" t="s">
        <v>43</v>
      </c>
      <c r="N1243" s="482"/>
      <c r="O1243" s="482"/>
      <c r="P1243" s="482" t="s">
        <v>757</v>
      </c>
      <c r="Q1243" s="482" t="s">
        <v>776</v>
      </c>
      <c r="R1243" s="494"/>
      <c r="S1243" s="487"/>
      <c r="T1243" s="506">
        <v>42747</v>
      </c>
      <c r="U1243" s="488"/>
      <c r="V1243" s="482"/>
      <c r="W1243" s="486"/>
    </row>
    <row r="1244" spans="1:23" ht="14.25" customHeight="1">
      <c r="A1244" s="487" t="s">
        <v>698</v>
      </c>
      <c r="B1244" s="514" t="s">
        <v>1271</v>
      </c>
      <c r="C1244" s="452" t="s">
        <v>2228</v>
      </c>
      <c r="D1244" s="485"/>
      <c r="E1244" s="482"/>
      <c r="F1244" s="482"/>
      <c r="G1244" s="482"/>
      <c r="H1244" s="482"/>
      <c r="I1244" s="482"/>
      <c r="J1244" s="482" t="s">
        <v>2652</v>
      </c>
      <c r="K1244" s="482" t="s">
        <v>2622</v>
      </c>
      <c r="L1244" s="482" t="s">
        <v>2622</v>
      </c>
      <c r="M1244" s="482" t="s">
        <v>43</v>
      </c>
      <c r="N1244" s="482"/>
      <c r="O1244" s="482"/>
      <c r="P1244" s="482" t="s">
        <v>1972</v>
      </c>
      <c r="Q1244" s="482" t="s">
        <v>922</v>
      </c>
      <c r="R1244" s="494"/>
      <c r="S1244" s="487"/>
      <c r="T1244" s="506">
        <v>43392</v>
      </c>
      <c r="U1244" s="488"/>
      <c r="V1244" s="484"/>
      <c r="W1244" s="486"/>
    </row>
    <row r="1245" spans="1:23" ht="14.25" customHeight="1">
      <c r="A1245" s="527" t="s">
        <v>698</v>
      </c>
      <c r="B1245" s="528" t="s">
        <v>1271</v>
      </c>
      <c r="C1245" s="529" t="s">
        <v>1122</v>
      </c>
      <c r="D1245" s="485" t="s">
        <v>1656</v>
      </c>
      <c r="E1245" s="530"/>
      <c r="F1245" s="530"/>
      <c r="G1245" s="530"/>
      <c r="H1245" s="530"/>
      <c r="I1245" s="530"/>
      <c r="J1245" s="530" t="s">
        <v>1460</v>
      </c>
      <c r="K1245" s="530" t="s">
        <v>42</v>
      </c>
      <c r="L1245" s="530" t="s">
        <v>756</v>
      </c>
      <c r="M1245" s="530" t="s">
        <v>43</v>
      </c>
      <c r="N1245" s="530"/>
      <c r="O1245" s="530"/>
      <c r="P1245" s="530" t="s">
        <v>757</v>
      </c>
      <c r="Q1245" s="530" t="s">
        <v>776</v>
      </c>
      <c r="R1245" s="531"/>
      <c r="S1245" s="527"/>
      <c r="T1245" s="532">
        <v>42747</v>
      </c>
      <c r="U1245" s="531"/>
      <c r="V1245" s="530"/>
      <c r="W1245" s="486"/>
    </row>
    <row r="1246" spans="1:23" ht="14.25" customHeight="1">
      <c r="A1246" s="656" t="s">
        <v>698</v>
      </c>
      <c r="B1246" s="657" t="s">
        <v>1272</v>
      </c>
      <c r="C1246" s="658" t="s">
        <v>3008</v>
      </c>
      <c r="D1246" s="485"/>
      <c r="E1246" s="659"/>
      <c r="F1246" s="659"/>
      <c r="G1246" s="659"/>
      <c r="H1246" s="659"/>
      <c r="I1246" s="659"/>
      <c r="J1246" s="659" t="s">
        <v>794</v>
      </c>
      <c r="K1246" s="659" t="s">
        <v>794</v>
      </c>
      <c r="L1246" s="659" t="s">
        <v>794</v>
      </c>
      <c r="M1246" s="659"/>
      <c r="N1246" s="659"/>
      <c r="O1246" s="659"/>
      <c r="P1246" s="659"/>
      <c r="Q1246" s="659" t="s">
        <v>3102</v>
      </c>
      <c r="R1246" s="660"/>
      <c r="S1246" s="656"/>
      <c r="T1246" s="661">
        <v>43843</v>
      </c>
      <c r="U1246" s="660"/>
      <c r="V1246" s="659"/>
      <c r="W1246" s="486"/>
    </row>
    <row r="1247" spans="1:23" ht="14.25" customHeight="1">
      <c r="A1247" s="656" t="s">
        <v>698</v>
      </c>
      <c r="B1247" s="657" t="s">
        <v>1272</v>
      </c>
      <c r="C1247" s="658" t="s">
        <v>3007</v>
      </c>
      <c r="D1247" s="485"/>
      <c r="E1247" s="659"/>
      <c r="F1247" s="659"/>
      <c r="G1247" s="659"/>
      <c r="H1247" s="659"/>
      <c r="I1247" s="659"/>
      <c r="J1247" s="659" t="s">
        <v>794</v>
      </c>
      <c r="K1247" s="659" t="s">
        <v>794</v>
      </c>
      <c r="L1247" s="659" t="s">
        <v>794</v>
      </c>
      <c r="M1247" s="659"/>
      <c r="N1247" s="659"/>
      <c r="O1247" s="659"/>
      <c r="P1247" s="659"/>
      <c r="Q1247" s="659" t="s">
        <v>3102</v>
      </c>
      <c r="R1247" s="660"/>
      <c r="S1247" s="656"/>
      <c r="T1247" s="661">
        <v>43843</v>
      </c>
      <c r="U1247" s="660"/>
      <c r="V1247" s="659"/>
      <c r="W1247" s="486"/>
    </row>
    <row r="1248" spans="1:23" ht="14.25" customHeight="1">
      <c r="A1248" s="527" t="s">
        <v>698</v>
      </c>
      <c r="B1248" s="528" t="s">
        <v>1274</v>
      </c>
      <c r="C1248" s="529" t="s">
        <v>1314</v>
      </c>
      <c r="D1248" s="485" t="s">
        <v>1876</v>
      </c>
      <c r="E1248" s="530"/>
      <c r="F1248" s="530"/>
      <c r="G1248" s="530"/>
      <c r="H1248" s="530"/>
      <c r="I1248" s="530"/>
      <c r="J1248" s="530" t="s">
        <v>1460</v>
      </c>
      <c r="K1248" s="530" t="s">
        <v>42</v>
      </c>
      <c r="L1248" s="530" t="s">
        <v>772</v>
      </c>
      <c r="M1248" s="530" t="s">
        <v>2001</v>
      </c>
      <c r="N1248" s="530"/>
      <c r="O1248" s="530"/>
      <c r="P1248" s="530" t="s">
        <v>757</v>
      </c>
      <c r="Q1248" s="530"/>
      <c r="R1248" s="531"/>
      <c r="S1248" s="527"/>
      <c r="T1248" s="532">
        <v>43298</v>
      </c>
      <c r="U1248" s="531"/>
      <c r="V1248" s="530"/>
      <c r="W1248" s="486"/>
    </row>
    <row r="1249" spans="1:23" ht="14.25" customHeight="1">
      <c r="A1249" s="656" t="s">
        <v>698</v>
      </c>
      <c r="B1249" s="657" t="s">
        <v>1274</v>
      </c>
      <c r="C1249" s="658" t="s">
        <v>3003</v>
      </c>
      <c r="D1249" s="485"/>
      <c r="E1249" s="659"/>
      <c r="F1249" s="659"/>
      <c r="G1249" s="659"/>
      <c r="H1249" s="659"/>
      <c r="I1249" s="659"/>
      <c r="J1249" s="659" t="s">
        <v>794</v>
      </c>
      <c r="K1249" s="659" t="s">
        <v>794</v>
      </c>
      <c r="L1249" s="659" t="s">
        <v>794</v>
      </c>
      <c r="M1249" s="659"/>
      <c r="N1249" s="659"/>
      <c r="O1249" s="659"/>
      <c r="P1249" s="659"/>
      <c r="Q1249" s="659" t="s">
        <v>3102</v>
      </c>
      <c r="R1249" s="660"/>
      <c r="S1249" s="656"/>
      <c r="T1249" s="661">
        <v>43843</v>
      </c>
      <c r="U1249" s="660"/>
      <c r="V1249" s="659"/>
      <c r="W1249" s="486"/>
    </row>
    <row r="1250" spans="1:23" ht="14.25" customHeight="1">
      <c r="A1250" s="656" t="s">
        <v>698</v>
      </c>
      <c r="B1250" s="657" t="s">
        <v>3033</v>
      </c>
      <c r="C1250" s="658" t="s">
        <v>3049</v>
      </c>
      <c r="D1250" s="485"/>
      <c r="E1250" s="659"/>
      <c r="F1250" s="659"/>
      <c r="G1250" s="659"/>
      <c r="H1250" s="659"/>
      <c r="I1250" s="659"/>
      <c r="J1250" s="659" t="s">
        <v>794</v>
      </c>
      <c r="K1250" s="659" t="s">
        <v>794</v>
      </c>
      <c r="L1250" s="659" t="s">
        <v>794</v>
      </c>
      <c r="M1250" s="659"/>
      <c r="N1250" s="659"/>
      <c r="O1250" s="659"/>
      <c r="P1250" s="659"/>
      <c r="Q1250" s="659" t="s">
        <v>3102</v>
      </c>
      <c r="R1250" s="660"/>
      <c r="S1250" s="656"/>
      <c r="T1250" s="661">
        <v>43843</v>
      </c>
      <c r="U1250" s="660"/>
      <c r="V1250" s="659"/>
      <c r="W1250" s="486"/>
    </row>
    <row r="1251" spans="1:23" ht="14.25" customHeight="1">
      <c r="A1251" s="656" t="s">
        <v>698</v>
      </c>
      <c r="B1251" s="657" t="s">
        <v>3033</v>
      </c>
      <c r="C1251" s="658" t="s">
        <v>3037</v>
      </c>
      <c r="D1251" s="485"/>
      <c r="E1251" s="659"/>
      <c r="F1251" s="659"/>
      <c r="G1251" s="659"/>
      <c r="H1251" s="659"/>
      <c r="I1251" s="659"/>
      <c r="J1251" s="659" t="s">
        <v>794</v>
      </c>
      <c r="K1251" s="659" t="s">
        <v>794</v>
      </c>
      <c r="L1251" s="659" t="s">
        <v>794</v>
      </c>
      <c r="M1251" s="659"/>
      <c r="N1251" s="659"/>
      <c r="O1251" s="659"/>
      <c r="P1251" s="659"/>
      <c r="Q1251" s="659" t="s">
        <v>3102</v>
      </c>
      <c r="R1251" s="660"/>
      <c r="S1251" s="656"/>
      <c r="T1251" s="661">
        <v>43843</v>
      </c>
      <c r="U1251" s="660"/>
      <c r="V1251" s="659"/>
      <c r="W1251" s="486"/>
    </row>
    <row r="1252" spans="1:23" ht="14.25" customHeight="1">
      <c r="A1252" s="656" t="s">
        <v>698</v>
      </c>
      <c r="B1252" s="657" t="s">
        <v>3033</v>
      </c>
      <c r="C1252" s="658" t="s">
        <v>3040</v>
      </c>
      <c r="D1252" s="485"/>
      <c r="E1252" s="659"/>
      <c r="F1252" s="659"/>
      <c r="G1252" s="659"/>
      <c r="H1252" s="659"/>
      <c r="I1252" s="659"/>
      <c r="J1252" s="659" t="s">
        <v>794</v>
      </c>
      <c r="K1252" s="659" t="s">
        <v>794</v>
      </c>
      <c r="L1252" s="659" t="s">
        <v>794</v>
      </c>
      <c r="M1252" s="659"/>
      <c r="N1252" s="659"/>
      <c r="O1252" s="659"/>
      <c r="P1252" s="659"/>
      <c r="Q1252" s="659" t="s">
        <v>3102</v>
      </c>
      <c r="R1252" s="660"/>
      <c r="S1252" s="656"/>
      <c r="T1252" s="661">
        <v>43843</v>
      </c>
      <c r="U1252" s="660"/>
      <c r="V1252" s="659"/>
      <c r="W1252" s="486"/>
    </row>
    <row r="1253" spans="1:23" ht="14.25" customHeight="1">
      <c r="A1253" s="656" t="s">
        <v>698</v>
      </c>
      <c r="B1253" s="657" t="s">
        <v>3033</v>
      </c>
      <c r="C1253" s="658" t="s">
        <v>3035</v>
      </c>
      <c r="D1253" s="485"/>
      <c r="E1253" s="659"/>
      <c r="F1253" s="659"/>
      <c r="G1253" s="659"/>
      <c r="H1253" s="659"/>
      <c r="I1253" s="659"/>
      <c r="J1253" s="659" t="s">
        <v>794</v>
      </c>
      <c r="K1253" s="659" t="s">
        <v>794</v>
      </c>
      <c r="L1253" s="659" t="s">
        <v>794</v>
      </c>
      <c r="M1253" s="659"/>
      <c r="N1253" s="659"/>
      <c r="O1253" s="659"/>
      <c r="P1253" s="659"/>
      <c r="Q1253" s="659" t="s">
        <v>3102</v>
      </c>
      <c r="R1253" s="660"/>
      <c r="S1253" s="656"/>
      <c r="T1253" s="661">
        <v>43843</v>
      </c>
      <c r="U1253" s="660"/>
      <c r="V1253" s="659"/>
      <c r="W1253" s="486"/>
    </row>
    <row r="1254" spans="1:23" ht="14.25" customHeight="1">
      <c r="A1254" s="656" t="s">
        <v>698</v>
      </c>
      <c r="B1254" s="657" t="s">
        <v>3033</v>
      </c>
      <c r="C1254" s="658" t="s">
        <v>3038</v>
      </c>
      <c r="D1254" s="485"/>
      <c r="E1254" s="659"/>
      <c r="F1254" s="659"/>
      <c r="G1254" s="659"/>
      <c r="H1254" s="659"/>
      <c r="I1254" s="659"/>
      <c r="J1254" s="659" t="s">
        <v>794</v>
      </c>
      <c r="K1254" s="659" t="s">
        <v>794</v>
      </c>
      <c r="L1254" s="659" t="s">
        <v>794</v>
      </c>
      <c r="M1254" s="659"/>
      <c r="N1254" s="659"/>
      <c r="O1254" s="659"/>
      <c r="P1254" s="659"/>
      <c r="Q1254" s="659" t="s">
        <v>3102</v>
      </c>
      <c r="R1254" s="660"/>
      <c r="S1254" s="656"/>
      <c r="T1254" s="661">
        <v>43843</v>
      </c>
      <c r="U1254" s="660"/>
      <c r="V1254" s="659"/>
      <c r="W1254" s="486"/>
    </row>
    <row r="1255" spans="1:23" ht="14.25" customHeight="1">
      <c r="A1255" s="656" t="s">
        <v>698</v>
      </c>
      <c r="B1255" s="657" t="s">
        <v>3033</v>
      </c>
      <c r="C1255" s="658" t="s">
        <v>3067</v>
      </c>
      <c r="D1255" s="485"/>
      <c r="E1255" s="659"/>
      <c r="F1255" s="659"/>
      <c r="G1255" s="659"/>
      <c r="H1255" s="659"/>
      <c r="I1255" s="659"/>
      <c r="J1255" s="659" t="s">
        <v>794</v>
      </c>
      <c r="K1255" s="659" t="s">
        <v>794</v>
      </c>
      <c r="L1255" s="659" t="s">
        <v>794</v>
      </c>
      <c r="M1255" s="659"/>
      <c r="N1255" s="659"/>
      <c r="O1255" s="659"/>
      <c r="P1255" s="659"/>
      <c r="Q1255" s="659" t="s">
        <v>3102</v>
      </c>
      <c r="R1255" s="660"/>
      <c r="S1255" s="656"/>
      <c r="T1255" s="661">
        <v>43843</v>
      </c>
      <c r="U1255" s="660"/>
      <c r="V1255" s="659"/>
      <c r="W1255" s="486"/>
    </row>
    <row r="1256" spans="1:23" ht="14.25" customHeight="1">
      <c r="A1256" s="656" t="s">
        <v>698</v>
      </c>
      <c r="B1256" s="657" t="s">
        <v>3033</v>
      </c>
      <c r="C1256" s="658" t="s">
        <v>3064</v>
      </c>
      <c r="D1256" s="485"/>
      <c r="E1256" s="659"/>
      <c r="F1256" s="659"/>
      <c r="G1256" s="659"/>
      <c r="H1256" s="659"/>
      <c r="I1256" s="659"/>
      <c r="J1256" s="659" t="s">
        <v>794</v>
      </c>
      <c r="K1256" s="659" t="s">
        <v>794</v>
      </c>
      <c r="L1256" s="659" t="s">
        <v>794</v>
      </c>
      <c r="M1256" s="659"/>
      <c r="N1256" s="659"/>
      <c r="O1256" s="659"/>
      <c r="P1256" s="659"/>
      <c r="Q1256" s="659" t="s">
        <v>3102</v>
      </c>
      <c r="R1256" s="660"/>
      <c r="S1256" s="656"/>
      <c r="T1256" s="661">
        <v>43843</v>
      </c>
      <c r="U1256" s="660"/>
      <c r="V1256" s="659"/>
      <c r="W1256" s="486"/>
    </row>
    <row r="1257" spans="1:23" ht="14.25" customHeight="1">
      <c r="A1257" s="656" t="s">
        <v>698</v>
      </c>
      <c r="B1257" s="657" t="s">
        <v>3033</v>
      </c>
      <c r="C1257" s="658" t="s">
        <v>3052</v>
      </c>
      <c r="D1257" s="485"/>
      <c r="E1257" s="659"/>
      <c r="F1257" s="659"/>
      <c r="G1257" s="659"/>
      <c r="H1257" s="659"/>
      <c r="I1257" s="659"/>
      <c r="J1257" s="659" t="s">
        <v>794</v>
      </c>
      <c r="K1257" s="659" t="s">
        <v>794</v>
      </c>
      <c r="L1257" s="659" t="s">
        <v>794</v>
      </c>
      <c r="M1257" s="659"/>
      <c r="N1257" s="659"/>
      <c r="O1257" s="659"/>
      <c r="P1257" s="659"/>
      <c r="Q1257" s="659" t="s">
        <v>3102</v>
      </c>
      <c r="R1257" s="660"/>
      <c r="S1257" s="656"/>
      <c r="T1257" s="661">
        <v>43843</v>
      </c>
      <c r="U1257" s="660"/>
      <c r="V1257" s="659"/>
      <c r="W1257" s="486"/>
    </row>
    <row r="1258" spans="1:23" ht="14.25" customHeight="1">
      <c r="A1258" s="656" t="s">
        <v>698</v>
      </c>
      <c r="B1258" s="657" t="s">
        <v>3033</v>
      </c>
      <c r="C1258" s="658" t="s">
        <v>3041</v>
      </c>
      <c r="D1258" s="485"/>
      <c r="E1258" s="659"/>
      <c r="F1258" s="659"/>
      <c r="G1258" s="659"/>
      <c r="H1258" s="659"/>
      <c r="I1258" s="659"/>
      <c r="J1258" s="659" t="s">
        <v>794</v>
      </c>
      <c r="K1258" s="659" t="s">
        <v>794</v>
      </c>
      <c r="L1258" s="659" t="s">
        <v>794</v>
      </c>
      <c r="M1258" s="659"/>
      <c r="N1258" s="659"/>
      <c r="O1258" s="659"/>
      <c r="P1258" s="659"/>
      <c r="Q1258" s="659" t="s">
        <v>3102</v>
      </c>
      <c r="R1258" s="660"/>
      <c r="S1258" s="656"/>
      <c r="T1258" s="661">
        <v>43843</v>
      </c>
      <c r="U1258" s="660"/>
      <c r="V1258" s="659"/>
      <c r="W1258" s="486"/>
    </row>
    <row r="1259" spans="1:23" ht="14.25" customHeight="1">
      <c r="A1259" s="656" t="s">
        <v>698</v>
      </c>
      <c r="B1259" s="657" t="s">
        <v>3033</v>
      </c>
      <c r="C1259" s="658" t="s">
        <v>3060</v>
      </c>
      <c r="D1259" s="485"/>
      <c r="E1259" s="659"/>
      <c r="F1259" s="659"/>
      <c r="G1259" s="659"/>
      <c r="H1259" s="659"/>
      <c r="I1259" s="659"/>
      <c r="J1259" s="659" t="s">
        <v>794</v>
      </c>
      <c r="K1259" s="659" t="s">
        <v>794</v>
      </c>
      <c r="L1259" s="659" t="s">
        <v>794</v>
      </c>
      <c r="M1259" s="659"/>
      <c r="N1259" s="659"/>
      <c r="O1259" s="659"/>
      <c r="P1259" s="659"/>
      <c r="Q1259" s="659" t="s">
        <v>3102</v>
      </c>
      <c r="R1259" s="660"/>
      <c r="S1259" s="656"/>
      <c r="T1259" s="661">
        <v>43843</v>
      </c>
      <c r="U1259" s="660"/>
      <c r="V1259" s="659"/>
      <c r="W1259" s="486"/>
    </row>
    <row r="1260" spans="1:23" ht="14.25" customHeight="1">
      <c r="A1260" s="656" t="s">
        <v>698</v>
      </c>
      <c r="B1260" s="657" t="s">
        <v>3033</v>
      </c>
      <c r="C1260" s="658" t="s">
        <v>3065</v>
      </c>
      <c r="D1260" s="485"/>
      <c r="E1260" s="659"/>
      <c r="F1260" s="659"/>
      <c r="G1260" s="659"/>
      <c r="H1260" s="659"/>
      <c r="I1260" s="659"/>
      <c r="J1260" s="659" t="s">
        <v>794</v>
      </c>
      <c r="K1260" s="659" t="s">
        <v>794</v>
      </c>
      <c r="L1260" s="659" t="s">
        <v>794</v>
      </c>
      <c r="M1260" s="659"/>
      <c r="N1260" s="659"/>
      <c r="O1260" s="659"/>
      <c r="P1260" s="659"/>
      <c r="Q1260" s="659" t="s">
        <v>3102</v>
      </c>
      <c r="R1260" s="660"/>
      <c r="S1260" s="656"/>
      <c r="T1260" s="661">
        <v>43843</v>
      </c>
      <c r="U1260" s="660"/>
      <c r="V1260" s="659"/>
      <c r="W1260" s="486"/>
    </row>
    <row r="1261" spans="1:23" ht="14.25" customHeight="1">
      <c r="A1261" s="656" t="s">
        <v>698</v>
      </c>
      <c r="B1261" s="657" t="s">
        <v>3033</v>
      </c>
      <c r="C1261" s="658" t="s">
        <v>3059</v>
      </c>
      <c r="D1261" s="485"/>
      <c r="E1261" s="659"/>
      <c r="F1261" s="659"/>
      <c r="G1261" s="659"/>
      <c r="H1261" s="659"/>
      <c r="I1261" s="659"/>
      <c r="J1261" s="659" t="s">
        <v>794</v>
      </c>
      <c r="K1261" s="659" t="s">
        <v>794</v>
      </c>
      <c r="L1261" s="659" t="s">
        <v>794</v>
      </c>
      <c r="M1261" s="659"/>
      <c r="N1261" s="659"/>
      <c r="O1261" s="659"/>
      <c r="P1261" s="659"/>
      <c r="Q1261" s="659" t="s">
        <v>3102</v>
      </c>
      <c r="R1261" s="660"/>
      <c r="S1261" s="656"/>
      <c r="T1261" s="661">
        <v>43843</v>
      </c>
      <c r="U1261" s="660"/>
      <c r="V1261" s="659"/>
      <c r="W1261" s="486"/>
    </row>
    <row r="1262" spans="1:23" ht="14.25" customHeight="1">
      <c r="A1262" s="656" t="s">
        <v>698</v>
      </c>
      <c r="B1262" s="657" t="s">
        <v>3033</v>
      </c>
      <c r="C1262" s="658" t="s">
        <v>3043</v>
      </c>
      <c r="D1262" s="485"/>
      <c r="E1262" s="659"/>
      <c r="F1262" s="659"/>
      <c r="G1262" s="659"/>
      <c r="H1262" s="659"/>
      <c r="I1262" s="659"/>
      <c r="J1262" s="659" t="s">
        <v>794</v>
      </c>
      <c r="K1262" s="659" t="s">
        <v>794</v>
      </c>
      <c r="L1262" s="659" t="s">
        <v>794</v>
      </c>
      <c r="M1262" s="659"/>
      <c r="N1262" s="659"/>
      <c r="O1262" s="659"/>
      <c r="P1262" s="659"/>
      <c r="Q1262" s="659" t="s">
        <v>3102</v>
      </c>
      <c r="R1262" s="660"/>
      <c r="S1262" s="656"/>
      <c r="T1262" s="661">
        <v>43843</v>
      </c>
      <c r="U1262" s="660"/>
      <c r="V1262" s="659"/>
      <c r="W1262" s="486"/>
    </row>
    <row r="1263" spans="1:23" ht="14.25" customHeight="1">
      <c r="A1263" s="656" t="s">
        <v>698</v>
      </c>
      <c r="B1263" s="657" t="s">
        <v>3033</v>
      </c>
      <c r="C1263" s="658" t="s">
        <v>3066</v>
      </c>
      <c r="D1263" s="485"/>
      <c r="E1263" s="659"/>
      <c r="F1263" s="659"/>
      <c r="G1263" s="659"/>
      <c r="H1263" s="659"/>
      <c r="I1263" s="659"/>
      <c r="J1263" s="659" t="s">
        <v>794</v>
      </c>
      <c r="K1263" s="659" t="s">
        <v>794</v>
      </c>
      <c r="L1263" s="659" t="s">
        <v>794</v>
      </c>
      <c r="M1263" s="659"/>
      <c r="N1263" s="659"/>
      <c r="O1263" s="659"/>
      <c r="P1263" s="659"/>
      <c r="Q1263" s="659" t="s">
        <v>3102</v>
      </c>
      <c r="R1263" s="660"/>
      <c r="S1263" s="656"/>
      <c r="T1263" s="661">
        <v>43843</v>
      </c>
      <c r="U1263" s="660"/>
      <c r="V1263" s="659"/>
      <c r="W1263" s="486"/>
    </row>
    <row r="1264" spans="1:23" ht="14.25" customHeight="1">
      <c r="A1264" s="656" t="s">
        <v>698</v>
      </c>
      <c r="B1264" s="657" t="s">
        <v>3033</v>
      </c>
      <c r="C1264" s="658" t="s">
        <v>3063</v>
      </c>
      <c r="D1264" s="485"/>
      <c r="E1264" s="659"/>
      <c r="F1264" s="659"/>
      <c r="G1264" s="659"/>
      <c r="H1264" s="659"/>
      <c r="I1264" s="659"/>
      <c r="J1264" s="659" t="s">
        <v>794</v>
      </c>
      <c r="K1264" s="659" t="s">
        <v>794</v>
      </c>
      <c r="L1264" s="659" t="s">
        <v>794</v>
      </c>
      <c r="M1264" s="659"/>
      <c r="N1264" s="659"/>
      <c r="O1264" s="659"/>
      <c r="P1264" s="659"/>
      <c r="Q1264" s="659" t="s">
        <v>3102</v>
      </c>
      <c r="R1264" s="660"/>
      <c r="S1264" s="656"/>
      <c r="T1264" s="661">
        <v>43843</v>
      </c>
      <c r="U1264" s="660"/>
      <c r="V1264" s="659"/>
      <c r="W1264" s="486"/>
    </row>
    <row r="1265" spans="1:23" ht="14.25" customHeight="1">
      <c r="A1265" s="656" t="s">
        <v>698</v>
      </c>
      <c r="B1265" s="657" t="s">
        <v>3033</v>
      </c>
      <c r="C1265" s="658" t="s">
        <v>3062</v>
      </c>
      <c r="D1265" s="485"/>
      <c r="E1265" s="659"/>
      <c r="F1265" s="667"/>
      <c r="G1265" s="659"/>
      <c r="H1265" s="659"/>
      <c r="I1265" s="659"/>
      <c r="J1265" s="659" t="s">
        <v>794</v>
      </c>
      <c r="K1265" s="659" t="s">
        <v>794</v>
      </c>
      <c r="L1265" s="659" t="s">
        <v>794</v>
      </c>
      <c r="M1265" s="659"/>
      <c r="N1265" s="659"/>
      <c r="O1265" s="659"/>
      <c r="P1265" s="659"/>
      <c r="Q1265" s="659" t="s">
        <v>3102</v>
      </c>
      <c r="R1265" s="660"/>
      <c r="S1265" s="656"/>
      <c r="T1265" s="661">
        <v>43843</v>
      </c>
      <c r="U1265" s="660"/>
      <c r="V1265" s="659"/>
      <c r="W1265" s="486"/>
    </row>
    <row r="1266" spans="1:23" ht="14.25" customHeight="1">
      <c r="A1266" s="656" t="s">
        <v>698</v>
      </c>
      <c r="B1266" s="657" t="s">
        <v>3033</v>
      </c>
      <c r="C1266" s="658" t="s">
        <v>3057</v>
      </c>
      <c r="D1266" s="485"/>
      <c r="E1266" s="659"/>
      <c r="F1266" s="659"/>
      <c r="G1266" s="659"/>
      <c r="H1266" s="659"/>
      <c r="I1266" s="659"/>
      <c r="J1266" s="659" t="s">
        <v>794</v>
      </c>
      <c r="K1266" s="659" t="s">
        <v>794</v>
      </c>
      <c r="L1266" s="659" t="s">
        <v>794</v>
      </c>
      <c r="M1266" s="659"/>
      <c r="N1266" s="659"/>
      <c r="O1266" s="659"/>
      <c r="P1266" s="659"/>
      <c r="Q1266" s="659" t="s">
        <v>3102</v>
      </c>
      <c r="R1266" s="660"/>
      <c r="S1266" s="656"/>
      <c r="T1266" s="661">
        <v>43843</v>
      </c>
      <c r="U1266" s="660"/>
      <c r="V1266" s="659"/>
      <c r="W1266" s="486"/>
    </row>
    <row r="1267" spans="1:23" ht="14.25" customHeight="1">
      <c r="A1267" s="656" t="s">
        <v>698</v>
      </c>
      <c r="B1267" s="657" t="s">
        <v>3033</v>
      </c>
      <c r="C1267" s="658" t="s">
        <v>3058</v>
      </c>
      <c r="D1267" s="485"/>
      <c r="E1267" s="659"/>
      <c r="F1267" s="659"/>
      <c r="G1267" s="659"/>
      <c r="H1267" s="659"/>
      <c r="I1267" s="659"/>
      <c r="J1267" s="659" t="s">
        <v>794</v>
      </c>
      <c r="K1267" s="659" t="s">
        <v>794</v>
      </c>
      <c r="L1267" s="659" t="s">
        <v>794</v>
      </c>
      <c r="M1267" s="659"/>
      <c r="N1267" s="659"/>
      <c r="O1267" s="659"/>
      <c r="P1267" s="659"/>
      <c r="Q1267" s="659" t="s">
        <v>3102</v>
      </c>
      <c r="R1267" s="660"/>
      <c r="S1267" s="656"/>
      <c r="T1267" s="661">
        <v>43843</v>
      </c>
      <c r="U1267" s="660"/>
      <c r="V1267" s="659"/>
      <c r="W1267" s="486"/>
    </row>
    <row r="1268" spans="1:23" ht="14.25" customHeight="1">
      <c r="A1268" s="656" t="s">
        <v>698</v>
      </c>
      <c r="B1268" s="657" t="s">
        <v>3033</v>
      </c>
      <c r="C1268" s="658" t="s">
        <v>3053</v>
      </c>
      <c r="D1268" s="485"/>
      <c r="E1268" s="659"/>
      <c r="F1268" s="659"/>
      <c r="G1268" s="659"/>
      <c r="H1268" s="659"/>
      <c r="I1268" s="659"/>
      <c r="J1268" s="659" t="s">
        <v>794</v>
      </c>
      <c r="K1268" s="659" t="s">
        <v>794</v>
      </c>
      <c r="L1268" s="659" t="s">
        <v>794</v>
      </c>
      <c r="M1268" s="659"/>
      <c r="N1268" s="659"/>
      <c r="O1268" s="659"/>
      <c r="P1268" s="659"/>
      <c r="Q1268" s="659" t="s">
        <v>3102</v>
      </c>
      <c r="R1268" s="660"/>
      <c r="S1268" s="656"/>
      <c r="T1268" s="661">
        <v>43843</v>
      </c>
      <c r="U1268" s="660"/>
      <c r="V1268" s="659"/>
      <c r="W1268" s="486"/>
    </row>
    <row r="1269" spans="1:23" ht="14.25" customHeight="1">
      <c r="A1269" s="656" t="s">
        <v>698</v>
      </c>
      <c r="B1269" s="657" t="s">
        <v>3033</v>
      </c>
      <c r="C1269" s="658" t="s">
        <v>3061</v>
      </c>
      <c r="D1269" s="485"/>
      <c r="E1269" s="659"/>
      <c r="F1269" s="659"/>
      <c r="G1269" s="659"/>
      <c r="H1269" s="659"/>
      <c r="I1269" s="659"/>
      <c r="J1269" s="659" t="s">
        <v>794</v>
      </c>
      <c r="K1269" s="659" t="s">
        <v>794</v>
      </c>
      <c r="L1269" s="659" t="s">
        <v>794</v>
      </c>
      <c r="M1269" s="659"/>
      <c r="N1269" s="659"/>
      <c r="O1269" s="659"/>
      <c r="P1269" s="659"/>
      <c r="Q1269" s="659" t="s">
        <v>3102</v>
      </c>
      <c r="R1269" s="660"/>
      <c r="S1269" s="656"/>
      <c r="T1269" s="661">
        <v>43843</v>
      </c>
      <c r="U1269" s="660"/>
      <c r="V1269" s="659"/>
      <c r="W1269" s="486"/>
    </row>
    <row r="1270" spans="1:23" ht="14.25" customHeight="1">
      <c r="A1270" s="656" t="s">
        <v>698</v>
      </c>
      <c r="B1270" s="657" t="s">
        <v>3033</v>
      </c>
      <c r="C1270" s="658" t="s">
        <v>3042</v>
      </c>
      <c r="D1270" s="485"/>
      <c r="E1270" s="659"/>
      <c r="F1270" s="659"/>
      <c r="G1270" s="659"/>
      <c r="H1270" s="659"/>
      <c r="I1270" s="659"/>
      <c r="J1270" s="659" t="s">
        <v>794</v>
      </c>
      <c r="K1270" s="659" t="s">
        <v>794</v>
      </c>
      <c r="L1270" s="659" t="s">
        <v>794</v>
      </c>
      <c r="M1270" s="659"/>
      <c r="N1270" s="659"/>
      <c r="O1270" s="659"/>
      <c r="P1270" s="659"/>
      <c r="Q1270" s="659" t="s">
        <v>3102</v>
      </c>
      <c r="R1270" s="660"/>
      <c r="S1270" s="656"/>
      <c r="T1270" s="661">
        <v>43843</v>
      </c>
      <c r="U1270" s="660"/>
      <c r="V1270" s="659"/>
      <c r="W1270" s="486"/>
    </row>
    <row r="1271" spans="1:23" ht="14.25" customHeight="1">
      <c r="A1271" s="656" t="s">
        <v>698</v>
      </c>
      <c r="B1271" s="657" t="s">
        <v>3033</v>
      </c>
      <c r="C1271" s="658" t="s">
        <v>3054</v>
      </c>
      <c r="D1271" s="485"/>
      <c r="E1271" s="659"/>
      <c r="F1271" s="659"/>
      <c r="G1271" s="659"/>
      <c r="H1271" s="659"/>
      <c r="I1271" s="659"/>
      <c r="J1271" s="659" t="s">
        <v>794</v>
      </c>
      <c r="K1271" s="659" t="s">
        <v>794</v>
      </c>
      <c r="L1271" s="659" t="s">
        <v>794</v>
      </c>
      <c r="M1271" s="659"/>
      <c r="N1271" s="659"/>
      <c r="O1271" s="659"/>
      <c r="P1271" s="659"/>
      <c r="Q1271" s="659" t="s">
        <v>3102</v>
      </c>
      <c r="R1271" s="660"/>
      <c r="S1271" s="656"/>
      <c r="T1271" s="661">
        <v>43843</v>
      </c>
      <c r="U1271" s="660"/>
      <c r="V1271" s="659"/>
      <c r="W1271" s="486"/>
    </row>
    <row r="1272" spans="1:23" ht="14.25" customHeight="1">
      <c r="A1272" s="656" t="s">
        <v>698</v>
      </c>
      <c r="B1272" s="657" t="s">
        <v>3033</v>
      </c>
      <c r="C1272" s="658" t="s">
        <v>3055</v>
      </c>
      <c r="D1272" s="485"/>
      <c r="E1272" s="659"/>
      <c r="F1272" s="659"/>
      <c r="G1272" s="659"/>
      <c r="H1272" s="659"/>
      <c r="I1272" s="659"/>
      <c r="J1272" s="659" t="s">
        <v>794</v>
      </c>
      <c r="K1272" s="659" t="s">
        <v>794</v>
      </c>
      <c r="L1272" s="659" t="s">
        <v>794</v>
      </c>
      <c r="M1272" s="659"/>
      <c r="N1272" s="659"/>
      <c r="O1272" s="659"/>
      <c r="P1272" s="659"/>
      <c r="Q1272" s="659" t="s">
        <v>3102</v>
      </c>
      <c r="R1272" s="660"/>
      <c r="S1272" s="656"/>
      <c r="T1272" s="661">
        <v>43843</v>
      </c>
      <c r="U1272" s="660"/>
      <c r="V1272" s="659"/>
      <c r="W1272" s="486"/>
    </row>
    <row r="1273" spans="1:23" ht="14.25" customHeight="1">
      <c r="A1273" s="656" t="s">
        <v>698</v>
      </c>
      <c r="B1273" s="657" t="s">
        <v>3033</v>
      </c>
      <c r="C1273" s="658" t="s">
        <v>3046</v>
      </c>
      <c r="D1273" s="485"/>
      <c r="E1273" s="659"/>
      <c r="F1273" s="659"/>
      <c r="G1273" s="659"/>
      <c r="H1273" s="659"/>
      <c r="I1273" s="659"/>
      <c r="J1273" s="659" t="s">
        <v>794</v>
      </c>
      <c r="K1273" s="659" t="s">
        <v>794</v>
      </c>
      <c r="L1273" s="659" t="s">
        <v>794</v>
      </c>
      <c r="M1273" s="659"/>
      <c r="N1273" s="659"/>
      <c r="O1273" s="659"/>
      <c r="P1273" s="659"/>
      <c r="Q1273" s="659" t="s">
        <v>3102</v>
      </c>
      <c r="R1273" s="660"/>
      <c r="S1273" s="656"/>
      <c r="T1273" s="661">
        <v>43843</v>
      </c>
      <c r="U1273" s="660"/>
      <c r="V1273" s="659"/>
      <c r="W1273" s="486"/>
    </row>
    <row r="1274" spans="1:23" ht="14.25" customHeight="1">
      <c r="A1274" s="656" t="s">
        <v>698</v>
      </c>
      <c r="B1274" s="657" t="s">
        <v>3033</v>
      </c>
      <c r="C1274" s="658" t="s">
        <v>3056</v>
      </c>
      <c r="D1274" s="485"/>
      <c r="E1274" s="659"/>
      <c r="F1274" s="659"/>
      <c r="G1274" s="659"/>
      <c r="H1274" s="659"/>
      <c r="I1274" s="659"/>
      <c r="J1274" s="659" t="s">
        <v>794</v>
      </c>
      <c r="K1274" s="659" t="s">
        <v>794</v>
      </c>
      <c r="L1274" s="659" t="s">
        <v>794</v>
      </c>
      <c r="M1274" s="659"/>
      <c r="N1274" s="659"/>
      <c r="O1274" s="659"/>
      <c r="P1274" s="659"/>
      <c r="Q1274" s="659" t="s">
        <v>3102</v>
      </c>
      <c r="R1274" s="660"/>
      <c r="S1274" s="656"/>
      <c r="T1274" s="661">
        <v>43843</v>
      </c>
      <c r="U1274" s="660"/>
      <c r="V1274" s="659"/>
      <c r="W1274" s="486"/>
    </row>
    <row r="1275" spans="1:23" ht="14.25" customHeight="1">
      <c r="A1275" s="656" t="s">
        <v>698</v>
      </c>
      <c r="B1275" s="657" t="s">
        <v>3033</v>
      </c>
      <c r="C1275" s="658" t="s">
        <v>3039</v>
      </c>
      <c r="D1275" s="485"/>
      <c r="E1275" s="659"/>
      <c r="F1275" s="659"/>
      <c r="G1275" s="659"/>
      <c r="H1275" s="659"/>
      <c r="I1275" s="659"/>
      <c r="J1275" s="659" t="s">
        <v>794</v>
      </c>
      <c r="K1275" s="659" t="s">
        <v>794</v>
      </c>
      <c r="L1275" s="659" t="s">
        <v>794</v>
      </c>
      <c r="M1275" s="659"/>
      <c r="N1275" s="659"/>
      <c r="O1275" s="659"/>
      <c r="P1275" s="659"/>
      <c r="Q1275" s="659" t="s">
        <v>3102</v>
      </c>
      <c r="R1275" s="660"/>
      <c r="S1275" s="656"/>
      <c r="T1275" s="661">
        <v>43843</v>
      </c>
      <c r="U1275" s="660"/>
      <c r="V1275" s="659"/>
      <c r="W1275" s="486"/>
    </row>
    <row r="1276" spans="1:23" ht="14.25" customHeight="1">
      <c r="A1276" s="656" t="s">
        <v>698</v>
      </c>
      <c r="B1276" s="657" t="s">
        <v>3033</v>
      </c>
      <c r="C1276" s="658" t="s">
        <v>3051</v>
      </c>
      <c r="D1276" s="485"/>
      <c r="E1276" s="659"/>
      <c r="F1276" s="659"/>
      <c r="G1276" s="659"/>
      <c r="H1276" s="659"/>
      <c r="I1276" s="659"/>
      <c r="J1276" s="659" t="s">
        <v>794</v>
      </c>
      <c r="K1276" s="659" t="s">
        <v>794</v>
      </c>
      <c r="L1276" s="659" t="s">
        <v>794</v>
      </c>
      <c r="M1276" s="659"/>
      <c r="N1276" s="659"/>
      <c r="O1276" s="659"/>
      <c r="P1276" s="659"/>
      <c r="Q1276" s="659" t="s">
        <v>3102</v>
      </c>
      <c r="R1276" s="660"/>
      <c r="S1276" s="656"/>
      <c r="T1276" s="661">
        <v>43843</v>
      </c>
      <c r="U1276" s="660"/>
      <c r="V1276" s="659"/>
      <c r="W1276" s="486"/>
    </row>
    <row r="1277" spans="1:23" ht="14.25" customHeight="1">
      <c r="A1277" s="656" t="s">
        <v>698</v>
      </c>
      <c r="B1277" s="657" t="s">
        <v>3033</v>
      </c>
      <c r="C1277" s="658" t="s">
        <v>3050</v>
      </c>
      <c r="D1277" s="485"/>
      <c r="E1277" s="659"/>
      <c r="F1277" s="659"/>
      <c r="G1277" s="659"/>
      <c r="H1277" s="659"/>
      <c r="I1277" s="659"/>
      <c r="J1277" s="659" t="s">
        <v>794</v>
      </c>
      <c r="K1277" s="659" t="s">
        <v>794</v>
      </c>
      <c r="L1277" s="659" t="s">
        <v>794</v>
      </c>
      <c r="M1277" s="659"/>
      <c r="N1277" s="659"/>
      <c r="O1277" s="659"/>
      <c r="P1277" s="659"/>
      <c r="Q1277" s="659" t="s">
        <v>3102</v>
      </c>
      <c r="R1277" s="660"/>
      <c r="S1277" s="656"/>
      <c r="T1277" s="661">
        <v>43843</v>
      </c>
      <c r="U1277" s="660"/>
      <c r="V1277" s="659"/>
      <c r="W1277" s="486"/>
    </row>
    <row r="1278" spans="1:23" ht="14.25" customHeight="1">
      <c r="A1278" s="656" t="s">
        <v>698</v>
      </c>
      <c r="B1278" s="657" t="s">
        <v>3033</v>
      </c>
      <c r="C1278" s="658" t="s">
        <v>3034</v>
      </c>
      <c r="D1278" s="485"/>
      <c r="E1278" s="659"/>
      <c r="F1278" s="659"/>
      <c r="G1278" s="659"/>
      <c r="H1278" s="659"/>
      <c r="I1278" s="659"/>
      <c r="J1278" s="659" t="s">
        <v>794</v>
      </c>
      <c r="K1278" s="659" t="s">
        <v>794</v>
      </c>
      <c r="L1278" s="659" t="s">
        <v>794</v>
      </c>
      <c r="M1278" s="659"/>
      <c r="N1278" s="659"/>
      <c r="O1278" s="659"/>
      <c r="P1278" s="659"/>
      <c r="Q1278" s="659" t="s">
        <v>3102</v>
      </c>
      <c r="R1278" s="660"/>
      <c r="S1278" s="656"/>
      <c r="T1278" s="661">
        <v>43843</v>
      </c>
      <c r="U1278" s="660"/>
      <c r="V1278" s="659"/>
      <c r="W1278" s="486"/>
    </row>
    <row r="1279" spans="1:23" ht="14.25" customHeight="1">
      <c r="A1279" s="656" t="s">
        <v>698</v>
      </c>
      <c r="B1279" s="657" t="s">
        <v>3033</v>
      </c>
      <c r="C1279" s="658" t="s">
        <v>3048</v>
      </c>
      <c r="D1279" s="485"/>
      <c r="E1279" s="659"/>
      <c r="F1279" s="659"/>
      <c r="G1279" s="659"/>
      <c r="H1279" s="659"/>
      <c r="I1279" s="659"/>
      <c r="J1279" s="659" t="s">
        <v>794</v>
      </c>
      <c r="K1279" s="659" t="s">
        <v>794</v>
      </c>
      <c r="L1279" s="659" t="s">
        <v>794</v>
      </c>
      <c r="M1279" s="659"/>
      <c r="N1279" s="659"/>
      <c r="O1279" s="659"/>
      <c r="P1279" s="659"/>
      <c r="Q1279" s="659" t="s">
        <v>3102</v>
      </c>
      <c r="R1279" s="660"/>
      <c r="S1279" s="656"/>
      <c r="T1279" s="661">
        <v>43843</v>
      </c>
      <c r="U1279" s="660"/>
      <c r="V1279" s="659"/>
      <c r="W1279" s="486"/>
    </row>
    <row r="1280" spans="1:23" ht="14.25" customHeight="1">
      <c r="A1280" s="656" t="s">
        <v>698</v>
      </c>
      <c r="B1280" s="657" t="s">
        <v>3033</v>
      </c>
      <c r="C1280" s="658" t="s">
        <v>3036</v>
      </c>
      <c r="D1280" s="485"/>
      <c r="E1280" s="659"/>
      <c r="F1280" s="659"/>
      <c r="G1280" s="659"/>
      <c r="H1280" s="659"/>
      <c r="I1280" s="659"/>
      <c r="J1280" s="659" t="s">
        <v>794</v>
      </c>
      <c r="K1280" s="659" t="s">
        <v>794</v>
      </c>
      <c r="L1280" s="659" t="s">
        <v>794</v>
      </c>
      <c r="M1280" s="659"/>
      <c r="N1280" s="659"/>
      <c r="O1280" s="659"/>
      <c r="P1280" s="659"/>
      <c r="Q1280" s="659" t="s">
        <v>3102</v>
      </c>
      <c r="R1280" s="660"/>
      <c r="S1280" s="656"/>
      <c r="T1280" s="661">
        <v>43843</v>
      </c>
      <c r="U1280" s="660"/>
      <c r="V1280" s="659"/>
      <c r="W1280" s="486"/>
    </row>
    <row r="1281" spans="1:23" ht="14.25" customHeight="1">
      <c r="A1281" s="656" t="s">
        <v>698</v>
      </c>
      <c r="B1281" s="657" t="s">
        <v>3033</v>
      </c>
      <c r="C1281" s="658" t="s">
        <v>3047</v>
      </c>
      <c r="D1281" s="485"/>
      <c r="E1281" s="659"/>
      <c r="F1281" s="659"/>
      <c r="G1281" s="659"/>
      <c r="H1281" s="659"/>
      <c r="I1281" s="659"/>
      <c r="J1281" s="659" t="s">
        <v>794</v>
      </c>
      <c r="K1281" s="659" t="s">
        <v>794</v>
      </c>
      <c r="L1281" s="659" t="s">
        <v>794</v>
      </c>
      <c r="M1281" s="659"/>
      <c r="N1281" s="659"/>
      <c r="O1281" s="659"/>
      <c r="P1281" s="659"/>
      <c r="Q1281" s="659" t="s">
        <v>3102</v>
      </c>
      <c r="R1281" s="660"/>
      <c r="S1281" s="656"/>
      <c r="T1281" s="661">
        <v>43843</v>
      </c>
      <c r="U1281" s="660"/>
      <c r="V1281" s="659"/>
      <c r="W1281" s="486"/>
    </row>
    <row r="1282" spans="1:23" ht="14.25" customHeight="1">
      <c r="A1282" s="656" t="s">
        <v>698</v>
      </c>
      <c r="B1282" s="657" t="s">
        <v>3033</v>
      </c>
      <c r="C1282" s="658" t="s">
        <v>3045</v>
      </c>
      <c r="D1282" s="485"/>
      <c r="E1282" s="659"/>
      <c r="F1282" s="659"/>
      <c r="G1282" s="659"/>
      <c r="H1282" s="659"/>
      <c r="I1282" s="659"/>
      <c r="J1282" s="659" t="s">
        <v>794</v>
      </c>
      <c r="K1282" s="659" t="s">
        <v>794</v>
      </c>
      <c r="L1282" s="659" t="s">
        <v>794</v>
      </c>
      <c r="M1282" s="659"/>
      <c r="N1282" s="659"/>
      <c r="O1282" s="659"/>
      <c r="P1282" s="659"/>
      <c r="Q1282" s="659" t="s">
        <v>3102</v>
      </c>
      <c r="R1282" s="660"/>
      <c r="S1282" s="656"/>
      <c r="T1282" s="661">
        <v>43843</v>
      </c>
      <c r="U1282" s="660"/>
      <c r="V1282" s="659"/>
      <c r="W1282" s="486"/>
    </row>
    <row r="1283" spans="1:23" ht="14.25" customHeight="1">
      <c r="A1283" s="656" t="s">
        <v>698</v>
      </c>
      <c r="B1283" s="657" t="s">
        <v>3033</v>
      </c>
      <c r="C1283" s="658" t="s">
        <v>3044</v>
      </c>
      <c r="D1283" s="485"/>
      <c r="E1283" s="659"/>
      <c r="F1283" s="659"/>
      <c r="G1283" s="659"/>
      <c r="H1283" s="659"/>
      <c r="I1283" s="659"/>
      <c r="J1283" s="659" t="s">
        <v>794</v>
      </c>
      <c r="K1283" s="659" t="s">
        <v>794</v>
      </c>
      <c r="L1283" s="659" t="s">
        <v>794</v>
      </c>
      <c r="M1283" s="659"/>
      <c r="N1283" s="659"/>
      <c r="O1283" s="659"/>
      <c r="P1283" s="659"/>
      <c r="Q1283" s="659" t="s">
        <v>3102</v>
      </c>
      <c r="R1283" s="660"/>
      <c r="S1283" s="656"/>
      <c r="T1283" s="661">
        <v>43843</v>
      </c>
      <c r="U1283" s="660"/>
      <c r="V1283" s="659"/>
      <c r="W1283" s="486"/>
    </row>
    <row r="1284" spans="1:23" ht="14.25" customHeight="1">
      <c r="A1284" s="656" t="s">
        <v>698</v>
      </c>
      <c r="B1284" s="657" t="s">
        <v>3012</v>
      </c>
      <c r="C1284" s="658" t="s">
        <v>3025</v>
      </c>
      <c r="D1284" s="485"/>
      <c r="E1284" s="659"/>
      <c r="F1284" s="659"/>
      <c r="G1284" s="659"/>
      <c r="H1284" s="659"/>
      <c r="I1284" s="659"/>
      <c r="J1284" s="659" t="s">
        <v>794</v>
      </c>
      <c r="K1284" s="659" t="s">
        <v>794</v>
      </c>
      <c r="L1284" s="659" t="s">
        <v>794</v>
      </c>
      <c r="M1284" s="659"/>
      <c r="N1284" s="659"/>
      <c r="O1284" s="659"/>
      <c r="P1284" s="659"/>
      <c r="Q1284" s="659" t="s">
        <v>3102</v>
      </c>
      <c r="R1284" s="660"/>
      <c r="S1284" s="656"/>
      <c r="T1284" s="661">
        <v>43843</v>
      </c>
      <c r="U1284" s="660"/>
      <c r="V1284" s="659"/>
      <c r="W1284" s="486"/>
    </row>
    <row r="1285" spans="1:23" ht="14.25" customHeight="1">
      <c r="A1285" s="656" t="s">
        <v>698</v>
      </c>
      <c r="B1285" s="657" t="s">
        <v>3012</v>
      </c>
      <c r="C1285" s="658" t="s">
        <v>3026</v>
      </c>
      <c r="D1285" s="485"/>
      <c r="E1285" s="659"/>
      <c r="F1285" s="659"/>
      <c r="G1285" s="659"/>
      <c r="H1285" s="659"/>
      <c r="I1285" s="659"/>
      <c r="J1285" s="659" t="s">
        <v>794</v>
      </c>
      <c r="K1285" s="659" t="s">
        <v>794</v>
      </c>
      <c r="L1285" s="659" t="s">
        <v>794</v>
      </c>
      <c r="M1285" s="659"/>
      <c r="N1285" s="659"/>
      <c r="O1285" s="659"/>
      <c r="P1285" s="659"/>
      <c r="Q1285" s="659" t="s">
        <v>3102</v>
      </c>
      <c r="R1285" s="660"/>
      <c r="S1285" s="656"/>
      <c r="T1285" s="661">
        <v>43843</v>
      </c>
      <c r="U1285" s="660"/>
      <c r="V1285" s="659"/>
      <c r="W1285" s="486"/>
    </row>
    <row r="1286" spans="1:23" ht="14.25" customHeight="1">
      <c r="A1286" s="656" t="s">
        <v>698</v>
      </c>
      <c r="B1286" s="657" t="s">
        <v>3012</v>
      </c>
      <c r="C1286" s="658" t="s">
        <v>3024</v>
      </c>
      <c r="D1286" s="485"/>
      <c r="E1286" s="659"/>
      <c r="F1286" s="670"/>
      <c r="G1286" s="659"/>
      <c r="H1286" s="659"/>
      <c r="I1286" s="659"/>
      <c r="J1286" s="659" t="s">
        <v>794</v>
      </c>
      <c r="K1286" s="659" t="s">
        <v>794</v>
      </c>
      <c r="L1286" s="659" t="s">
        <v>794</v>
      </c>
      <c r="M1286" s="659"/>
      <c r="N1286" s="659"/>
      <c r="O1286" s="659"/>
      <c r="P1286" s="659"/>
      <c r="Q1286" s="659" t="s">
        <v>3102</v>
      </c>
      <c r="R1286" s="660"/>
      <c r="S1286" s="656"/>
      <c r="T1286" s="661">
        <v>43843</v>
      </c>
      <c r="U1286" s="660"/>
      <c r="V1286" s="659"/>
      <c r="W1286" s="486"/>
    </row>
    <row r="1287" spans="1:23" ht="14.25" customHeight="1">
      <c r="A1287" s="656" t="s">
        <v>698</v>
      </c>
      <c r="B1287" s="657" t="s">
        <v>3012</v>
      </c>
      <c r="C1287" s="658" t="s">
        <v>3027</v>
      </c>
      <c r="D1287" s="485"/>
      <c r="E1287" s="659"/>
      <c r="F1287" s="659"/>
      <c r="G1287" s="659"/>
      <c r="H1287" s="659"/>
      <c r="I1287" s="659"/>
      <c r="J1287" s="659" t="s">
        <v>794</v>
      </c>
      <c r="K1287" s="659" t="s">
        <v>794</v>
      </c>
      <c r="L1287" s="659" t="s">
        <v>794</v>
      </c>
      <c r="M1287" s="659"/>
      <c r="N1287" s="659"/>
      <c r="O1287" s="659"/>
      <c r="P1287" s="659"/>
      <c r="Q1287" s="659" t="s">
        <v>3102</v>
      </c>
      <c r="R1287" s="660"/>
      <c r="S1287" s="656"/>
      <c r="T1287" s="661">
        <v>43843</v>
      </c>
      <c r="U1287" s="660"/>
      <c r="V1287" s="659"/>
      <c r="W1287" s="486"/>
    </row>
    <row r="1288" spans="1:23" ht="14.25" customHeight="1">
      <c r="A1288" s="656" t="s">
        <v>698</v>
      </c>
      <c r="B1288" s="657" t="s">
        <v>3012</v>
      </c>
      <c r="C1288" s="658" t="s">
        <v>3029</v>
      </c>
      <c r="D1288" s="485"/>
      <c r="E1288" s="659"/>
      <c r="F1288" s="659"/>
      <c r="G1288" s="659"/>
      <c r="H1288" s="659"/>
      <c r="I1288" s="659"/>
      <c r="J1288" s="659" t="s">
        <v>794</v>
      </c>
      <c r="K1288" s="659" t="s">
        <v>794</v>
      </c>
      <c r="L1288" s="659" t="s">
        <v>794</v>
      </c>
      <c r="M1288" s="659"/>
      <c r="N1288" s="659"/>
      <c r="O1288" s="659"/>
      <c r="P1288" s="659"/>
      <c r="Q1288" s="659" t="s">
        <v>3102</v>
      </c>
      <c r="R1288" s="660"/>
      <c r="S1288" s="656"/>
      <c r="T1288" s="661">
        <v>43843</v>
      </c>
      <c r="U1288" s="660"/>
      <c r="V1288" s="659"/>
      <c r="W1288" s="486"/>
    </row>
    <row r="1289" spans="1:23" ht="14.25" customHeight="1">
      <c r="A1289" s="656" t="s">
        <v>698</v>
      </c>
      <c r="B1289" s="657" t="s">
        <v>3012</v>
      </c>
      <c r="C1289" s="658" t="s">
        <v>3028</v>
      </c>
      <c r="D1289" s="485"/>
      <c r="E1289" s="659"/>
      <c r="F1289" s="659"/>
      <c r="G1289" s="659"/>
      <c r="H1289" s="659"/>
      <c r="I1289" s="659"/>
      <c r="J1289" s="659" t="s">
        <v>794</v>
      </c>
      <c r="K1289" s="659" t="s">
        <v>794</v>
      </c>
      <c r="L1289" s="659" t="s">
        <v>794</v>
      </c>
      <c r="M1289" s="659"/>
      <c r="N1289" s="659"/>
      <c r="O1289" s="659"/>
      <c r="P1289" s="659"/>
      <c r="Q1289" s="659" t="s">
        <v>3102</v>
      </c>
      <c r="R1289" s="660"/>
      <c r="S1289" s="656"/>
      <c r="T1289" s="661">
        <v>43843</v>
      </c>
      <c r="U1289" s="660"/>
      <c r="V1289" s="659"/>
      <c r="W1289" s="486"/>
    </row>
    <row r="1290" spans="1:23" ht="14.25" customHeight="1">
      <c r="A1290" s="656" t="s">
        <v>698</v>
      </c>
      <c r="B1290" s="657" t="s">
        <v>3012</v>
      </c>
      <c r="C1290" s="658" t="s">
        <v>3013</v>
      </c>
      <c r="D1290" s="485"/>
      <c r="E1290" s="659"/>
      <c r="F1290" s="659"/>
      <c r="G1290" s="659"/>
      <c r="H1290" s="659"/>
      <c r="I1290" s="659"/>
      <c r="J1290" s="659" t="s">
        <v>794</v>
      </c>
      <c r="K1290" s="659" t="s">
        <v>794</v>
      </c>
      <c r="L1290" s="659" t="s">
        <v>794</v>
      </c>
      <c r="M1290" s="659"/>
      <c r="N1290" s="659"/>
      <c r="O1290" s="659"/>
      <c r="P1290" s="659"/>
      <c r="Q1290" s="659" t="s">
        <v>3102</v>
      </c>
      <c r="R1290" s="660"/>
      <c r="S1290" s="656"/>
      <c r="T1290" s="661">
        <v>43843</v>
      </c>
      <c r="U1290" s="660"/>
      <c r="V1290" s="659"/>
      <c r="W1290" s="486"/>
    </row>
    <row r="1291" spans="1:23" ht="14.25" customHeight="1">
      <c r="A1291" s="656" t="s">
        <v>698</v>
      </c>
      <c r="B1291" s="657" t="s">
        <v>3012</v>
      </c>
      <c r="C1291" s="658" t="s">
        <v>3014</v>
      </c>
      <c r="D1291" s="485"/>
      <c r="E1291" s="659"/>
      <c r="F1291" s="659"/>
      <c r="G1291" s="659"/>
      <c r="H1291" s="659"/>
      <c r="I1291" s="659"/>
      <c r="J1291" s="659" t="s">
        <v>794</v>
      </c>
      <c r="K1291" s="659" t="s">
        <v>794</v>
      </c>
      <c r="L1291" s="659" t="s">
        <v>794</v>
      </c>
      <c r="M1291" s="659"/>
      <c r="N1291" s="659"/>
      <c r="O1291" s="659"/>
      <c r="P1291" s="659"/>
      <c r="Q1291" s="659" t="s">
        <v>3102</v>
      </c>
      <c r="R1291" s="660"/>
      <c r="S1291" s="656"/>
      <c r="T1291" s="661">
        <v>43843</v>
      </c>
      <c r="U1291" s="660"/>
      <c r="V1291" s="659"/>
      <c r="W1291" s="486"/>
    </row>
    <row r="1292" spans="1:23" ht="14.25" customHeight="1">
      <c r="A1292" s="656" t="s">
        <v>698</v>
      </c>
      <c r="B1292" s="657" t="s">
        <v>3012</v>
      </c>
      <c r="C1292" s="658" t="s">
        <v>3031</v>
      </c>
      <c r="D1292" s="485"/>
      <c r="E1292" s="659"/>
      <c r="F1292" s="659"/>
      <c r="G1292" s="659"/>
      <c r="H1292" s="659"/>
      <c r="I1292" s="659"/>
      <c r="J1292" s="659" t="s">
        <v>794</v>
      </c>
      <c r="K1292" s="659" t="s">
        <v>794</v>
      </c>
      <c r="L1292" s="659" t="s">
        <v>794</v>
      </c>
      <c r="M1292" s="659"/>
      <c r="N1292" s="659"/>
      <c r="O1292" s="659"/>
      <c r="P1292" s="659"/>
      <c r="Q1292" s="659" t="s">
        <v>3102</v>
      </c>
      <c r="R1292" s="660"/>
      <c r="S1292" s="656"/>
      <c r="T1292" s="661">
        <v>43843</v>
      </c>
      <c r="U1292" s="660"/>
      <c r="V1292" s="659"/>
      <c r="W1292" s="486"/>
    </row>
    <row r="1293" spans="1:23" ht="14.25" customHeight="1">
      <c r="A1293" s="656" t="s">
        <v>698</v>
      </c>
      <c r="B1293" s="657" t="s">
        <v>3012</v>
      </c>
      <c r="C1293" s="658" t="s">
        <v>3030</v>
      </c>
      <c r="D1293" s="485"/>
      <c r="E1293" s="659"/>
      <c r="F1293" s="659"/>
      <c r="G1293" s="659"/>
      <c r="H1293" s="659"/>
      <c r="I1293" s="659"/>
      <c r="J1293" s="659" t="s">
        <v>794</v>
      </c>
      <c r="K1293" s="659" t="s">
        <v>794</v>
      </c>
      <c r="L1293" s="659" t="s">
        <v>794</v>
      </c>
      <c r="M1293" s="659"/>
      <c r="N1293" s="659"/>
      <c r="O1293" s="659"/>
      <c r="P1293" s="659"/>
      <c r="Q1293" s="659" t="s">
        <v>3102</v>
      </c>
      <c r="R1293" s="660"/>
      <c r="S1293" s="656"/>
      <c r="T1293" s="661">
        <v>43843</v>
      </c>
      <c r="U1293" s="660"/>
      <c r="V1293" s="659"/>
      <c r="W1293" s="486"/>
    </row>
    <row r="1294" spans="1:23" ht="14.25" customHeight="1">
      <c r="A1294" s="656" t="s">
        <v>698</v>
      </c>
      <c r="B1294" s="657" t="s">
        <v>3012</v>
      </c>
      <c r="C1294" s="658" t="s">
        <v>3016</v>
      </c>
      <c r="D1294" s="485"/>
      <c r="E1294" s="659"/>
      <c r="F1294" s="659"/>
      <c r="G1294" s="659"/>
      <c r="H1294" s="659"/>
      <c r="I1294" s="659"/>
      <c r="J1294" s="659" t="s">
        <v>794</v>
      </c>
      <c r="K1294" s="659" t="s">
        <v>794</v>
      </c>
      <c r="L1294" s="659" t="s">
        <v>794</v>
      </c>
      <c r="M1294" s="659"/>
      <c r="N1294" s="659"/>
      <c r="O1294" s="659"/>
      <c r="P1294" s="659"/>
      <c r="Q1294" s="659" t="s">
        <v>3102</v>
      </c>
      <c r="R1294" s="660"/>
      <c r="S1294" s="656"/>
      <c r="T1294" s="661">
        <v>43843</v>
      </c>
      <c r="U1294" s="660"/>
      <c r="V1294" s="659"/>
      <c r="W1294" s="486"/>
    </row>
    <row r="1295" spans="1:23" ht="14.25" customHeight="1">
      <c r="A1295" s="656" t="s">
        <v>698</v>
      </c>
      <c r="B1295" s="657" t="s">
        <v>3012</v>
      </c>
      <c r="C1295" s="658" t="s">
        <v>3017</v>
      </c>
      <c r="D1295" s="485"/>
      <c r="E1295" s="659"/>
      <c r="F1295" s="659"/>
      <c r="G1295" s="659"/>
      <c r="H1295" s="659"/>
      <c r="I1295" s="659"/>
      <c r="J1295" s="659" t="s">
        <v>794</v>
      </c>
      <c r="K1295" s="659" t="s">
        <v>794</v>
      </c>
      <c r="L1295" s="659" t="s">
        <v>794</v>
      </c>
      <c r="M1295" s="659"/>
      <c r="N1295" s="659"/>
      <c r="O1295" s="659"/>
      <c r="P1295" s="659"/>
      <c r="Q1295" s="659" t="s">
        <v>3102</v>
      </c>
      <c r="R1295" s="660"/>
      <c r="S1295" s="656"/>
      <c r="T1295" s="661">
        <v>43843</v>
      </c>
      <c r="U1295" s="660"/>
      <c r="V1295" s="659"/>
      <c r="W1295" s="486"/>
    </row>
    <row r="1296" spans="1:23" ht="14.25" customHeight="1">
      <c r="A1296" s="656" t="s">
        <v>698</v>
      </c>
      <c r="B1296" s="657" t="s">
        <v>3012</v>
      </c>
      <c r="C1296" s="658" t="s">
        <v>3022</v>
      </c>
      <c r="D1296" s="485"/>
      <c r="E1296" s="659"/>
      <c r="F1296" s="659"/>
      <c r="G1296" s="659"/>
      <c r="H1296" s="659"/>
      <c r="I1296" s="659"/>
      <c r="J1296" s="659" t="s">
        <v>794</v>
      </c>
      <c r="K1296" s="659" t="s">
        <v>794</v>
      </c>
      <c r="L1296" s="659" t="s">
        <v>794</v>
      </c>
      <c r="M1296" s="659"/>
      <c r="N1296" s="659"/>
      <c r="O1296" s="659"/>
      <c r="P1296" s="659"/>
      <c r="Q1296" s="659" t="s">
        <v>3102</v>
      </c>
      <c r="R1296" s="660"/>
      <c r="S1296" s="656"/>
      <c r="T1296" s="661">
        <v>43843</v>
      </c>
      <c r="U1296" s="660"/>
      <c r="V1296" s="659"/>
      <c r="W1296" s="486"/>
    </row>
    <row r="1297" spans="1:23" ht="14.25" customHeight="1">
      <c r="A1297" s="656" t="s">
        <v>698</v>
      </c>
      <c r="B1297" s="657" t="s">
        <v>3012</v>
      </c>
      <c r="C1297" s="658" t="s">
        <v>3023</v>
      </c>
      <c r="D1297" s="485"/>
      <c r="E1297" s="659"/>
      <c r="F1297" s="659"/>
      <c r="G1297" s="659"/>
      <c r="H1297" s="659"/>
      <c r="I1297" s="659"/>
      <c r="J1297" s="659" t="s">
        <v>794</v>
      </c>
      <c r="K1297" s="659" t="s">
        <v>794</v>
      </c>
      <c r="L1297" s="659" t="s">
        <v>794</v>
      </c>
      <c r="M1297" s="659"/>
      <c r="N1297" s="659"/>
      <c r="O1297" s="659"/>
      <c r="P1297" s="659"/>
      <c r="Q1297" s="659" t="s">
        <v>3102</v>
      </c>
      <c r="R1297" s="660"/>
      <c r="S1297" s="656"/>
      <c r="T1297" s="661">
        <v>43843</v>
      </c>
      <c r="U1297" s="660"/>
      <c r="V1297" s="659"/>
      <c r="W1297" s="486"/>
    </row>
    <row r="1298" spans="1:23" ht="14.25" customHeight="1">
      <c r="A1298" s="656" t="s">
        <v>698</v>
      </c>
      <c r="B1298" s="657" t="s">
        <v>3012</v>
      </c>
      <c r="C1298" s="658" t="s">
        <v>3032</v>
      </c>
      <c r="D1298" s="485"/>
      <c r="E1298" s="659"/>
      <c r="F1298" s="659"/>
      <c r="G1298" s="659"/>
      <c r="H1298" s="659"/>
      <c r="I1298" s="659"/>
      <c r="J1298" s="659" t="s">
        <v>794</v>
      </c>
      <c r="K1298" s="659" t="s">
        <v>794</v>
      </c>
      <c r="L1298" s="659" t="s">
        <v>794</v>
      </c>
      <c r="M1298" s="659"/>
      <c r="N1298" s="659"/>
      <c r="O1298" s="659"/>
      <c r="P1298" s="659"/>
      <c r="Q1298" s="659" t="s">
        <v>3102</v>
      </c>
      <c r="R1298" s="660"/>
      <c r="S1298" s="656"/>
      <c r="T1298" s="661">
        <v>43843</v>
      </c>
      <c r="U1298" s="660"/>
      <c r="V1298" s="659"/>
      <c r="W1298" s="486"/>
    </row>
    <row r="1299" spans="1:23" ht="14.25" customHeight="1">
      <c r="A1299" s="656" t="s">
        <v>698</v>
      </c>
      <c r="B1299" s="657" t="s">
        <v>3012</v>
      </c>
      <c r="C1299" s="658" t="s">
        <v>3015</v>
      </c>
      <c r="D1299" s="485"/>
      <c r="E1299" s="659"/>
      <c r="F1299" s="659"/>
      <c r="G1299" s="659"/>
      <c r="H1299" s="659"/>
      <c r="I1299" s="659"/>
      <c r="J1299" s="659" t="s">
        <v>794</v>
      </c>
      <c r="K1299" s="659" t="s">
        <v>794</v>
      </c>
      <c r="L1299" s="659" t="s">
        <v>794</v>
      </c>
      <c r="M1299" s="659"/>
      <c r="N1299" s="659"/>
      <c r="O1299" s="659"/>
      <c r="P1299" s="659"/>
      <c r="Q1299" s="659" t="s">
        <v>3102</v>
      </c>
      <c r="R1299" s="660"/>
      <c r="S1299" s="656"/>
      <c r="T1299" s="661">
        <v>43843</v>
      </c>
      <c r="U1299" s="660"/>
      <c r="V1299" s="659"/>
      <c r="W1299" s="486"/>
    </row>
    <row r="1300" spans="1:23" ht="14.25" customHeight="1">
      <c r="A1300" s="656" t="s">
        <v>698</v>
      </c>
      <c r="B1300" s="657" t="s">
        <v>3012</v>
      </c>
      <c r="C1300" s="658" t="s">
        <v>3018</v>
      </c>
      <c r="D1300" s="485"/>
      <c r="E1300" s="659"/>
      <c r="F1300" s="659"/>
      <c r="G1300" s="659"/>
      <c r="H1300" s="659"/>
      <c r="I1300" s="659"/>
      <c r="J1300" s="659" t="s">
        <v>794</v>
      </c>
      <c r="K1300" s="659" t="s">
        <v>794</v>
      </c>
      <c r="L1300" s="659" t="s">
        <v>794</v>
      </c>
      <c r="M1300" s="659"/>
      <c r="N1300" s="659"/>
      <c r="O1300" s="659"/>
      <c r="P1300" s="659"/>
      <c r="Q1300" s="659" t="s">
        <v>3102</v>
      </c>
      <c r="R1300" s="660"/>
      <c r="S1300" s="656"/>
      <c r="T1300" s="661">
        <v>43843</v>
      </c>
      <c r="U1300" s="660"/>
      <c r="V1300" s="659"/>
      <c r="W1300" s="486"/>
    </row>
    <row r="1301" spans="1:23" ht="14.25" customHeight="1">
      <c r="A1301" s="656" t="s">
        <v>698</v>
      </c>
      <c r="B1301" s="657" t="s">
        <v>3012</v>
      </c>
      <c r="C1301" s="658" t="s">
        <v>3021</v>
      </c>
      <c r="D1301" s="485"/>
      <c r="E1301" s="659"/>
      <c r="F1301" s="659"/>
      <c r="G1301" s="659"/>
      <c r="H1301" s="659"/>
      <c r="I1301" s="659"/>
      <c r="J1301" s="659" t="s">
        <v>794</v>
      </c>
      <c r="K1301" s="659" t="s">
        <v>794</v>
      </c>
      <c r="L1301" s="659" t="s">
        <v>794</v>
      </c>
      <c r="M1301" s="659"/>
      <c r="N1301" s="659"/>
      <c r="O1301" s="659"/>
      <c r="P1301" s="659"/>
      <c r="Q1301" s="659" t="s">
        <v>3102</v>
      </c>
      <c r="R1301" s="660"/>
      <c r="S1301" s="656"/>
      <c r="T1301" s="661">
        <v>43843</v>
      </c>
      <c r="U1301" s="660"/>
      <c r="V1301" s="659"/>
      <c r="W1301" s="486"/>
    </row>
    <row r="1302" spans="1:23" ht="14.25" customHeight="1">
      <c r="A1302" s="656" t="s">
        <v>698</v>
      </c>
      <c r="B1302" s="657" t="s">
        <v>3012</v>
      </c>
      <c r="C1302" s="658" t="s">
        <v>3020</v>
      </c>
      <c r="D1302" s="485"/>
      <c r="E1302" s="659"/>
      <c r="F1302" s="659"/>
      <c r="G1302" s="659"/>
      <c r="H1302" s="659"/>
      <c r="I1302" s="659"/>
      <c r="J1302" s="659" t="s">
        <v>794</v>
      </c>
      <c r="K1302" s="659" t="s">
        <v>794</v>
      </c>
      <c r="L1302" s="659" t="s">
        <v>794</v>
      </c>
      <c r="M1302" s="659"/>
      <c r="N1302" s="659"/>
      <c r="O1302" s="659"/>
      <c r="P1302" s="659"/>
      <c r="Q1302" s="659" t="s">
        <v>3102</v>
      </c>
      <c r="R1302" s="660"/>
      <c r="S1302" s="656"/>
      <c r="T1302" s="661">
        <v>43843</v>
      </c>
      <c r="U1302" s="660"/>
      <c r="V1302" s="659"/>
      <c r="W1302" s="486"/>
    </row>
    <row r="1303" spans="1:23" ht="14.25" customHeight="1">
      <c r="A1303" s="656" t="s">
        <v>698</v>
      </c>
      <c r="B1303" s="657" t="s">
        <v>3012</v>
      </c>
      <c r="C1303" s="658" t="s">
        <v>3019</v>
      </c>
      <c r="D1303" s="485"/>
      <c r="E1303" s="659"/>
      <c r="F1303" s="659"/>
      <c r="G1303" s="659"/>
      <c r="H1303" s="659"/>
      <c r="I1303" s="659"/>
      <c r="J1303" s="659" t="s">
        <v>794</v>
      </c>
      <c r="K1303" s="659" t="s">
        <v>794</v>
      </c>
      <c r="L1303" s="659" t="s">
        <v>794</v>
      </c>
      <c r="M1303" s="659"/>
      <c r="N1303" s="659"/>
      <c r="O1303" s="659"/>
      <c r="P1303" s="659"/>
      <c r="Q1303" s="659" t="s">
        <v>3102</v>
      </c>
      <c r="R1303" s="660"/>
      <c r="S1303" s="656"/>
      <c r="T1303" s="661">
        <v>43843</v>
      </c>
      <c r="U1303" s="660"/>
      <c r="V1303" s="659"/>
      <c r="W1303" s="486"/>
    </row>
    <row r="1304" spans="1:23" ht="14.25" customHeight="1">
      <c r="A1304" s="656" t="s">
        <v>698</v>
      </c>
      <c r="B1304" s="657" t="s">
        <v>1278</v>
      </c>
      <c r="C1304" s="658" t="s">
        <v>3001</v>
      </c>
      <c r="D1304" s="485"/>
      <c r="E1304" s="659"/>
      <c r="F1304" s="659"/>
      <c r="G1304" s="659"/>
      <c r="H1304" s="659"/>
      <c r="I1304" s="659"/>
      <c r="J1304" s="659" t="s">
        <v>794</v>
      </c>
      <c r="K1304" s="659" t="s">
        <v>794</v>
      </c>
      <c r="L1304" s="659" t="s">
        <v>794</v>
      </c>
      <c r="M1304" s="659"/>
      <c r="N1304" s="659"/>
      <c r="O1304" s="659"/>
      <c r="P1304" s="659"/>
      <c r="Q1304" s="659" t="s">
        <v>3102</v>
      </c>
      <c r="R1304" s="660"/>
      <c r="S1304" s="656"/>
      <c r="T1304" s="661">
        <v>43843</v>
      </c>
      <c r="U1304" s="660"/>
      <c r="V1304" s="659"/>
      <c r="W1304" s="486"/>
    </row>
    <row r="1305" spans="1:23" ht="14.25" customHeight="1">
      <c r="A1305" s="656" t="s">
        <v>698</v>
      </c>
      <c r="B1305" s="657" t="s">
        <v>1278</v>
      </c>
      <c r="C1305" s="658" t="s">
        <v>2999</v>
      </c>
      <c r="D1305" s="485"/>
      <c r="E1305" s="659"/>
      <c r="F1305" s="659"/>
      <c r="G1305" s="659"/>
      <c r="H1305" s="659"/>
      <c r="I1305" s="659"/>
      <c r="J1305" s="659" t="s">
        <v>794</v>
      </c>
      <c r="K1305" s="659" t="s">
        <v>794</v>
      </c>
      <c r="L1305" s="659" t="s">
        <v>794</v>
      </c>
      <c r="M1305" s="659"/>
      <c r="N1305" s="659"/>
      <c r="O1305" s="659"/>
      <c r="P1305" s="659"/>
      <c r="Q1305" s="659" t="s">
        <v>3102</v>
      </c>
      <c r="R1305" s="660"/>
      <c r="S1305" s="656"/>
      <c r="T1305" s="661">
        <v>43843</v>
      </c>
      <c r="U1305" s="660"/>
      <c r="V1305" s="659"/>
      <c r="W1305" s="486"/>
    </row>
    <row r="1306" spans="1:23" ht="14.25" customHeight="1">
      <c r="A1306" s="656" t="s">
        <v>698</v>
      </c>
      <c r="B1306" s="657" t="s">
        <v>1278</v>
      </c>
      <c r="C1306" s="658" t="s">
        <v>3000</v>
      </c>
      <c r="D1306" s="485"/>
      <c r="E1306" s="659"/>
      <c r="F1306" s="670"/>
      <c r="G1306" s="659"/>
      <c r="H1306" s="659"/>
      <c r="I1306" s="659"/>
      <c r="J1306" s="659" t="s">
        <v>794</v>
      </c>
      <c r="K1306" s="659" t="s">
        <v>794</v>
      </c>
      <c r="L1306" s="659" t="s">
        <v>794</v>
      </c>
      <c r="M1306" s="659"/>
      <c r="N1306" s="659"/>
      <c r="O1306" s="659"/>
      <c r="P1306" s="659"/>
      <c r="Q1306" s="659" t="s">
        <v>3102</v>
      </c>
      <c r="R1306" s="660"/>
      <c r="S1306" s="656"/>
      <c r="T1306" s="661">
        <v>43843</v>
      </c>
      <c r="U1306" s="660"/>
      <c r="V1306" s="659"/>
      <c r="W1306" s="486"/>
    </row>
    <row r="1307" spans="1:23" ht="14.25" customHeight="1">
      <c r="A1307" s="656" t="s">
        <v>698</v>
      </c>
      <c r="B1307" s="657" t="s">
        <v>1278</v>
      </c>
      <c r="C1307" s="658" t="s">
        <v>3004</v>
      </c>
      <c r="D1307" s="485"/>
      <c r="E1307" s="659"/>
      <c r="F1307" s="659"/>
      <c r="G1307" s="659"/>
      <c r="H1307" s="659"/>
      <c r="I1307" s="659"/>
      <c r="J1307" s="659" t="s">
        <v>794</v>
      </c>
      <c r="K1307" s="659" t="s">
        <v>794</v>
      </c>
      <c r="L1307" s="659" t="s">
        <v>794</v>
      </c>
      <c r="M1307" s="659"/>
      <c r="N1307" s="659"/>
      <c r="O1307" s="659"/>
      <c r="P1307" s="659"/>
      <c r="Q1307" s="659" t="s">
        <v>3102</v>
      </c>
      <c r="R1307" s="660"/>
      <c r="S1307" s="656"/>
      <c r="T1307" s="661">
        <v>43843</v>
      </c>
      <c r="U1307" s="660"/>
      <c r="V1307" s="659"/>
      <c r="W1307" s="486"/>
    </row>
    <row r="1308" spans="1:23" ht="14.25" customHeight="1">
      <c r="A1308" s="656" t="s">
        <v>698</v>
      </c>
      <c r="B1308" s="657" t="s">
        <v>1278</v>
      </c>
      <c r="C1308" s="658" t="s">
        <v>3002</v>
      </c>
      <c r="D1308" s="485"/>
      <c r="E1308" s="659"/>
      <c r="F1308" s="659"/>
      <c r="G1308" s="659"/>
      <c r="H1308" s="659"/>
      <c r="I1308" s="659"/>
      <c r="J1308" s="659" t="s">
        <v>794</v>
      </c>
      <c r="K1308" s="659" t="s">
        <v>794</v>
      </c>
      <c r="L1308" s="659" t="s">
        <v>794</v>
      </c>
      <c r="M1308" s="659"/>
      <c r="N1308" s="659"/>
      <c r="O1308" s="659"/>
      <c r="P1308" s="659"/>
      <c r="Q1308" s="659" t="s">
        <v>3102</v>
      </c>
      <c r="R1308" s="660"/>
      <c r="S1308" s="656"/>
      <c r="T1308" s="661">
        <v>43843</v>
      </c>
      <c r="U1308" s="660"/>
      <c r="V1308" s="659"/>
      <c r="W1308" s="486"/>
    </row>
    <row r="1309" spans="1:23" ht="14.25" customHeight="1">
      <c r="A1309" s="788" t="s">
        <v>2648</v>
      </c>
      <c r="B1309" s="789" t="s">
        <v>295</v>
      </c>
      <c r="C1309" s="790" t="s">
        <v>3303</v>
      </c>
      <c r="D1309" s="485"/>
      <c r="E1309" s="791">
        <v>196146</v>
      </c>
      <c r="F1309" s="791" t="s">
        <v>3303</v>
      </c>
      <c r="G1309" s="791"/>
      <c r="H1309" s="791"/>
      <c r="I1309" s="791"/>
      <c r="J1309" s="659" t="s">
        <v>794</v>
      </c>
      <c r="K1309" s="659" t="s">
        <v>794</v>
      </c>
      <c r="L1309" s="659" t="s">
        <v>794</v>
      </c>
      <c r="M1309" s="791"/>
      <c r="N1309" s="791">
        <v>20.210090637206999</v>
      </c>
      <c r="O1309" s="791">
        <v>92.879753112792997</v>
      </c>
      <c r="P1309" s="791"/>
      <c r="Q1309" s="791" t="s">
        <v>3293</v>
      </c>
      <c r="R1309" s="792"/>
      <c r="S1309" s="788"/>
      <c r="T1309" s="793">
        <v>44026</v>
      </c>
      <c r="U1309" s="792"/>
      <c r="V1309" s="791"/>
      <c r="W1309" s="486"/>
    </row>
    <row r="1310" spans="1:23" ht="14.25" customHeight="1">
      <c r="A1310" s="788" t="s">
        <v>2648</v>
      </c>
      <c r="B1310" s="789" t="s">
        <v>295</v>
      </c>
      <c r="C1310" s="790" t="s">
        <v>3298</v>
      </c>
      <c r="D1310" s="485"/>
      <c r="E1310" s="791">
        <v>196195</v>
      </c>
      <c r="F1310" s="791" t="s">
        <v>3304</v>
      </c>
      <c r="G1310" s="791"/>
      <c r="H1310" s="791"/>
      <c r="I1310" s="791"/>
      <c r="J1310" s="659" t="s">
        <v>794</v>
      </c>
      <c r="K1310" s="659" t="s">
        <v>794</v>
      </c>
      <c r="L1310" s="659" t="s">
        <v>794</v>
      </c>
      <c r="M1310" s="791"/>
      <c r="N1310" s="791">
        <v>20.172649383544901</v>
      </c>
      <c r="O1310" s="791">
        <v>92.874351501464801</v>
      </c>
      <c r="P1310" s="791"/>
      <c r="Q1310" s="791" t="s">
        <v>3293</v>
      </c>
      <c r="R1310" s="792"/>
      <c r="S1310" s="788"/>
      <c r="T1310" s="793">
        <v>44026</v>
      </c>
      <c r="U1310" s="792"/>
      <c r="V1310" s="791"/>
      <c r="W1310" s="486"/>
    </row>
    <row r="1311" spans="1:23" ht="14.25" customHeight="1">
      <c r="A1311" s="788" t="s">
        <v>2648</v>
      </c>
      <c r="B1311" s="789" t="s">
        <v>295</v>
      </c>
      <c r="C1311" s="790" t="s">
        <v>3299</v>
      </c>
      <c r="D1311" s="485"/>
      <c r="E1311" s="791">
        <v>196195</v>
      </c>
      <c r="F1311" s="791" t="s">
        <v>3304</v>
      </c>
      <c r="G1311" s="791"/>
      <c r="H1311" s="791"/>
      <c r="I1311" s="791"/>
      <c r="J1311" s="659" t="s">
        <v>794</v>
      </c>
      <c r="K1311" s="659" t="s">
        <v>794</v>
      </c>
      <c r="L1311" s="659" t="s">
        <v>794</v>
      </c>
      <c r="M1311" s="791"/>
      <c r="N1311" s="791">
        <v>20.172649383544901</v>
      </c>
      <c r="O1311" s="791">
        <v>92.874351501464801</v>
      </c>
      <c r="P1311" s="791"/>
      <c r="Q1311" s="791" t="s">
        <v>3293</v>
      </c>
      <c r="R1311" s="792"/>
      <c r="S1311" s="788"/>
      <c r="T1311" s="793">
        <v>44026</v>
      </c>
      <c r="U1311" s="792"/>
      <c r="V1311" s="791"/>
      <c r="W1311" s="486"/>
    </row>
    <row r="1312" spans="1:23" ht="14.25" customHeight="1">
      <c r="A1312" s="788" t="s">
        <v>2648</v>
      </c>
      <c r="B1312" s="789" t="s">
        <v>295</v>
      </c>
      <c r="C1312" s="790" t="s">
        <v>3300</v>
      </c>
      <c r="D1312" s="485"/>
      <c r="E1312" s="791"/>
      <c r="F1312" s="791"/>
      <c r="G1312" s="791"/>
      <c r="H1312" s="791"/>
      <c r="I1312" s="791"/>
      <c r="J1312" s="659" t="s">
        <v>794</v>
      </c>
      <c r="K1312" s="659" t="s">
        <v>794</v>
      </c>
      <c r="L1312" s="659" t="s">
        <v>794</v>
      </c>
      <c r="M1312" s="791"/>
      <c r="N1312" s="791"/>
      <c r="O1312" s="791"/>
      <c r="P1312" s="791"/>
      <c r="Q1312" s="791" t="s">
        <v>3293</v>
      </c>
      <c r="R1312" s="792"/>
      <c r="S1312" s="788"/>
      <c r="T1312" s="793">
        <v>44026</v>
      </c>
      <c r="U1312" s="792"/>
      <c r="V1312" s="791"/>
      <c r="W1312" s="486"/>
    </row>
    <row r="1313" spans="1:23" ht="14.25" customHeight="1">
      <c r="A1313" s="788" t="s">
        <v>2648</v>
      </c>
      <c r="B1313" s="789" t="s">
        <v>295</v>
      </c>
      <c r="C1313" s="790" t="s">
        <v>3305</v>
      </c>
      <c r="D1313" s="485"/>
      <c r="E1313" s="791">
        <v>220593</v>
      </c>
      <c r="F1313" s="791" t="s">
        <v>450</v>
      </c>
      <c r="G1313" s="791"/>
      <c r="H1313" s="791"/>
      <c r="I1313" s="791"/>
      <c r="J1313" s="659" t="s">
        <v>794</v>
      </c>
      <c r="K1313" s="659" t="s">
        <v>794</v>
      </c>
      <c r="L1313" s="659" t="s">
        <v>794</v>
      </c>
      <c r="M1313" s="791"/>
      <c r="N1313" s="791">
        <v>20.261358000000001</v>
      </c>
      <c r="O1313" s="791">
        <v>92.805672999999999</v>
      </c>
      <c r="P1313" s="791"/>
      <c r="Q1313" s="791" t="s">
        <v>3293</v>
      </c>
      <c r="R1313" s="792"/>
      <c r="S1313" s="788"/>
      <c r="T1313" s="793">
        <v>44026</v>
      </c>
      <c r="U1313" s="792"/>
      <c r="V1313" s="791"/>
      <c r="W1313" s="486"/>
    </row>
    <row r="1314" spans="1:23" ht="14.25" customHeight="1">
      <c r="A1314" s="788" t="s">
        <v>2648</v>
      </c>
      <c r="B1314" s="789" t="s">
        <v>295</v>
      </c>
      <c r="C1314" s="790" t="s">
        <v>3301</v>
      </c>
      <c r="D1314" s="485"/>
      <c r="E1314" s="791">
        <v>196130</v>
      </c>
      <c r="F1314" s="791" t="s">
        <v>874</v>
      </c>
      <c r="G1314" s="791"/>
      <c r="H1314" s="791"/>
      <c r="I1314" s="791"/>
      <c r="J1314" s="659" t="s">
        <v>794</v>
      </c>
      <c r="K1314" s="659" t="s">
        <v>794</v>
      </c>
      <c r="L1314" s="659" t="s">
        <v>794</v>
      </c>
      <c r="M1314" s="791"/>
      <c r="N1314" s="791">
        <v>20.236940383911101</v>
      </c>
      <c r="O1314" s="791">
        <v>92.833259582519503</v>
      </c>
      <c r="P1314" s="791"/>
      <c r="Q1314" s="791" t="s">
        <v>3293</v>
      </c>
      <c r="R1314" s="792"/>
      <c r="S1314" s="788"/>
      <c r="T1314" s="793">
        <v>44026</v>
      </c>
      <c r="U1314" s="792"/>
      <c r="V1314" s="791"/>
      <c r="W1314" s="486"/>
    </row>
    <row r="1315" spans="1:23" ht="14.25" customHeight="1">
      <c r="A1315" s="788" t="s">
        <v>2648</v>
      </c>
      <c r="B1315" s="789" t="s">
        <v>295</v>
      </c>
      <c r="C1315" s="790" t="s">
        <v>3302</v>
      </c>
      <c r="D1315" s="485"/>
      <c r="E1315" s="791"/>
      <c r="F1315" s="791"/>
      <c r="G1315" s="791"/>
      <c r="H1315" s="791"/>
      <c r="I1315" s="791"/>
      <c r="J1315" s="659" t="s">
        <v>794</v>
      </c>
      <c r="K1315" s="659" t="s">
        <v>794</v>
      </c>
      <c r="L1315" s="659" t="s">
        <v>794</v>
      </c>
      <c r="M1315" s="791"/>
      <c r="N1315" s="791"/>
      <c r="O1315" s="791"/>
      <c r="P1315" s="791"/>
      <c r="Q1315" s="791" t="s">
        <v>3293</v>
      </c>
      <c r="R1315" s="792"/>
      <c r="S1315" s="788"/>
      <c r="T1315" s="793">
        <v>44026</v>
      </c>
      <c r="U1315" s="792"/>
      <c r="V1315" s="791"/>
      <c r="W1315" s="486"/>
    </row>
    <row r="1316" spans="1:23" ht="14.25" customHeight="1">
      <c r="A1316" s="788" t="s">
        <v>2648</v>
      </c>
      <c r="B1316" s="789" t="s">
        <v>295</v>
      </c>
      <c r="C1316" s="790" t="s">
        <v>3306</v>
      </c>
      <c r="D1316" s="485"/>
      <c r="E1316" s="791">
        <v>196196</v>
      </c>
      <c r="F1316" s="791" t="s">
        <v>2226</v>
      </c>
      <c r="G1316" s="791"/>
      <c r="H1316" s="791"/>
      <c r="I1316" s="791"/>
      <c r="J1316" s="659" t="s">
        <v>794</v>
      </c>
      <c r="K1316" s="659" t="s">
        <v>794</v>
      </c>
      <c r="L1316" s="659" t="s">
        <v>794</v>
      </c>
      <c r="M1316" s="791"/>
      <c r="N1316" s="791">
        <v>20.176319122314499</v>
      </c>
      <c r="O1316" s="791">
        <v>92.875183105468807</v>
      </c>
      <c r="P1316" s="791"/>
      <c r="Q1316" s="791" t="s">
        <v>3293</v>
      </c>
      <c r="R1316" s="792"/>
      <c r="S1316" s="788"/>
      <c r="T1316" s="793">
        <v>44026</v>
      </c>
      <c r="U1316" s="792"/>
      <c r="V1316" s="791"/>
      <c r="W1316" s="486"/>
    </row>
    <row r="1317" spans="1:23" ht="14.25" customHeight="1">
      <c r="A1317" s="788" t="s">
        <v>3274</v>
      </c>
      <c r="B1317" s="789" t="s">
        <v>3275</v>
      </c>
      <c r="C1317" s="790" t="s">
        <v>3307</v>
      </c>
      <c r="D1317" s="485"/>
      <c r="E1317" s="791"/>
      <c r="F1317" s="791"/>
      <c r="G1317" s="791"/>
      <c r="H1317" s="791"/>
      <c r="I1317" s="791"/>
      <c r="J1317" s="659" t="s">
        <v>794</v>
      </c>
      <c r="K1317" s="659" t="s">
        <v>794</v>
      </c>
      <c r="L1317" s="659" t="s">
        <v>794</v>
      </c>
      <c r="M1317" s="791"/>
      <c r="N1317" s="791"/>
      <c r="O1317" s="791"/>
      <c r="P1317" s="791"/>
      <c r="Q1317" s="791" t="s">
        <v>3293</v>
      </c>
      <c r="R1317" s="792"/>
      <c r="S1317" s="788"/>
      <c r="T1317" s="793">
        <v>44026</v>
      </c>
      <c r="U1317" s="792"/>
      <c r="V1317" s="791"/>
      <c r="W1317" s="486"/>
    </row>
    <row r="1318" spans="1:23" ht="14.25" customHeight="1">
      <c r="A1318" s="487" t="s">
        <v>3274</v>
      </c>
      <c r="B1318" s="514" t="s">
        <v>3275</v>
      </c>
      <c r="C1318" s="452" t="s">
        <v>3308</v>
      </c>
      <c r="D1318" s="485"/>
      <c r="E1318" s="482"/>
      <c r="F1318" s="482"/>
      <c r="G1318" s="482"/>
      <c r="H1318" s="482"/>
      <c r="I1318" s="482"/>
      <c r="J1318" s="659" t="s">
        <v>794</v>
      </c>
      <c r="K1318" s="659" t="s">
        <v>794</v>
      </c>
      <c r="L1318" s="659" t="s">
        <v>794</v>
      </c>
      <c r="M1318" s="482"/>
      <c r="N1318" s="482"/>
      <c r="O1318" s="482"/>
      <c r="P1318" s="482"/>
      <c r="Q1318" s="791" t="s">
        <v>3293</v>
      </c>
      <c r="R1318" s="792"/>
      <c r="S1318" s="788"/>
      <c r="T1318" s="793">
        <v>44026</v>
      </c>
      <c r="U1318" s="494"/>
      <c r="V1318" s="482"/>
      <c r="W1318" s="486"/>
    </row>
    <row r="1319" spans="1:23" ht="14.25" customHeight="1">
      <c r="A1319" s="487" t="s">
        <v>3274</v>
      </c>
      <c r="B1319" s="514" t="s">
        <v>3275</v>
      </c>
      <c r="C1319" s="452" t="s">
        <v>3309</v>
      </c>
      <c r="D1319" s="485"/>
      <c r="E1319" s="482"/>
      <c r="F1319" s="482"/>
      <c r="G1319" s="482"/>
      <c r="H1319" s="482"/>
      <c r="I1319" s="482"/>
      <c r="J1319" s="659" t="s">
        <v>794</v>
      </c>
      <c r="K1319" s="659" t="s">
        <v>794</v>
      </c>
      <c r="L1319" s="659" t="s">
        <v>794</v>
      </c>
      <c r="M1319" s="482"/>
      <c r="N1319" s="482"/>
      <c r="O1319" s="482"/>
      <c r="P1319" s="482"/>
      <c r="Q1319" s="791" t="s">
        <v>3293</v>
      </c>
      <c r="R1319" s="792"/>
      <c r="S1319" s="788"/>
      <c r="T1319" s="793">
        <v>44026</v>
      </c>
      <c r="U1319" s="494"/>
      <c r="V1319" s="482"/>
      <c r="W1319" s="486"/>
    </row>
    <row r="1320" spans="1:23" ht="14.25" customHeight="1">
      <c r="A1320" s="487" t="s">
        <v>3274</v>
      </c>
      <c r="B1320" s="514" t="s">
        <v>3275</v>
      </c>
      <c r="C1320" s="452" t="s">
        <v>3276</v>
      </c>
      <c r="D1320" s="485"/>
      <c r="E1320" s="482"/>
      <c r="F1320" s="482"/>
      <c r="G1320" s="482"/>
      <c r="H1320" s="482"/>
      <c r="I1320" s="482"/>
      <c r="J1320" s="659" t="s">
        <v>794</v>
      </c>
      <c r="K1320" s="659" t="s">
        <v>794</v>
      </c>
      <c r="L1320" s="659" t="s">
        <v>794</v>
      </c>
      <c r="M1320" s="482"/>
      <c r="N1320" s="482"/>
      <c r="O1320" s="482"/>
      <c r="P1320" s="482"/>
      <c r="Q1320" s="791" t="s">
        <v>3293</v>
      </c>
      <c r="R1320" s="792"/>
      <c r="S1320" s="788"/>
      <c r="T1320" s="793">
        <v>44026</v>
      </c>
      <c r="U1320" s="494"/>
      <c r="V1320" s="482"/>
      <c r="W1320" s="486"/>
    </row>
    <row r="1321" spans="1:23" ht="14.25" customHeight="1">
      <c r="A1321" s="487" t="s">
        <v>3274</v>
      </c>
      <c r="B1321" s="514" t="s">
        <v>3275</v>
      </c>
      <c r="C1321" s="452" t="s">
        <v>3277</v>
      </c>
      <c r="D1321" s="485"/>
      <c r="E1321" s="482"/>
      <c r="F1321" s="482"/>
      <c r="G1321" s="482"/>
      <c r="H1321" s="482"/>
      <c r="I1321" s="482"/>
      <c r="J1321" s="659" t="s">
        <v>794</v>
      </c>
      <c r="K1321" s="659" t="s">
        <v>794</v>
      </c>
      <c r="L1321" s="659" t="s">
        <v>794</v>
      </c>
      <c r="M1321" s="482"/>
      <c r="N1321" s="482"/>
      <c r="O1321" s="482"/>
      <c r="P1321" s="482"/>
      <c r="Q1321" s="791" t="s">
        <v>3293</v>
      </c>
      <c r="R1321" s="792"/>
      <c r="S1321" s="788"/>
      <c r="T1321" s="793">
        <v>44026</v>
      </c>
      <c r="U1321" s="494"/>
      <c r="V1321" s="482"/>
      <c r="W1321" s="486"/>
    </row>
    <row r="1322" spans="1:23" ht="14.25" customHeight="1">
      <c r="A1322" s="487" t="s">
        <v>3274</v>
      </c>
      <c r="B1322" s="514" t="s">
        <v>3275</v>
      </c>
      <c r="C1322" s="452" t="s">
        <v>3310</v>
      </c>
      <c r="D1322" s="485"/>
      <c r="E1322" s="482"/>
      <c r="F1322" s="482"/>
      <c r="G1322" s="482"/>
      <c r="H1322" s="482"/>
      <c r="I1322" s="482"/>
      <c r="J1322" s="659" t="s">
        <v>794</v>
      </c>
      <c r="K1322" s="659" t="s">
        <v>794</v>
      </c>
      <c r="L1322" s="659" t="s">
        <v>794</v>
      </c>
      <c r="M1322" s="482"/>
      <c r="N1322" s="482"/>
      <c r="O1322" s="482"/>
      <c r="P1322" s="482"/>
      <c r="Q1322" s="791" t="s">
        <v>3293</v>
      </c>
      <c r="R1322" s="792"/>
      <c r="S1322" s="788"/>
      <c r="T1322" s="793">
        <v>44026</v>
      </c>
      <c r="U1322" s="494"/>
      <c r="V1322" s="482"/>
      <c r="W1322" s="486"/>
    </row>
    <row r="1323" spans="1:23" ht="14.25" customHeight="1">
      <c r="A1323" s="487" t="s">
        <v>3274</v>
      </c>
      <c r="B1323" s="514" t="s">
        <v>3275</v>
      </c>
      <c r="C1323" s="452" t="s">
        <v>3278</v>
      </c>
      <c r="D1323" s="485"/>
      <c r="E1323" s="482"/>
      <c r="F1323" s="482"/>
      <c r="G1323" s="482"/>
      <c r="H1323" s="482"/>
      <c r="I1323" s="482"/>
      <c r="J1323" s="659" t="s">
        <v>794</v>
      </c>
      <c r="K1323" s="659" t="s">
        <v>794</v>
      </c>
      <c r="L1323" s="659" t="s">
        <v>794</v>
      </c>
      <c r="M1323" s="482"/>
      <c r="N1323" s="482"/>
      <c r="O1323" s="482"/>
      <c r="P1323" s="482"/>
      <c r="Q1323" s="791" t="s">
        <v>3293</v>
      </c>
      <c r="R1323" s="792"/>
      <c r="S1323" s="788"/>
      <c r="T1323" s="793">
        <v>44026</v>
      </c>
      <c r="U1323" s="494"/>
      <c r="V1323" s="482"/>
      <c r="W1323" s="486"/>
    </row>
    <row r="1324" spans="1:23" ht="14.25" customHeight="1">
      <c r="A1324" s="487" t="s">
        <v>3274</v>
      </c>
      <c r="B1324" s="514" t="s">
        <v>3275</v>
      </c>
      <c r="C1324" s="452" t="s">
        <v>3279</v>
      </c>
      <c r="D1324" s="485"/>
      <c r="E1324" s="482"/>
      <c r="F1324" s="482"/>
      <c r="G1324" s="482"/>
      <c r="H1324" s="482"/>
      <c r="I1324" s="482"/>
      <c r="J1324" s="659" t="s">
        <v>794</v>
      </c>
      <c r="K1324" s="659" t="s">
        <v>794</v>
      </c>
      <c r="L1324" s="659" t="s">
        <v>794</v>
      </c>
      <c r="M1324" s="482"/>
      <c r="N1324" s="482"/>
      <c r="O1324" s="482"/>
      <c r="P1324" s="482"/>
      <c r="Q1324" s="791" t="s">
        <v>3293</v>
      </c>
      <c r="R1324" s="792"/>
      <c r="S1324" s="788"/>
      <c r="T1324" s="793">
        <v>44026</v>
      </c>
      <c r="U1324" s="494"/>
      <c r="V1324" s="482"/>
      <c r="W1324" s="486"/>
    </row>
    <row r="1325" spans="1:23" ht="14.25" customHeight="1">
      <c r="A1325" s="487" t="s">
        <v>3274</v>
      </c>
      <c r="B1325" s="514" t="s">
        <v>3275</v>
      </c>
      <c r="C1325" s="452" t="s">
        <v>3280</v>
      </c>
      <c r="D1325" s="485"/>
      <c r="E1325" s="482"/>
      <c r="F1325" s="482"/>
      <c r="G1325" s="482"/>
      <c r="H1325" s="482"/>
      <c r="I1325" s="482"/>
      <c r="J1325" s="659" t="s">
        <v>794</v>
      </c>
      <c r="K1325" s="659" t="s">
        <v>794</v>
      </c>
      <c r="L1325" s="659" t="s">
        <v>794</v>
      </c>
      <c r="M1325" s="482"/>
      <c r="N1325" s="482"/>
      <c r="O1325" s="482"/>
      <c r="P1325" s="482"/>
      <c r="Q1325" s="791" t="s">
        <v>3293</v>
      </c>
      <c r="R1325" s="792"/>
      <c r="S1325" s="788"/>
      <c r="T1325" s="793">
        <v>44026</v>
      </c>
      <c r="U1325" s="494"/>
      <c r="V1325" s="482"/>
      <c r="W1325" s="486"/>
    </row>
    <row r="1326" spans="1:23" ht="14.25" customHeight="1">
      <c r="A1326" s="487" t="s">
        <v>3274</v>
      </c>
      <c r="B1326" s="514" t="s">
        <v>3275</v>
      </c>
      <c r="C1326" s="452" t="s">
        <v>3281</v>
      </c>
      <c r="D1326" s="485"/>
      <c r="E1326" s="482"/>
      <c r="F1326" s="482"/>
      <c r="G1326" s="482"/>
      <c r="H1326" s="482"/>
      <c r="I1326" s="482"/>
      <c r="J1326" s="659" t="s">
        <v>794</v>
      </c>
      <c r="K1326" s="659" t="s">
        <v>794</v>
      </c>
      <c r="L1326" s="659" t="s">
        <v>794</v>
      </c>
      <c r="M1326" s="482"/>
      <c r="N1326" s="482"/>
      <c r="O1326" s="482"/>
      <c r="P1326" s="482"/>
      <c r="Q1326" s="791" t="s">
        <v>3293</v>
      </c>
      <c r="R1326" s="792"/>
      <c r="S1326" s="788"/>
      <c r="T1326" s="793">
        <v>44026</v>
      </c>
      <c r="U1326" s="494"/>
      <c r="V1326" s="482"/>
      <c r="W1326" s="486"/>
    </row>
    <row r="1327" spans="1:23" ht="14.25" customHeight="1">
      <c r="A1327" s="487" t="s">
        <v>3274</v>
      </c>
      <c r="B1327" s="514" t="s">
        <v>3275</v>
      </c>
      <c r="C1327" s="452" t="s">
        <v>3282</v>
      </c>
      <c r="D1327" s="485"/>
      <c r="E1327" s="482"/>
      <c r="F1327" s="482"/>
      <c r="G1327" s="482"/>
      <c r="H1327" s="482"/>
      <c r="I1327" s="482"/>
      <c r="J1327" s="659" t="s">
        <v>794</v>
      </c>
      <c r="K1327" s="659" t="s">
        <v>794</v>
      </c>
      <c r="L1327" s="659" t="s">
        <v>794</v>
      </c>
      <c r="M1327" s="482"/>
      <c r="N1327" s="482"/>
      <c r="O1327" s="482"/>
      <c r="P1327" s="482"/>
      <c r="Q1327" s="791" t="s">
        <v>3293</v>
      </c>
      <c r="R1327" s="792"/>
      <c r="S1327" s="788"/>
      <c r="T1327" s="793">
        <v>44026</v>
      </c>
      <c r="U1327" s="494"/>
      <c r="V1327" s="482"/>
      <c r="W1327" s="486"/>
    </row>
    <row r="1328" spans="1:23" ht="14.25" customHeight="1">
      <c r="A1328" s="487" t="s">
        <v>3274</v>
      </c>
      <c r="B1328" s="514" t="s">
        <v>3275</v>
      </c>
      <c r="C1328" s="452" t="s">
        <v>3283</v>
      </c>
      <c r="D1328" s="485"/>
      <c r="E1328" s="482"/>
      <c r="F1328" s="482"/>
      <c r="G1328" s="482"/>
      <c r="H1328" s="482"/>
      <c r="I1328" s="482"/>
      <c r="J1328" s="659" t="s">
        <v>794</v>
      </c>
      <c r="K1328" s="659" t="s">
        <v>794</v>
      </c>
      <c r="L1328" s="659" t="s">
        <v>794</v>
      </c>
      <c r="M1328" s="482"/>
      <c r="N1328" s="482"/>
      <c r="O1328" s="482"/>
      <c r="P1328" s="482"/>
      <c r="Q1328" s="791" t="s">
        <v>3293</v>
      </c>
      <c r="R1328" s="792"/>
      <c r="S1328" s="788"/>
      <c r="T1328" s="793">
        <v>44026</v>
      </c>
      <c r="U1328" s="494"/>
      <c r="V1328" s="482"/>
      <c r="W1328" s="486"/>
    </row>
    <row r="1329" spans="1:23" ht="14.25" customHeight="1">
      <c r="A1329" s="487" t="s">
        <v>3274</v>
      </c>
      <c r="B1329" s="514" t="s">
        <v>3275</v>
      </c>
      <c r="C1329" s="452" t="s">
        <v>3284</v>
      </c>
      <c r="D1329" s="485"/>
      <c r="E1329" s="482"/>
      <c r="F1329" s="482"/>
      <c r="G1329" s="482"/>
      <c r="H1329" s="482"/>
      <c r="I1329" s="482"/>
      <c r="J1329" s="659" t="s">
        <v>794</v>
      </c>
      <c r="K1329" s="659" t="s">
        <v>794</v>
      </c>
      <c r="L1329" s="659" t="s">
        <v>794</v>
      </c>
      <c r="M1329" s="482"/>
      <c r="N1329" s="482"/>
      <c r="O1329" s="482"/>
      <c r="P1329" s="482"/>
      <c r="Q1329" s="791" t="s">
        <v>3293</v>
      </c>
      <c r="R1329" s="792"/>
      <c r="S1329" s="788"/>
      <c r="T1329" s="793">
        <v>44026</v>
      </c>
      <c r="U1329" s="494"/>
      <c r="V1329" s="482"/>
      <c r="W1329" s="486"/>
    </row>
    <row r="1330" spans="1:23" ht="14.25" customHeight="1">
      <c r="A1330" s="487" t="s">
        <v>3274</v>
      </c>
      <c r="B1330" s="514" t="s">
        <v>3275</v>
      </c>
      <c r="C1330" s="452" t="s">
        <v>3285</v>
      </c>
      <c r="D1330" s="485"/>
      <c r="E1330" s="482"/>
      <c r="F1330" s="482"/>
      <c r="G1330" s="482"/>
      <c r="H1330" s="482"/>
      <c r="I1330" s="482"/>
      <c r="J1330" s="659" t="s">
        <v>794</v>
      </c>
      <c r="K1330" s="659" t="s">
        <v>794</v>
      </c>
      <c r="L1330" s="659" t="s">
        <v>794</v>
      </c>
      <c r="M1330" s="482"/>
      <c r="N1330" s="482"/>
      <c r="O1330" s="482"/>
      <c r="P1330" s="482"/>
      <c r="Q1330" s="791" t="s">
        <v>3293</v>
      </c>
      <c r="R1330" s="792"/>
      <c r="S1330" s="788"/>
      <c r="T1330" s="793">
        <v>44026</v>
      </c>
      <c r="U1330" s="494"/>
      <c r="V1330" s="482"/>
      <c r="W1330" s="486"/>
    </row>
    <row r="1331" spans="1:23" ht="14.25" customHeight="1">
      <c r="A1331" s="487" t="s">
        <v>3274</v>
      </c>
      <c r="B1331" s="514" t="s">
        <v>3275</v>
      </c>
      <c r="C1331" s="452" t="s">
        <v>3286</v>
      </c>
      <c r="D1331" s="485"/>
      <c r="E1331" s="482"/>
      <c r="F1331" s="482"/>
      <c r="G1331" s="482"/>
      <c r="H1331" s="482"/>
      <c r="I1331" s="482"/>
      <c r="J1331" s="659" t="s">
        <v>794</v>
      </c>
      <c r="K1331" s="659" t="s">
        <v>794</v>
      </c>
      <c r="L1331" s="659" t="s">
        <v>794</v>
      </c>
      <c r="M1331" s="482"/>
      <c r="N1331" s="482"/>
      <c r="O1331" s="482"/>
      <c r="P1331" s="482"/>
      <c r="Q1331" s="791" t="s">
        <v>3293</v>
      </c>
      <c r="R1331" s="792"/>
      <c r="S1331" s="788"/>
      <c r="T1331" s="793">
        <v>44026</v>
      </c>
      <c r="U1331" s="494"/>
      <c r="V1331" s="482"/>
      <c r="W1331" s="486"/>
    </row>
    <row r="1332" spans="1:23" ht="14.25" customHeight="1">
      <c r="A1332" s="487" t="s">
        <v>3274</v>
      </c>
      <c r="B1332" s="514" t="s">
        <v>3275</v>
      </c>
      <c r="C1332" s="452" t="s">
        <v>3287</v>
      </c>
      <c r="D1332" s="485"/>
      <c r="E1332" s="482"/>
      <c r="F1332" s="482"/>
      <c r="G1332" s="482"/>
      <c r="H1332" s="482"/>
      <c r="I1332" s="482"/>
      <c r="J1332" s="659" t="s">
        <v>794</v>
      </c>
      <c r="K1332" s="659" t="s">
        <v>794</v>
      </c>
      <c r="L1332" s="659" t="s">
        <v>794</v>
      </c>
      <c r="M1332" s="482"/>
      <c r="N1332" s="482"/>
      <c r="O1332" s="482"/>
      <c r="P1332" s="482"/>
      <c r="Q1332" s="791" t="s">
        <v>3293</v>
      </c>
      <c r="R1332" s="792"/>
      <c r="S1332" s="788"/>
      <c r="T1332" s="793">
        <v>44026</v>
      </c>
      <c r="U1332" s="494"/>
      <c r="V1332" s="482"/>
      <c r="W1332" s="486"/>
    </row>
    <row r="1333" spans="1:23" ht="14.25" customHeight="1">
      <c r="A1333" s="487" t="s">
        <v>3274</v>
      </c>
      <c r="B1333" s="514" t="s">
        <v>3275</v>
      </c>
      <c r="C1333" s="452" t="s">
        <v>3288</v>
      </c>
      <c r="D1333" s="485"/>
      <c r="E1333" s="482"/>
      <c r="F1333" s="482"/>
      <c r="G1333" s="482"/>
      <c r="H1333" s="482"/>
      <c r="I1333" s="482"/>
      <c r="J1333" s="659" t="s">
        <v>794</v>
      </c>
      <c r="K1333" s="659" t="s">
        <v>794</v>
      </c>
      <c r="L1333" s="659" t="s">
        <v>794</v>
      </c>
      <c r="M1333" s="482"/>
      <c r="N1333" s="482"/>
      <c r="O1333" s="482"/>
      <c r="P1333" s="482"/>
      <c r="Q1333" s="791" t="s">
        <v>3293</v>
      </c>
      <c r="R1333" s="792"/>
      <c r="S1333" s="788"/>
      <c r="T1333" s="793">
        <v>44026</v>
      </c>
      <c r="U1333" s="494"/>
      <c r="V1333" s="482"/>
      <c r="W1333" s="486"/>
    </row>
    <row r="1334" spans="1:23" ht="14.25" customHeight="1">
      <c r="A1334" s="487" t="s">
        <v>3274</v>
      </c>
      <c r="B1334" s="514" t="s">
        <v>3275</v>
      </c>
      <c r="C1334" s="452" t="s">
        <v>3289</v>
      </c>
      <c r="D1334" s="485"/>
      <c r="E1334" s="482"/>
      <c r="F1334" s="482"/>
      <c r="G1334" s="482"/>
      <c r="H1334" s="482"/>
      <c r="I1334" s="482"/>
      <c r="J1334" s="659" t="s">
        <v>794</v>
      </c>
      <c r="K1334" s="659" t="s">
        <v>794</v>
      </c>
      <c r="L1334" s="659" t="s">
        <v>794</v>
      </c>
      <c r="M1334" s="482"/>
      <c r="N1334" s="482"/>
      <c r="O1334" s="482"/>
      <c r="P1334" s="482"/>
      <c r="Q1334" s="791" t="s">
        <v>3293</v>
      </c>
      <c r="R1334" s="792"/>
      <c r="S1334" s="788"/>
      <c r="T1334" s="793">
        <v>44026</v>
      </c>
      <c r="U1334" s="494"/>
      <c r="V1334" s="482"/>
      <c r="W1334" s="486"/>
    </row>
    <row r="1335" spans="1:23" ht="14.25" customHeight="1">
      <c r="A1335" s="487" t="s">
        <v>3274</v>
      </c>
      <c r="B1335" s="514" t="s">
        <v>3275</v>
      </c>
      <c r="C1335" s="452" t="s">
        <v>3290</v>
      </c>
      <c r="D1335" s="485"/>
      <c r="E1335" s="482"/>
      <c r="F1335" s="482"/>
      <c r="G1335" s="482"/>
      <c r="H1335" s="482"/>
      <c r="I1335" s="482"/>
      <c r="J1335" s="659" t="s">
        <v>794</v>
      </c>
      <c r="K1335" s="659" t="s">
        <v>794</v>
      </c>
      <c r="L1335" s="659" t="s">
        <v>794</v>
      </c>
      <c r="M1335" s="482"/>
      <c r="N1335" s="482"/>
      <c r="O1335" s="482"/>
      <c r="P1335" s="482"/>
      <c r="Q1335" s="791" t="s">
        <v>3293</v>
      </c>
      <c r="R1335" s="792"/>
      <c r="S1335" s="788"/>
      <c r="T1335" s="793">
        <v>44026</v>
      </c>
      <c r="U1335" s="494"/>
      <c r="V1335" s="482"/>
      <c r="W1335" s="486"/>
    </row>
    <row r="1336" spans="1:23" ht="14.25" customHeight="1">
      <c r="A1336" s="487" t="s">
        <v>3274</v>
      </c>
      <c r="B1336" s="514" t="s">
        <v>3275</v>
      </c>
      <c r="C1336" s="452" t="s">
        <v>3291</v>
      </c>
      <c r="D1336" s="485"/>
      <c r="E1336" s="482"/>
      <c r="F1336" s="482"/>
      <c r="G1336" s="482"/>
      <c r="H1336" s="482"/>
      <c r="I1336" s="482"/>
      <c r="J1336" s="659" t="s">
        <v>794</v>
      </c>
      <c r="K1336" s="659" t="s">
        <v>794</v>
      </c>
      <c r="L1336" s="659" t="s">
        <v>794</v>
      </c>
      <c r="M1336" s="482"/>
      <c r="N1336" s="482"/>
      <c r="O1336" s="482"/>
      <c r="P1336" s="482"/>
      <c r="Q1336" s="791" t="s">
        <v>3293</v>
      </c>
      <c r="R1336" s="792"/>
      <c r="S1336" s="788"/>
      <c r="T1336" s="793">
        <v>44026</v>
      </c>
      <c r="U1336" s="494"/>
      <c r="V1336" s="482"/>
      <c r="W1336" s="486"/>
    </row>
    <row r="1337" spans="1:23" ht="14.25" customHeight="1">
      <c r="A1337" s="487" t="s">
        <v>36</v>
      </c>
      <c r="B1337" s="514" t="s">
        <v>771</v>
      </c>
      <c r="C1337" s="452" t="s">
        <v>3233</v>
      </c>
      <c r="D1337" s="485"/>
      <c r="E1337" s="482"/>
      <c r="F1337" s="482"/>
      <c r="G1337" s="482"/>
      <c r="H1337" s="482"/>
      <c r="I1337" s="482"/>
      <c r="J1337" s="659" t="s">
        <v>794</v>
      </c>
      <c r="K1337" s="659" t="s">
        <v>794</v>
      </c>
      <c r="L1337" s="659" t="s">
        <v>794</v>
      </c>
      <c r="M1337" s="482"/>
      <c r="N1337" s="482"/>
      <c r="O1337" s="482"/>
      <c r="P1337" s="482"/>
      <c r="Q1337" s="791" t="s">
        <v>3293</v>
      </c>
      <c r="R1337" s="792"/>
      <c r="S1337" s="788"/>
      <c r="T1337" s="793">
        <v>44026</v>
      </c>
      <c r="U1337" s="494"/>
      <c r="V1337" s="482"/>
      <c r="W1337" s="486"/>
    </row>
    <row r="1338" spans="1:23" ht="14.25" customHeight="1">
      <c r="A1338" s="487" t="s">
        <v>36</v>
      </c>
      <c r="B1338" s="514" t="s">
        <v>771</v>
      </c>
      <c r="C1338" s="452" t="s">
        <v>3234</v>
      </c>
      <c r="D1338" s="485"/>
      <c r="E1338" s="482"/>
      <c r="F1338" s="482"/>
      <c r="G1338" s="482"/>
      <c r="H1338" s="482"/>
      <c r="I1338" s="482"/>
      <c r="J1338" s="659" t="s">
        <v>794</v>
      </c>
      <c r="K1338" s="659" t="s">
        <v>794</v>
      </c>
      <c r="L1338" s="659" t="s">
        <v>794</v>
      </c>
      <c r="M1338" s="482"/>
      <c r="N1338" s="482"/>
      <c r="O1338" s="482"/>
      <c r="P1338" s="482"/>
      <c r="Q1338" s="791" t="s">
        <v>3293</v>
      </c>
      <c r="R1338" s="792"/>
      <c r="S1338" s="788"/>
      <c r="T1338" s="793">
        <v>44026</v>
      </c>
      <c r="U1338" s="494"/>
      <c r="V1338" s="482"/>
      <c r="W1338" s="486"/>
    </row>
    <row r="1339" spans="1:23" ht="14.25" customHeight="1">
      <c r="A1339" s="487" t="s">
        <v>36</v>
      </c>
      <c r="B1339" s="514" t="s">
        <v>771</v>
      </c>
      <c r="C1339" s="452" t="s">
        <v>3235</v>
      </c>
      <c r="D1339" s="485"/>
      <c r="E1339" s="482"/>
      <c r="F1339" s="482"/>
      <c r="G1339" s="482"/>
      <c r="H1339" s="482"/>
      <c r="I1339" s="482"/>
      <c r="J1339" s="659" t="s">
        <v>794</v>
      </c>
      <c r="K1339" s="659" t="s">
        <v>794</v>
      </c>
      <c r="L1339" s="659" t="s">
        <v>794</v>
      </c>
      <c r="M1339" s="482"/>
      <c r="N1339" s="482"/>
      <c r="O1339" s="482"/>
      <c r="P1339" s="482"/>
      <c r="Q1339" s="791" t="s">
        <v>3293</v>
      </c>
      <c r="R1339" s="792"/>
      <c r="S1339" s="788"/>
      <c r="T1339" s="793">
        <v>44026</v>
      </c>
      <c r="U1339" s="494"/>
      <c r="V1339" s="482"/>
      <c r="W1339" s="486"/>
    </row>
    <row r="1340" spans="1:23" ht="14.25" customHeight="1">
      <c r="A1340" s="487" t="s">
        <v>36</v>
      </c>
      <c r="B1340" s="514" t="s">
        <v>771</v>
      </c>
      <c r="C1340" s="452" t="s">
        <v>3236</v>
      </c>
      <c r="D1340" s="485"/>
      <c r="E1340" s="482"/>
      <c r="F1340" s="482"/>
      <c r="G1340" s="482"/>
      <c r="H1340" s="482"/>
      <c r="I1340" s="482"/>
      <c r="J1340" s="659" t="s">
        <v>794</v>
      </c>
      <c r="K1340" s="659" t="s">
        <v>794</v>
      </c>
      <c r="L1340" s="659" t="s">
        <v>794</v>
      </c>
      <c r="M1340" s="482"/>
      <c r="N1340" s="482"/>
      <c r="O1340" s="482"/>
      <c r="P1340" s="482"/>
      <c r="Q1340" s="791" t="s">
        <v>3293</v>
      </c>
      <c r="R1340" s="792"/>
      <c r="S1340" s="788"/>
      <c r="T1340" s="793">
        <v>44026</v>
      </c>
      <c r="U1340" s="494"/>
      <c r="V1340" s="482"/>
      <c r="W1340" s="486"/>
    </row>
    <row r="1341" spans="1:23" ht="14.25" customHeight="1">
      <c r="A1341" s="487" t="s">
        <v>36</v>
      </c>
      <c r="B1341" s="514" t="s">
        <v>771</v>
      </c>
      <c r="C1341" s="452" t="s">
        <v>3237</v>
      </c>
      <c r="D1341" s="485"/>
      <c r="E1341" s="482"/>
      <c r="F1341" s="482"/>
      <c r="G1341" s="482"/>
      <c r="H1341" s="482"/>
      <c r="I1341" s="482"/>
      <c r="J1341" s="659" t="s">
        <v>794</v>
      </c>
      <c r="K1341" s="659" t="s">
        <v>794</v>
      </c>
      <c r="L1341" s="659" t="s">
        <v>794</v>
      </c>
      <c r="M1341" s="482"/>
      <c r="N1341" s="482"/>
      <c r="O1341" s="482"/>
      <c r="P1341" s="482"/>
      <c r="Q1341" s="791" t="s">
        <v>3293</v>
      </c>
      <c r="R1341" s="792"/>
      <c r="S1341" s="788"/>
      <c r="T1341" s="793">
        <v>44026</v>
      </c>
      <c r="U1341" s="494"/>
      <c r="V1341" s="482"/>
      <c r="W1341" s="486"/>
    </row>
    <row r="1342" spans="1:23" ht="14.25" customHeight="1">
      <c r="A1342" s="487" t="s">
        <v>36</v>
      </c>
      <c r="B1342" s="514" t="s">
        <v>771</v>
      </c>
      <c r="C1342" s="452" t="s">
        <v>3238</v>
      </c>
      <c r="D1342" s="485"/>
      <c r="E1342" s="482"/>
      <c r="F1342" s="482"/>
      <c r="G1342" s="482"/>
      <c r="H1342" s="482"/>
      <c r="I1342" s="482"/>
      <c r="J1342" s="659" t="s">
        <v>794</v>
      </c>
      <c r="K1342" s="659" t="s">
        <v>794</v>
      </c>
      <c r="L1342" s="659" t="s">
        <v>794</v>
      </c>
      <c r="M1342" s="482"/>
      <c r="N1342" s="482"/>
      <c r="O1342" s="482"/>
      <c r="P1342" s="482"/>
      <c r="Q1342" s="791" t="s">
        <v>3293</v>
      </c>
      <c r="R1342" s="792"/>
      <c r="S1342" s="788"/>
      <c r="T1342" s="793">
        <v>44026</v>
      </c>
      <c r="U1342" s="494"/>
      <c r="V1342" s="482"/>
      <c r="W1342" s="486"/>
    </row>
    <row r="1343" spans="1:23" ht="14.25" customHeight="1">
      <c r="A1343" s="487" t="s">
        <v>36</v>
      </c>
      <c r="B1343" s="514" t="s">
        <v>771</v>
      </c>
      <c r="C1343" s="452" t="s">
        <v>3239</v>
      </c>
      <c r="D1343" s="485"/>
      <c r="E1343" s="482"/>
      <c r="F1343" s="482"/>
      <c r="G1343" s="482"/>
      <c r="H1343" s="482"/>
      <c r="I1343" s="482"/>
      <c r="J1343" s="659" t="s">
        <v>794</v>
      </c>
      <c r="K1343" s="659" t="s">
        <v>794</v>
      </c>
      <c r="L1343" s="659" t="s">
        <v>794</v>
      </c>
      <c r="M1343" s="482"/>
      <c r="N1343" s="482"/>
      <c r="O1343" s="482"/>
      <c r="P1343" s="482"/>
      <c r="Q1343" s="791" t="s">
        <v>3293</v>
      </c>
      <c r="R1343" s="792"/>
      <c r="S1343" s="788"/>
      <c r="T1343" s="793">
        <v>44026</v>
      </c>
      <c r="U1343" s="494"/>
      <c r="V1343" s="482"/>
      <c r="W1343" s="486"/>
    </row>
    <row r="1344" spans="1:23" ht="14.25" customHeight="1">
      <c r="A1344" s="487" t="s">
        <v>36</v>
      </c>
      <c r="B1344" s="514" t="s">
        <v>771</v>
      </c>
      <c r="C1344" s="452" t="s">
        <v>3240</v>
      </c>
      <c r="D1344" s="485"/>
      <c r="E1344" s="482"/>
      <c r="F1344" s="482"/>
      <c r="G1344" s="482"/>
      <c r="H1344" s="482"/>
      <c r="I1344" s="482"/>
      <c r="J1344" s="659" t="s">
        <v>794</v>
      </c>
      <c r="K1344" s="659" t="s">
        <v>794</v>
      </c>
      <c r="L1344" s="659" t="s">
        <v>794</v>
      </c>
      <c r="M1344" s="482"/>
      <c r="N1344" s="482"/>
      <c r="O1344" s="482"/>
      <c r="P1344" s="482"/>
      <c r="Q1344" s="791" t="s">
        <v>3293</v>
      </c>
      <c r="R1344" s="792"/>
      <c r="S1344" s="788"/>
      <c r="T1344" s="793">
        <v>44026</v>
      </c>
      <c r="U1344" s="494"/>
      <c r="V1344" s="482"/>
      <c r="W1344" s="486"/>
    </row>
    <row r="1345" spans="1:23" ht="14.25" customHeight="1">
      <c r="A1345" s="487" t="s">
        <v>36</v>
      </c>
      <c r="B1345" s="514" t="s">
        <v>771</v>
      </c>
      <c r="C1345" s="452" t="s">
        <v>3241</v>
      </c>
      <c r="D1345" s="485"/>
      <c r="E1345" s="482"/>
      <c r="F1345" s="482"/>
      <c r="G1345" s="482"/>
      <c r="H1345" s="482"/>
      <c r="I1345" s="482"/>
      <c r="J1345" s="659" t="s">
        <v>794</v>
      </c>
      <c r="K1345" s="659" t="s">
        <v>794</v>
      </c>
      <c r="L1345" s="659" t="s">
        <v>794</v>
      </c>
      <c r="M1345" s="482"/>
      <c r="N1345" s="482"/>
      <c r="O1345" s="482"/>
      <c r="P1345" s="482"/>
      <c r="Q1345" s="791" t="s">
        <v>3293</v>
      </c>
      <c r="R1345" s="792"/>
      <c r="S1345" s="788"/>
      <c r="T1345" s="793">
        <v>44026</v>
      </c>
      <c r="U1345" s="494"/>
      <c r="V1345" s="482"/>
      <c r="W1345" s="486"/>
    </row>
    <row r="1346" spans="1:23" ht="14.25" customHeight="1">
      <c r="A1346" s="487" t="s">
        <v>36</v>
      </c>
      <c r="B1346" s="514" t="s">
        <v>771</v>
      </c>
      <c r="C1346" s="452" t="s">
        <v>3242</v>
      </c>
      <c r="D1346" s="485"/>
      <c r="E1346" s="482"/>
      <c r="F1346" s="482"/>
      <c r="G1346" s="482"/>
      <c r="H1346" s="482"/>
      <c r="I1346" s="482"/>
      <c r="J1346" s="659" t="s">
        <v>794</v>
      </c>
      <c r="K1346" s="659" t="s">
        <v>794</v>
      </c>
      <c r="L1346" s="659" t="s">
        <v>794</v>
      </c>
      <c r="M1346" s="482"/>
      <c r="N1346" s="482"/>
      <c r="O1346" s="482"/>
      <c r="P1346" s="482"/>
      <c r="Q1346" s="791" t="s">
        <v>3293</v>
      </c>
      <c r="R1346" s="792"/>
      <c r="S1346" s="788"/>
      <c r="T1346" s="793">
        <v>44026</v>
      </c>
      <c r="U1346" s="494"/>
      <c r="V1346" s="482"/>
      <c r="W1346" s="486"/>
    </row>
    <row r="1347" spans="1:23" ht="14.25" customHeight="1">
      <c r="A1347" s="487" t="s">
        <v>36</v>
      </c>
      <c r="B1347" s="514" t="s">
        <v>771</v>
      </c>
      <c r="C1347" s="452" t="s">
        <v>3243</v>
      </c>
      <c r="D1347" s="485"/>
      <c r="E1347" s="482"/>
      <c r="F1347" s="482"/>
      <c r="G1347" s="482"/>
      <c r="H1347" s="482"/>
      <c r="I1347" s="482"/>
      <c r="J1347" s="659" t="s">
        <v>794</v>
      </c>
      <c r="K1347" s="659" t="s">
        <v>794</v>
      </c>
      <c r="L1347" s="659" t="s">
        <v>794</v>
      </c>
      <c r="M1347" s="482"/>
      <c r="N1347" s="482"/>
      <c r="O1347" s="482"/>
      <c r="P1347" s="482"/>
      <c r="Q1347" s="791" t="s">
        <v>3293</v>
      </c>
      <c r="R1347" s="792"/>
      <c r="S1347" s="788"/>
      <c r="T1347" s="793">
        <v>44026</v>
      </c>
      <c r="U1347" s="494"/>
      <c r="V1347" s="482"/>
      <c r="W1347" s="486"/>
    </row>
    <row r="1348" spans="1:23" ht="14.25" customHeight="1">
      <c r="A1348" s="487" t="s">
        <v>36</v>
      </c>
      <c r="B1348" s="514" t="s">
        <v>771</v>
      </c>
      <c r="C1348" s="452" t="s">
        <v>3244</v>
      </c>
      <c r="D1348" s="485"/>
      <c r="E1348" s="482"/>
      <c r="F1348" s="482"/>
      <c r="G1348" s="482"/>
      <c r="H1348" s="482"/>
      <c r="I1348" s="482"/>
      <c r="J1348" s="659" t="s">
        <v>794</v>
      </c>
      <c r="K1348" s="659" t="s">
        <v>794</v>
      </c>
      <c r="L1348" s="659" t="s">
        <v>794</v>
      </c>
      <c r="M1348" s="482"/>
      <c r="N1348" s="482"/>
      <c r="O1348" s="482"/>
      <c r="P1348" s="482"/>
      <c r="Q1348" s="791" t="s">
        <v>3293</v>
      </c>
      <c r="R1348" s="792"/>
      <c r="S1348" s="788"/>
      <c r="T1348" s="793">
        <v>44026</v>
      </c>
      <c r="U1348" s="494"/>
      <c r="V1348" s="482"/>
      <c r="W1348" s="486"/>
    </row>
    <row r="1349" spans="1:23" ht="14.25" customHeight="1">
      <c r="A1349" s="487" t="s">
        <v>36</v>
      </c>
      <c r="B1349" s="514" t="s">
        <v>771</v>
      </c>
      <c r="C1349" s="452" t="s">
        <v>3245</v>
      </c>
      <c r="D1349" s="485"/>
      <c r="E1349" s="482"/>
      <c r="F1349" s="482"/>
      <c r="G1349" s="482"/>
      <c r="H1349" s="482"/>
      <c r="I1349" s="482"/>
      <c r="J1349" s="659" t="s">
        <v>794</v>
      </c>
      <c r="K1349" s="659" t="s">
        <v>794</v>
      </c>
      <c r="L1349" s="659" t="s">
        <v>794</v>
      </c>
      <c r="M1349" s="482"/>
      <c r="N1349" s="482"/>
      <c r="O1349" s="482"/>
      <c r="P1349" s="482"/>
      <c r="Q1349" s="791" t="s">
        <v>3293</v>
      </c>
      <c r="R1349" s="792"/>
      <c r="S1349" s="788"/>
      <c r="T1349" s="793">
        <v>44026</v>
      </c>
      <c r="U1349" s="494"/>
      <c r="V1349" s="482"/>
      <c r="W1349" s="486"/>
    </row>
    <row r="1350" spans="1:23" ht="14.25" customHeight="1">
      <c r="A1350" s="487" t="s">
        <v>36</v>
      </c>
      <c r="B1350" s="514" t="s">
        <v>771</v>
      </c>
      <c r="C1350" s="452" t="s">
        <v>3246</v>
      </c>
      <c r="D1350" s="485"/>
      <c r="E1350" s="482"/>
      <c r="F1350" s="482"/>
      <c r="G1350" s="482"/>
      <c r="H1350" s="482"/>
      <c r="I1350" s="482"/>
      <c r="J1350" s="659" t="s">
        <v>794</v>
      </c>
      <c r="K1350" s="659" t="s">
        <v>794</v>
      </c>
      <c r="L1350" s="659" t="s">
        <v>794</v>
      </c>
      <c r="M1350" s="482"/>
      <c r="N1350" s="482"/>
      <c r="O1350" s="482"/>
      <c r="P1350" s="482"/>
      <c r="Q1350" s="791" t="s">
        <v>3293</v>
      </c>
      <c r="R1350" s="792"/>
      <c r="S1350" s="788"/>
      <c r="T1350" s="793">
        <v>44026</v>
      </c>
      <c r="U1350" s="494"/>
      <c r="V1350" s="482"/>
      <c r="W1350" s="486"/>
    </row>
    <row r="1351" spans="1:23" ht="14.25" customHeight="1">
      <c r="A1351" s="487" t="s">
        <v>36</v>
      </c>
      <c r="B1351" s="514" t="s">
        <v>174</v>
      </c>
      <c r="C1351" s="452" t="s">
        <v>3247</v>
      </c>
      <c r="D1351" s="485"/>
      <c r="E1351" s="482"/>
      <c r="F1351" s="482"/>
      <c r="G1351" s="482"/>
      <c r="H1351" s="482"/>
      <c r="I1351" s="482"/>
      <c r="J1351" s="659" t="s">
        <v>794</v>
      </c>
      <c r="K1351" s="659" t="s">
        <v>794</v>
      </c>
      <c r="L1351" s="659" t="s">
        <v>794</v>
      </c>
      <c r="M1351" s="482"/>
      <c r="N1351" s="482"/>
      <c r="O1351" s="482"/>
      <c r="P1351" s="482"/>
      <c r="Q1351" s="791" t="s">
        <v>3293</v>
      </c>
      <c r="R1351" s="792"/>
      <c r="S1351" s="788"/>
      <c r="T1351" s="793">
        <v>44026</v>
      </c>
      <c r="U1351" s="494"/>
      <c r="V1351" s="482"/>
      <c r="W1351" s="486"/>
    </row>
    <row r="1352" spans="1:23" ht="14.25" customHeight="1">
      <c r="A1352" s="487" t="s">
        <v>36</v>
      </c>
      <c r="B1352" s="514" t="s">
        <v>174</v>
      </c>
      <c r="C1352" s="452" t="s">
        <v>3248</v>
      </c>
      <c r="D1352" s="485"/>
      <c r="E1352" s="482"/>
      <c r="F1352" s="482"/>
      <c r="G1352" s="482"/>
      <c r="H1352" s="482"/>
      <c r="I1352" s="482"/>
      <c r="J1352" s="659" t="s">
        <v>794</v>
      </c>
      <c r="K1352" s="659" t="s">
        <v>794</v>
      </c>
      <c r="L1352" s="659" t="s">
        <v>794</v>
      </c>
      <c r="M1352" s="482"/>
      <c r="N1352" s="482"/>
      <c r="O1352" s="482"/>
      <c r="P1352" s="482"/>
      <c r="Q1352" s="791" t="s">
        <v>3293</v>
      </c>
      <c r="R1352" s="792"/>
      <c r="S1352" s="788"/>
      <c r="T1352" s="793">
        <v>44026</v>
      </c>
      <c r="U1352" s="494"/>
      <c r="V1352" s="482"/>
      <c r="W1352" s="486"/>
    </row>
    <row r="1353" spans="1:23" ht="14.25" customHeight="1">
      <c r="A1353" s="487" t="s">
        <v>36</v>
      </c>
      <c r="B1353" s="514" t="s">
        <v>174</v>
      </c>
      <c r="C1353" s="452" t="s">
        <v>3249</v>
      </c>
      <c r="D1353" s="485"/>
      <c r="E1353" s="482"/>
      <c r="F1353" s="482"/>
      <c r="G1353" s="482"/>
      <c r="H1353" s="482"/>
      <c r="I1353" s="482"/>
      <c r="J1353" s="659" t="s">
        <v>794</v>
      </c>
      <c r="K1353" s="659" t="s">
        <v>794</v>
      </c>
      <c r="L1353" s="659" t="s">
        <v>794</v>
      </c>
      <c r="M1353" s="482"/>
      <c r="N1353" s="482"/>
      <c r="O1353" s="482"/>
      <c r="P1353" s="482"/>
      <c r="Q1353" s="791" t="s">
        <v>3293</v>
      </c>
      <c r="R1353" s="792"/>
      <c r="S1353" s="788"/>
      <c r="T1353" s="793">
        <v>44026</v>
      </c>
      <c r="U1353" s="494"/>
      <c r="V1353" s="482"/>
      <c r="W1353" s="486"/>
    </row>
    <row r="1354" spans="1:23" ht="14.25" customHeight="1">
      <c r="A1354" s="487" t="s">
        <v>36</v>
      </c>
      <c r="B1354" s="514" t="s">
        <v>174</v>
      </c>
      <c r="C1354" s="452" t="s">
        <v>3250</v>
      </c>
      <c r="D1354" s="485"/>
      <c r="E1354" s="482"/>
      <c r="F1354" s="482"/>
      <c r="G1354" s="482"/>
      <c r="H1354" s="482"/>
      <c r="I1354" s="482"/>
      <c r="J1354" s="659" t="s">
        <v>794</v>
      </c>
      <c r="K1354" s="659" t="s">
        <v>794</v>
      </c>
      <c r="L1354" s="659" t="s">
        <v>794</v>
      </c>
      <c r="M1354" s="482"/>
      <c r="N1354" s="482"/>
      <c r="O1354" s="482"/>
      <c r="P1354" s="482"/>
      <c r="Q1354" s="791" t="s">
        <v>3293</v>
      </c>
      <c r="R1354" s="792"/>
      <c r="S1354" s="788"/>
      <c r="T1354" s="793">
        <v>44026</v>
      </c>
      <c r="U1354" s="494"/>
      <c r="V1354" s="482"/>
      <c r="W1354" s="486"/>
    </row>
    <row r="1355" spans="1:23" ht="14.25" customHeight="1">
      <c r="A1355" s="487" t="s">
        <v>36</v>
      </c>
      <c r="B1355" s="514" t="s">
        <v>174</v>
      </c>
      <c r="C1355" s="452" t="s">
        <v>3251</v>
      </c>
      <c r="D1355" s="485"/>
      <c r="E1355" s="482"/>
      <c r="F1355" s="482"/>
      <c r="G1355" s="482"/>
      <c r="H1355" s="482"/>
      <c r="I1355" s="482"/>
      <c r="J1355" s="659" t="s">
        <v>794</v>
      </c>
      <c r="K1355" s="659" t="s">
        <v>794</v>
      </c>
      <c r="L1355" s="659" t="s">
        <v>794</v>
      </c>
      <c r="M1355" s="482"/>
      <c r="N1355" s="482"/>
      <c r="O1355" s="482"/>
      <c r="P1355" s="482"/>
      <c r="Q1355" s="791" t="s">
        <v>3293</v>
      </c>
      <c r="R1355" s="792"/>
      <c r="S1355" s="788"/>
      <c r="T1355" s="793">
        <v>44026</v>
      </c>
      <c r="U1355" s="494"/>
      <c r="V1355" s="482"/>
      <c r="W1355" s="486"/>
    </row>
    <row r="1356" spans="1:23" ht="14.25" customHeight="1">
      <c r="A1356" s="487" t="s">
        <v>36</v>
      </c>
      <c r="B1356" s="514" t="s">
        <v>174</v>
      </c>
      <c r="C1356" s="452" t="s">
        <v>3252</v>
      </c>
      <c r="D1356" s="485"/>
      <c r="E1356" s="482"/>
      <c r="F1356" s="482"/>
      <c r="G1356" s="482"/>
      <c r="H1356" s="482"/>
      <c r="I1356" s="482"/>
      <c r="J1356" s="659" t="s">
        <v>794</v>
      </c>
      <c r="K1356" s="659" t="s">
        <v>794</v>
      </c>
      <c r="L1356" s="659" t="s">
        <v>794</v>
      </c>
      <c r="M1356" s="482"/>
      <c r="N1356" s="482"/>
      <c r="O1356" s="482"/>
      <c r="P1356" s="482"/>
      <c r="Q1356" s="791" t="s">
        <v>3293</v>
      </c>
      <c r="R1356" s="792"/>
      <c r="S1356" s="788"/>
      <c r="T1356" s="793">
        <v>44026</v>
      </c>
      <c r="U1356" s="494"/>
      <c r="V1356" s="482"/>
      <c r="W1356" s="486"/>
    </row>
    <row r="1357" spans="1:23" ht="14.25" customHeight="1">
      <c r="A1357" s="487" t="s">
        <v>36</v>
      </c>
      <c r="B1357" s="514" t="s">
        <v>174</v>
      </c>
      <c r="C1357" s="452" t="s">
        <v>3253</v>
      </c>
      <c r="D1357" s="485"/>
      <c r="E1357" s="482"/>
      <c r="F1357" s="482"/>
      <c r="G1357" s="482"/>
      <c r="H1357" s="482"/>
      <c r="I1357" s="482"/>
      <c r="J1357" s="659" t="s">
        <v>794</v>
      </c>
      <c r="K1357" s="659" t="s">
        <v>794</v>
      </c>
      <c r="L1357" s="659" t="s">
        <v>794</v>
      </c>
      <c r="M1357" s="482"/>
      <c r="N1357" s="482"/>
      <c r="O1357" s="482"/>
      <c r="P1357" s="482"/>
      <c r="Q1357" s="791" t="s">
        <v>3293</v>
      </c>
      <c r="R1357" s="792"/>
      <c r="S1357" s="788"/>
      <c r="T1357" s="793">
        <v>44026</v>
      </c>
      <c r="U1357" s="494"/>
      <c r="V1357" s="482"/>
      <c r="W1357" s="486"/>
    </row>
    <row r="1358" spans="1:23" ht="14.25" customHeight="1">
      <c r="A1358" s="487" t="s">
        <v>36</v>
      </c>
      <c r="B1358" s="514" t="s">
        <v>174</v>
      </c>
      <c r="C1358" s="452" t="s">
        <v>3254</v>
      </c>
      <c r="D1358" s="485"/>
      <c r="E1358" s="482"/>
      <c r="F1358" s="482"/>
      <c r="G1358" s="482"/>
      <c r="H1358" s="482"/>
      <c r="I1358" s="482"/>
      <c r="J1358" s="659" t="s">
        <v>794</v>
      </c>
      <c r="K1358" s="659" t="s">
        <v>794</v>
      </c>
      <c r="L1358" s="659" t="s">
        <v>794</v>
      </c>
      <c r="M1358" s="482"/>
      <c r="N1358" s="482"/>
      <c r="O1358" s="482"/>
      <c r="P1358" s="482"/>
      <c r="Q1358" s="791" t="s">
        <v>3293</v>
      </c>
      <c r="R1358" s="792"/>
      <c r="S1358" s="788"/>
      <c r="T1358" s="793">
        <v>44026</v>
      </c>
      <c r="U1358" s="494"/>
      <c r="V1358" s="482"/>
      <c r="W1358" s="486"/>
    </row>
    <row r="1359" spans="1:23" ht="14.25" customHeight="1">
      <c r="A1359" s="487" t="s">
        <v>36</v>
      </c>
      <c r="B1359" s="514" t="s">
        <v>174</v>
      </c>
      <c r="C1359" s="452" t="s">
        <v>3255</v>
      </c>
      <c r="D1359" s="485"/>
      <c r="E1359" s="482"/>
      <c r="F1359" s="482"/>
      <c r="G1359" s="482"/>
      <c r="H1359" s="482"/>
      <c r="I1359" s="482"/>
      <c r="J1359" s="659" t="s">
        <v>794</v>
      </c>
      <c r="K1359" s="659" t="s">
        <v>794</v>
      </c>
      <c r="L1359" s="659" t="s">
        <v>794</v>
      </c>
      <c r="M1359" s="482"/>
      <c r="N1359" s="482"/>
      <c r="O1359" s="482"/>
      <c r="P1359" s="482"/>
      <c r="Q1359" s="791" t="s">
        <v>3293</v>
      </c>
      <c r="R1359" s="792"/>
      <c r="S1359" s="788"/>
      <c r="T1359" s="793">
        <v>44026</v>
      </c>
      <c r="U1359" s="494"/>
      <c r="V1359" s="482"/>
      <c r="W1359" s="486"/>
    </row>
    <row r="1360" spans="1:23" ht="14.25" customHeight="1">
      <c r="A1360" s="487" t="s">
        <v>36</v>
      </c>
      <c r="B1360" s="514" t="s">
        <v>174</v>
      </c>
      <c r="C1360" s="452" t="s">
        <v>3256</v>
      </c>
      <c r="D1360" s="485"/>
      <c r="E1360" s="482"/>
      <c r="F1360" s="482"/>
      <c r="G1360" s="482"/>
      <c r="H1360" s="482"/>
      <c r="I1360" s="482"/>
      <c r="J1360" s="659" t="s">
        <v>794</v>
      </c>
      <c r="K1360" s="659" t="s">
        <v>794</v>
      </c>
      <c r="L1360" s="659" t="s">
        <v>794</v>
      </c>
      <c r="M1360" s="482"/>
      <c r="N1360" s="482"/>
      <c r="O1360" s="482"/>
      <c r="P1360" s="482"/>
      <c r="Q1360" s="791" t="s">
        <v>3293</v>
      </c>
      <c r="R1360" s="792"/>
      <c r="S1360" s="788"/>
      <c r="T1360" s="793">
        <v>44026</v>
      </c>
      <c r="U1360" s="494"/>
      <c r="V1360" s="482"/>
      <c r="W1360" s="486"/>
    </row>
    <row r="1361" spans="1:23" ht="14.25" customHeight="1">
      <c r="A1361" s="487" t="s">
        <v>36</v>
      </c>
      <c r="B1361" s="514" t="s">
        <v>174</v>
      </c>
      <c r="C1361" s="452" t="s">
        <v>3257</v>
      </c>
      <c r="D1361" s="485"/>
      <c r="E1361" s="482"/>
      <c r="F1361" s="482"/>
      <c r="G1361" s="482"/>
      <c r="H1361" s="482"/>
      <c r="I1361" s="482"/>
      <c r="J1361" s="659" t="s">
        <v>794</v>
      </c>
      <c r="K1361" s="659" t="s">
        <v>794</v>
      </c>
      <c r="L1361" s="659" t="s">
        <v>794</v>
      </c>
      <c r="M1361" s="482"/>
      <c r="N1361" s="482"/>
      <c r="O1361" s="482"/>
      <c r="P1361" s="482"/>
      <c r="Q1361" s="791" t="s">
        <v>3293</v>
      </c>
      <c r="R1361" s="792"/>
      <c r="S1361" s="788"/>
      <c r="T1361" s="793">
        <v>44026</v>
      </c>
      <c r="U1361" s="494"/>
      <c r="V1361" s="482"/>
      <c r="W1361" s="486"/>
    </row>
    <row r="1362" spans="1:23" ht="14.25" customHeight="1">
      <c r="A1362" s="487" t="s">
        <v>36</v>
      </c>
      <c r="B1362" s="514" t="s">
        <v>174</v>
      </c>
      <c r="C1362" s="452" t="s">
        <v>3258</v>
      </c>
      <c r="D1362" s="485"/>
      <c r="E1362" s="482"/>
      <c r="F1362" s="482"/>
      <c r="G1362" s="482"/>
      <c r="H1362" s="482"/>
      <c r="I1362" s="482"/>
      <c r="J1362" s="659" t="s">
        <v>794</v>
      </c>
      <c r="K1362" s="659" t="s">
        <v>794</v>
      </c>
      <c r="L1362" s="659" t="s">
        <v>794</v>
      </c>
      <c r="M1362" s="482"/>
      <c r="N1362" s="482"/>
      <c r="O1362" s="482"/>
      <c r="P1362" s="482"/>
      <c r="Q1362" s="791" t="s">
        <v>3293</v>
      </c>
      <c r="R1362" s="792"/>
      <c r="S1362" s="788"/>
      <c r="T1362" s="793">
        <v>44026</v>
      </c>
      <c r="U1362" s="494"/>
      <c r="V1362" s="482"/>
      <c r="W1362" s="486"/>
    </row>
    <row r="1363" spans="1:23" ht="14.25" customHeight="1">
      <c r="A1363" s="487" t="s">
        <v>36</v>
      </c>
      <c r="B1363" s="514" t="s">
        <v>174</v>
      </c>
      <c r="C1363" s="452" t="s">
        <v>3259</v>
      </c>
      <c r="D1363" s="485"/>
      <c r="E1363" s="482"/>
      <c r="F1363" s="482"/>
      <c r="G1363" s="482"/>
      <c r="H1363" s="482"/>
      <c r="I1363" s="482"/>
      <c r="J1363" s="659" t="s">
        <v>794</v>
      </c>
      <c r="K1363" s="659" t="s">
        <v>794</v>
      </c>
      <c r="L1363" s="659" t="s">
        <v>794</v>
      </c>
      <c r="M1363" s="482"/>
      <c r="N1363" s="482"/>
      <c r="O1363" s="482"/>
      <c r="P1363" s="482"/>
      <c r="Q1363" s="791" t="s">
        <v>3293</v>
      </c>
      <c r="R1363" s="792"/>
      <c r="S1363" s="788"/>
      <c r="T1363" s="793">
        <v>44026</v>
      </c>
      <c r="U1363" s="494"/>
      <c r="V1363" s="482"/>
      <c r="W1363" s="486"/>
    </row>
    <row r="1364" spans="1:23" ht="14.25" customHeight="1">
      <c r="A1364" s="487" t="s">
        <v>36</v>
      </c>
      <c r="B1364" s="514" t="s">
        <v>174</v>
      </c>
      <c r="C1364" s="452" t="s">
        <v>3260</v>
      </c>
      <c r="D1364" s="485"/>
      <c r="E1364" s="482"/>
      <c r="F1364" s="482"/>
      <c r="G1364" s="482"/>
      <c r="H1364" s="482"/>
      <c r="I1364" s="482"/>
      <c r="J1364" s="659" t="s">
        <v>794</v>
      </c>
      <c r="K1364" s="659" t="s">
        <v>794</v>
      </c>
      <c r="L1364" s="659" t="s">
        <v>794</v>
      </c>
      <c r="M1364" s="482"/>
      <c r="N1364" s="482"/>
      <c r="O1364" s="482"/>
      <c r="P1364" s="482"/>
      <c r="Q1364" s="791" t="s">
        <v>3293</v>
      </c>
      <c r="R1364" s="792"/>
      <c r="S1364" s="788"/>
      <c r="T1364" s="793">
        <v>44026</v>
      </c>
      <c r="U1364" s="494"/>
      <c r="V1364" s="482"/>
      <c r="W1364" s="486"/>
    </row>
    <row r="1365" spans="1:23" ht="14.25" customHeight="1">
      <c r="A1365" s="835" t="s">
        <v>698</v>
      </c>
      <c r="B1365" s="836" t="s">
        <v>717</v>
      </c>
      <c r="C1365" s="837" t="s">
        <v>3262</v>
      </c>
      <c r="D1365" s="485"/>
      <c r="E1365" s="838"/>
      <c r="F1365" s="838"/>
      <c r="G1365" s="838"/>
      <c r="H1365" s="838"/>
      <c r="I1365" s="838"/>
      <c r="J1365" s="659" t="s">
        <v>794</v>
      </c>
      <c r="K1365" s="659" t="s">
        <v>794</v>
      </c>
      <c r="L1365" s="659" t="s">
        <v>794</v>
      </c>
      <c r="M1365" s="838"/>
      <c r="N1365" s="838"/>
      <c r="O1365" s="838"/>
      <c r="P1365" s="838"/>
      <c r="Q1365" s="791" t="s">
        <v>3293</v>
      </c>
      <c r="R1365" s="792"/>
      <c r="S1365" s="788"/>
      <c r="T1365" s="793">
        <v>44026</v>
      </c>
      <c r="U1365" s="839"/>
      <c r="V1365" s="838"/>
      <c r="W1365" s="486"/>
    </row>
    <row r="1366" spans="1:23" ht="14.25" customHeight="1">
      <c r="A1366" s="835" t="s">
        <v>698</v>
      </c>
      <c r="B1366" s="836" t="s">
        <v>717</v>
      </c>
      <c r="C1366" s="837" t="s">
        <v>3263</v>
      </c>
      <c r="D1366" s="485"/>
      <c r="E1366" s="838"/>
      <c r="F1366" s="838"/>
      <c r="G1366" s="838"/>
      <c r="H1366" s="838"/>
      <c r="I1366" s="838"/>
      <c r="J1366" s="659" t="s">
        <v>794</v>
      </c>
      <c r="K1366" s="659" t="s">
        <v>794</v>
      </c>
      <c r="L1366" s="659" t="s">
        <v>794</v>
      </c>
      <c r="M1366" s="838"/>
      <c r="N1366" s="838"/>
      <c r="O1366" s="838"/>
      <c r="P1366" s="838"/>
      <c r="Q1366" s="791" t="s">
        <v>3293</v>
      </c>
      <c r="R1366" s="792"/>
      <c r="S1366" s="788"/>
      <c r="T1366" s="793">
        <v>44026</v>
      </c>
      <c r="U1366" s="839"/>
      <c r="V1366" s="838"/>
      <c r="W1366" s="486"/>
    </row>
    <row r="1367" spans="1:23" ht="14.25" customHeight="1">
      <c r="A1367" s="835" t="s">
        <v>698</v>
      </c>
      <c r="B1367" s="836" t="s">
        <v>717</v>
      </c>
      <c r="C1367" s="837" t="s">
        <v>3264</v>
      </c>
      <c r="D1367" s="485"/>
      <c r="E1367" s="838"/>
      <c r="F1367" s="838"/>
      <c r="G1367" s="838"/>
      <c r="H1367" s="838"/>
      <c r="I1367" s="838"/>
      <c r="J1367" s="659" t="s">
        <v>794</v>
      </c>
      <c r="K1367" s="659" t="s">
        <v>794</v>
      </c>
      <c r="L1367" s="659" t="s">
        <v>794</v>
      </c>
      <c r="M1367" s="838"/>
      <c r="N1367" s="838"/>
      <c r="O1367" s="838"/>
      <c r="P1367" s="838"/>
      <c r="Q1367" s="791" t="s">
        <v>3293</v>
      </c>
      <c r="R1367" s="792"/>
      <c r="S1367" s="788"/>
      <c r="T1367" s="793">
        <v>44026</v>
      </c>
      <c r="U1367" s="839"/>
      <c r="V1367" s="838"/>
      <c r="W1367" s="486"/>
    </row>
    <row r="1368" spans="1:23" ht="14.25" customHeight="1">
      <c r="A1368" s="835" t="s">
        <v>698</v>
      </c>
      <c r="B1368" s="836" t="s">
        <v>1253</v>
      </c>
      <c r="C1368" s="837" t="s">
        <v>3265</v>
      </c>
      <c r="D1368" s="485"/>
      <c r="E1368" s="838"/>
      <c r="F1368" s="838"/>
      <c r="G1368" s="838"/>
      <c r="H1368" s="838"/>
      <c r="I1368" s="838"/>
      <c r="J1368" s="659" t="s">
        <v>794</v>
      </c>
      <c r="K1368" s="659" t="s">
        <v>794</v>
      </c>
      <c r="L1368" s="659" t="s">
        <v>794</v>
      </c>
      <c r="M1368" s="838"/>
      <c r="N1368" s="838"/>
      <c r="O1368" s="838"/>
      <c r="P1368" s="838"/>
      <c r="Q1368" s="791" t="s">
        <v>3293</v>
      </c>
      <c r="R1368" s="792"/>
      <c r="S1368" s="788"/>
      <c r="T1368" s="793">
        <v>44026</v>
      </c>
      <c r="U1368" s="839"/>
      <c r="V1368" s="838"/>
      <c r="W1368" s="486"/>
    </row>
    <row r="1369" spans="1:23" ht="14.25" customHeight="1">
      <c r="A1369" s="835" t="s">
        <v>698</v>
      </c>
      <c r="B1369" s="836" t="s">
        <v>1253</v>
      </c>
      <c r="C1369" s="837" t="s">
        <v>3266</v>
      </c>
      <c r="D1369" s="485"/>
      <c r="E1369" s="838"/>
      <c r="F1369" s="838"/>
      <c r="G1369" s="838"/>
      <c r="H1369" s="838"/>
      <c r="I1369" s="838"/>
      <c r="J1369" s="659" t="s">
        <v>794</v>
      </c>
      <c r="K1369" s="659" t="s">
        <v>794</v>
      </c>
      <c r="L1369" s="659" t="s">
        <v>794</v>
      </c>
      <c r="M1369" s="838"/>
      <c r="N1369" s="838"/>
      <c r="O1369" s="838"/>
      <c r="P1369" s="838"/>
      <c r="Q1369" s="791" t="s">
        <v>3293</v>
      </c>
      <c r="R1369" s="792"/>
      <c r="S1369" s="788"/>
      <c r="T1369" s="793">
        <v>44026</v>
      </c>
      <c r="U1369" s="839"/>
      <c r="V1369" s="838"/>
      <c r="W1369" s="486"/>
    </row>
    <row r="1370" spans="1:23" ht="14.25" customHeight="1">
      <c r="A1370" s="835" t="s">
        <v>698</v>
      </c>
      <c r="B1370" s="836" t="s">
        <v>1253</v>
      </c>
      <c r="C1370" s="837" t="s">
        <v>3267</v>
      </c>
      <c r="D1370" s="485"/>
      <c r="E1370" s="838"/>
      <c r="F1370" s="838"/>
      <c r="G1370" s="838"/>
      <c r="H1370" s="838"/>
      <c r="I1370" s="838"/>
      <c r="J1370" s="659" t="s">
        <v>794</v>
      </c>
      <c r="K1370" s="659" t="s">
        <v>794</v>
      </c>
      <c r="L1370" s="659" t="s">
        <v>794</v>
      </c>
      <c r="M1370" s="838"/>
      <c r="N1370" s="838"/>
      <c r="O1370" s="838"/>
      <c r="P1370" s="838"/>
      <c r="Q1370" s="791" t="s">
        <v>3293</v>
      </c>
      <c r="R1370" s="792"/>
      <c r="S1370" s="788"/>
      <c r="T1370" s="793">
        <v>44026</v>
      </c>
      <c r="U1370" s="839"/>
      <c r="V1370" s="838"/>
      <c r="W1370" s="486"/>
    </row>
    <row r="1371" spans="1:23" ht="14.25" customHeight="1">
      <c r="A1371" s="835" t="s">
        <v>698</v>
      </c>
      <c r="B1371" s="836" t="s">
        <v>1253</v>
      </c>
      <c r="C1371" s="837" t="s">
        <v>3268</v>
      </c>
      <c r="D1371" s="485"/>
      <c r="E1371" s="838"/>
      <c r="F1371" s="838"/>
      <c r="G1371" s="838"/>
      <c r="H1371" s="838"/>
      <c r="I1371" s="838"/>
      <c r="J1371" s="659" t="s">
        <v>794</v>
      </c>
      <c r="K1371" s="659" t="s">
        <v>794</v>
      </c>
      <c r="L1371" s="659" t="s">
        <v>794</v>
      </c>
      <c r="M1371" s="838"/>
      <c r="N1371" s="838"/>
      <c r="O1371" s="838"/>
      <c r="P1371" s="838"/>
      <c r="Q1371" s="791" t="s">
        <v>3293</v>
      </c>
      <c r="R1371" s="792"/>
      <c r="S1371" s="788"/>
      <c r="T1371" s="793">
        <v>44026</v>
      </c>
      <c r="U1371" s="839"/>
      <c r="V1371" s="838"/>
      <c r="W1371" s="486"/>
    </row>
    <row r="1372" spans="1:23" ht="14.25" customHeight="1">
      <c r="A1372" s="835" t="s">
        <v>698</v>
      </c>
      <c r="B1372" s="836" t="s">
        <v>1253</v>
      </c>
      <c r="C1372" s="837" t="s">
        <v>3269</v>
      </c>
      <c r="D1372" s="485"/>
      <c r="E1372" s="838"/>
      <c r="F1372" s="838"/>
      <c r="G1372" s="838"/>
      <c r="H1372" s="838"/>
      <c r="I1372" s="838"/>
      <c r="J1372" s="659" t="s">
        <v>794</v>
      </c>
      <c r="K1372" s="659" t="s">
        <v>794</v>
      </c>
      <c r="L1372" s="659" t="s">
        <v>794</v>
      </c>
      <c r="M1372" s="838"/>
      <c r="N1372" s="838"/>
      <c r="O1372" s="838"/>
      <c r="P1372" s="838"/>
      <c r="Q1372" s="791" t="s">
        <v>3293</v>
      </c>
      <c r="R1372" s="792"/>
      <c r="S1372" s="788"/>
      <c r="T1372" s="793">
        <v>44026</v>
      </c>
      <c r="U1372" s="839"/>
      <c r="V1372" s="838"/>
      <c r="W1372" s="486"/>
    </row>
    <row r="1373" spans="1:23" ht="14.25" customHeight="1">
      <c r="A1373" s="835" t="s">
        <v>698</v>
      </c>
      <c r="B1373" s="836" t="s">
        <v>1253</v>
      </c>
      <c r="C1373" s="837" t="s">
        <v>3270</v>
      </c>
      <c r="D1373" s="485"/>
      <c r="E1373" s="838"/>
      <c r="F1373" s="838"/>
      <c r="G1373" s="838"/>
      <c r="H1373" s="838"/>
      <c r="I1373" s="838"/>
      <c r="J1373" s="659" t="s">
        <v>794</v>
      </c>
      <c r="K1373" s="659" t="s">
        <v>794</v>
      </c>
      <c r="L1373" s="659" t="s">
        <v>794</v>
      </c>
      <c r="M1373" s="838"/>
      <c r="N1373" s="838"/>
      <c r="O1373" s="838"/>
      <c r="P1373" s="838"/>
      <c r="Q1373" s="791" t="s">
        <v>3293</v>
      </c>
      <c r="R1373" s="792"/>
      <c r="S1373" s="788"/>
      <c r="T1373" s="793">
        <v>44026</v>
      </c>
      <c r="U1373" s="839"/>
      <c r="V1373" s="838"/>
      <c r="W1373" s="486"/>
    </row>
  </sheetData>
  <conditionalFormatting sqref="V226">
    <cfRule type="duplicateValues" dxfId="535" priority="35"/>
  </conditionalFormatting>
  <conditionalFormatting sqref="V951">
    <cfRule type="duplicateValues" dxfId="534" priority="34"/>
  </conditionalFormatting>
  <conditionalFormatting sqref="V996">
    <cfRule type="duplicateValues" dxfId="533" priority="33"/>
  </conditionalFormatting>
  <conditionalFormatting sqref="V1120">
    <cfRule type="duplicateValues" dxfId="532" priority="32"/>
  </conditionalFormatting>
  <conditionalFormatting sqref="C844">
    <cfRule type="duplicateValues" dxfId="531" priority="30"/>
  </conditionalFormatting>
  <conditionalFormatting sqref="E844">
    <cfRule type="duplicateValues" dxfId="530" priority="31"/>
  </conditionalFormatting>
  <conditionalFormatting sqref="C851">
    <cfRule type="duplicateValues" dxfId="529" priority="28"/>
  </conditionalFormatting>
  <conditionalFormatting sqref="E851">
    <cfRule type="duplicateValues" dxfId="528" priority="29"/>
  </conditionalFormatting>
  <conditionalFormatting sqref="C845">
    <cfRule type="duplicateValues" dxfId="527" priority="26"/>
  </conditionalFormatting>
  <conditionalFormatting sqref="E845">
    <cfRule type="duplicateValues" dxfId="526" priority="27"/>
  </conditionalFormatting>
  <conditionalFormatting sqref="C846">
    <cfRule type="duplicateValues" dxfId="525" priority="24"/>
  </conditionalFormatting>
  <conditionalFormatting sqref="E846">
    <cfRule type="duplicateValues" dxfId="524" priority="25"/>
  </conditionalFormatting>
  <conditionalFormatting sqref="C874">
    <cfRule type="duplicateValues" dxfId="523" priority="22"/>
  </conditionalFormatting>
  <conditionalFormatting sqref="E874">
    <cfRule type="duplicateValues" dxfId="522" priority="23"/>
  </conditionalFormatting>
  <conditionalFormatting sqref="C876">
    <cfRule type="duplicateValues" dxfId="521" priority="20"/>
  </conditionalFormatting>
  <conditionalFormatting sqref="E876">
    <cfRule type="duplicateValues" dxfId="520" priority="21"/>
  </conditionalFormatting>
  <conditionalFormatting sqref="C877">
    <cfRule type="duplicateValues" dxfId="519" priority="18"/>
  </conditionalFormatting>
  <conditionalFormatting sqref="E877">
    <cfRule type="duplicateValues" dxfId="518" priority="19"/>
  </conditionalFormatting>
  <conditionalFormatting sqref="C688">
    <cfRule type="duplicateValues" dxfId="517" priority="16"/>
  </conditionalFormatting>
  <conditionalFormatting sqref="E688">
    <cfRule type="duplicateValues" dxfId="516" priority="17"/>
  </conditionalFormatting>
  <conditionalFormatting sqref="C685">
    <cfRule type="duplicateValues" dxfId="515" priority="14"/>
  </conditionalFormatting>
  <conditionalFormatting sqref="E685">
    <cfRule type="duplicateValues" dxfId="514" priority="15"/>
  </conditionalFormatting>
  <conditionalFormatting sqref="C686">
    <cfRule type="duplicateValues" dxfId="513" priority="12"/>
  </conditionalFormatting>
  <conditionalFormatting sqref="E686">
    <cfRule type="duplicateValues" dxfId="512" priority="13"/>
  </conditionalFormatting>
  <conditionalFormatting sqref="C687">
    <cfRule type="duplicateValues" dxfId="511" priority="10"/>
  </conditionalFormatting>
  <conditionalFormatting sqref="E687">
    <cfRule type="duplicateValues" dxfId="510" priority="11"/>
  </conditionalFormatting>
  <conditionalFormatting sqref="C722">
    <cfRule type="duplicateValues" dxfId="509" priority="8"/>
  </conditionalFormatting>
  <conditionalFormatting sqref="E722">
    <cfRule type="duplicateValues" dxfId="508" priority="9"/>
  </conditionalFormatting>
  <conditionalFormatting sqref="C737">
    <cfRule type="duplicateValues" dxfId="507" priority="6"/>
  </conditionalFormatting>
  <conditionalFormatting sqref="E737">
    <cfRule type="duplicateValues" dxfId="506" priority="7"/>
  </conditionalFormatting>
  <conditionalFormatting sqref="C738">
    <cfRule type="duplicateValues" dxfId="505" priority="4"/>
  </conditionalFormatting>
  <conditionalFormatting sqref="E738">
    <cfRule type="duplicateValues" dxfId="504" priority="5"/>
  </conditionalFormatting>
  <conditionalFormatting sqref="C798">
    <cfRule type="duplicateValues" dxfId="503" priority="2"/>
  </conditionalFormatting>
  <conditionalFormatting sqref="E1152">
    <cfRule type="duplicateValues" dxfId="502" priority="3"/>
  </conditionalFormatting>
  <conditionalFormatting sqref="C847:C850 C3:C684 C852:C873 C875 C878:C1144 C689:C721 C723:C736 C739:C797 C799:C843">
    <cfRule type="duplicateValues" dxfId="501" priority="12243"/>
  </conditionalFormatting>
  <conditionalFormatting sqref="E847:E850 E3:E684 E852:E873 E875 E878:E1144 E689:E721 E723:E736 E739:E797 E799:E843">
    <cfRule type="duplicateValues" dxfId="500" priority="12253"/>
  </conditionalFormatting>
  <conditionalFormatting sqref="C3:C1373">
    <cfRule type="duplicateValues" dxfId="499" priority="12541"/>
  </conditionalFormatting>
  <dataValidations count="1">
    <dataValidation type="list" allowBlank="1" showInputMessage="1" showErrorMessage="1" sqref="C774" xr:uid="{00000000-0002-0000-0300-000001000000}">
      <formula1>OFFSET(Township_start,MATCH(B774,Township_list, 0),1, COUNTIF(Township_list,B774),1)</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4BE1491-950D-4CE8-81F6-C21A5305EBD5}">
          <x14:formula1>
            <xm:f>'C:\Users\mthaw\Mee Mee\2. Information Management\C_Camp Info\2. CCCM Camp list\Kachin\2019\[shelter-nfi-cccm_kachin_northern_shan_cluster_analysis_report_march_2019.xlsx]Definition'!#REF!</xm:f>
          </x14:formula1>
          <xm:sqref>L530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0DCB-08BE-47BB-8F9F-0197E6D565FD}">
  <sheetPr>
    <tabColor rgb="FF92D050"/>
  </sheetPr>
  <dimension ref="A1:G47"/>
  <sheetViews>
    <sheetView zoomScale="110" zoomScaleNormal="110" zoomScaleSheetLayoutView="50" workbookViewId="0">
      <pane xSplit="2" ySplit="2" topLeftCell="C6" activePane="bottomRight" state="frozen"/>
      <selection activeCell="F61" sqref="F61"/>
      <selection pane="topRight" activeCell="F61" sqref="F61"/>
      <selection pane="bottomLeft" activeCell="F61" sqref="F61"/>
      <selection pane="bottomRight" activeCell="C33" sqref="C33"/>
    </sheetView>
  </sheetViews>
  <sheetFormatPr defaultColWidth="8" defaultRowHeight="45" customHeight="1"/>
  <cols>
    <col min="1" max="1" width="7.59765625" style="685" bestFit="1" customWidth="1"/>
    <col min="2" max="2" width="7.59765625" style="272" bestFit="1" customWidth="1"/>
    <col min="3" max="3" width="42.69921875" style="294" bestFit="1" customWidth="1"/>
    <col min="4" max="5" width="11.59765625" style="294" customWidth="1"/>
    <col min="6" max="6" width="61.5" style="294" bestFit="1" customWidth="1"/>
    <col min="7" max="7" width="57.19921875" style="537" bestFit="1" customWidth="1"/>
    <col min="8" max="16379" width="8" style="271"/>
    <col min="16380" max="16384" width="21.19921875" style="271" customWidth="1"/>
  </cols>
  <sheetData>
    <row r="1" spans="1:7" ht="45" customHeight="1">
      <c r="A1" s="683"/>
      <c r="B1" s="879"/>
      <c r="C1" s="879"/>
      <c r="D1" s="879"/>
      <c r="E1" s="879"/>
      <c r="F1" s="879"/>
    </row>
    <row r="2" spans="1:7" s="275" customFormat="1" ht="45" customHeight="1">
      <c r="A2" s="684"/>
      <c r="B2" s="273" t="s">
        <v>45</v>
      </c>
      <c r="C2" s="274" t="s">
        <v>2289</v>
      </c>
      <c r="D2" s="274" t="s">
        <v>2290</v>
      </c>
      <c r="E2" s="274" t="s">
        <v>2823</v>
      </c>
      <c r="F2" s="274" t="s">
        <v>46</v>
      </c>
      <c r="G2" s="186" t="s">
        <v>2358</v>
      </c>
    </row>
    <row r="3" spans="1:7" ht="45" customHeight="1">
      <c r="A3" s="883" t="s">
        <v>3131</v>
      </c>
      <c r="B3" s="276" t="s">
        <v>0</v>
      </c>
      <c r="C3" s="277" t="s">
        <v>2293</v>
      </c>
      <c r="D3" s="277" t="s">
        <v>14</v>
      </c>
      <c r="E3" s="277"/>
      <c r="F3" s="278"/>
      <c r="G3" s="538"/>
    </row>
    <row r="4" spans="1:7" ht="62.7" customHeight="1">
      <c r="A4" s="884"/>
      <c r="B4" s="276" t="s">
        <v>1</v>
      </c>
      <c r="C4" s="277" t="s">
        <v>2295</v>
      </c>
      <c r="D4" s="277" t="s">
        <v>14</v>
      </c>
      <c r="E4" s="277"/>
      <c r="F4" s="278" t="s">
        <v>2296</v>
      </c>
      <c r="G4" s="538"/>
    </row>
    <row r="5" spans="1:7" ht="45" customHeight="1">
      <c r="A5" s="884"/>
      <c r="B5" s="276" t="s">
        <v>2</v>
      </c>
      <c r="C5" s="277" t="s">
        <v>2297</v>
      </c>
      <c r="D5" s="277" t="s">
        <v>14</v>
      </c>
      <c r="E5" s="277"/>
      <c r="F5" s="278" t="s">
        <v>2298</v>
      </c>
      <c r="G5" s="538"/>
    </row>
    <row r="6" spans="1:7" ht="45" customHeight="1">
      <c r="A6" s="884"/>
      <c r="B6" s="276" t="s">
        <v>3</v>
      </c>
      <c r="C6" s="277" t="s">
        <v>2299</v>
      </c>
      <c r="D6" s="277" t="s">
        <v>16</v>
      </c>
      <c r="E6" s="277"/>
      <c r="F6" s="278" t="s">
        <v>2442</v>
      </c>
      <c r="G6" s="538"/>
    </row>
    <row r="7" spans="1:7" ht="45" customHeight="1">
      <c r="A7" s="884"/>
      <c r="B7" s="276" t="s">
        <v>4</v>
      </c>
      <c r="C7" s="277" t="s">
        <v>19</v>
      </c>
      <c r="D7" s="277" t="s">
        <v>14</v>
      </c>
      <c r="E7" s="277"/>
      <c r="F7" s="278" t="s">
        <v>2300</v>
      </c>
      <c r="G7" s="538"/>
    </row>
    <row r="8" spans="1:7" ht="45" customHeight="1">
      <c r="A8" s="884"/>
      <c r="B8" s="276" t="s">
        <v>1150</v>
      </c>
      <c r="C8" s="277" t="s">
        <v>20</v>
      </c>
      <c r="D8" s="277" t="s">
        <v>14</v>
      </c>
      <c r="E8" s="277"/>
      <c r="F8" s="278" t="s">
        <v>2300</v>
      </c>
      <c r="G8" s="538"/>
    </row>
    <row r="9" spans="1:7" ht="45" customHeight="1">
      <c r="A9" s="884"/>
      <c r="B9" s="276" t="s">
        <v>5</v>
      </c>
      <c r="C9" s="277" t="s">
        <v>2301</v>
      </c>
      <c r="D9" s="277" t="s">
        <v>2436</v>
      </c>
      <c r="E9" s="277"/>
      <c r="F9" s="278" t="s">
        <v>2302</v>
      </c>
      <c r="G9" s="538"/>
    </row>
    <row r="10" spans="1:7" ht="14.4">
      <c r="A10" s="884"/>
      <c r="B10" s="276" t="s">
        <v>6</v>
      </c>
      <c r="C10" s="277" t="s">
        <v>2887</v>
      </c>
      <c r="D10" s="277" t="s">
        <v>14</v>
      </c>
      <c r="E10" s="277"/>
      <c r="F10" s="278" t="s">
        <v>2304</v>
      </c>
      <c r="G10" s="538"/>
    </row>
    <row r="11" spans="1:7" ht="14.4">
      <c r="A11" s="884"/>
      <c r="B11" s="276" t="s">
        <v>49</v>
      </c>
      <c r="C11" s="277" t="s">
        <v>22</v>
      </c>
      <c r="D11" s="277" t="s">
        <v>15</v>
      </c>
      <c r="E11" s="277"/>
      <c r="F11" s="278" t="s">
        <v>2350</v>
      </c>
      <c r="G11" s="538"/>
    </row>
    <row r="12" spans="1:7" ht="14.4">
      <c r="A12" s="884"/>
      <c r="B12" s="276" t="s">
        <v>50</v>
      </c>
      <c r="C12" s="277" t="s">
        <v>1892</v>
      </c>
      <c r="D12" s="277" t="s">
        <v>15</v>
      </c>
      <c r="E12" s="277"/>
      <c r="F12" s="278" t="s">
        <v>2350</v>
      </c>
      <c r="G12" s="538"/>
    </row>
    <row r="13" spans="1:7" ht="14.4">
      <c r="A13" s="884"/>
      <c r="B13" s="276" t="s">
        <v>53</v>
      </c>
      <c r="C13" s="277" t="s">
        <v>2305</v>
      </c>
      <c r="D13" s="277" t="s">
        <v>17</v>
      </c>
      <c r="E13" s="277"/>
      <c r="F13" s="278" t="s">
        <v>2306</v>
      </c>
      <c r="G13" s="538"/>
    </row>
    <row r="14" spans="1:7" ht="14.4">
      <c r="A14" s="884"/>
      <c r="B14" s="276" t="s">
        <v>55</v>
      </c>
      <c r="C14" s="277" t="s">
        <v>2307</v>
      </c>
      <c r="D14" s="277" t="s">
        <v>17</v>
      </c>
      <c r="E14" s="277"/>
      <c r="F14" s="278" t="s">
        <v>2308</v>
      </c>
      <c r="G14" s="538"/>
    </row>
    <row r="15" spans="1:7" ht="14.4">
      <c r="A15" s="884"/>
      <c r="B15" s="276" t="s">
        <v>57</v>
      </c>
      <c r="C15" s="277" t="s">
        <v>2888</v>
      </c>
      <c r="D15" s="277" t="s">
        <v>15</v>
      </c>
      <c r="E15" s="277"/>
      <c r="F15" s="278"/>
      <c r="G15" s="538"/>
    </row>
    <row r="16" spans="1:7" ht="41.4">
      <c r="A16" s="885"/>
      <c r="B16" s="276" t="s">
        <v>110</v>
      </c>
      <c r="C16" s="277" t="s">
        <v>2889</v>
      </c>
      <c r="D16" s="277" t="s">
        <v>15</v>
      </c>
      <c r="E16" s="277"/>
      <c r="F16" s="278" t="s">
        <v>2459</v>
      </c>
      <c r="G16" s="538"/>
    </row>
    <row r="17" spans="1:7" ht="38.25" customHeight="1">
      <c r="A17" s="886" t="s">
        <v>1982</v>
      </c>
      <c r="B17" s="279" t="s">
        <v>111</v>
      </c>
      <c r="C17" s="533" t="s">
        <v>2835</v>
      </c>
      <c r="D17" s="190" t="s">
        <v>15</v>
      </c>
      <c r="E17" s="190" t="s">
        <v>2824</v>
      </c>
      <c r="F17" s="257" t="s">
        <v>2829</v>
      </c>
      <c r="G17" s="880" t="s">
        <v>3141</v>
      </c>
    </row>
    <row r="18" spans="1:7" ht="41.4">
      <c r="A18" s="887"/>
      <c r="B18" s="279" t="s">
        <v>59</v>
      </c>
      <c r="C18" s="533" t="s">
        <v>2834</v>
      </c>
      <c r="D18" s="190" t="s">
        <v>15</v>
      </c>
      <c r="E18" s="190" t="s">
        <v>2824</v>
      </c>
      <c r="F18" s="257" t="s">
        <v>2830</v>
      </c>
      <c r="G18" s="881"/>
    </row>
    <row r="19" spans="1:7" ht="45" customHeight="1">
      <c r="A19" s="887"/>
      <c r="B19" s="279" t="s">
        <v>58</v>
      </c>
      <c r="C19" s="533" t="s">
        <v>2828</v>
      </c>
      <c r="D19" s="190" t="s">
        <v>15</v>
      </c>
      <c r="E19" s="190" t="s">
        <v>2856</v>
      </c>
      <c r="F19" s="257" t="s">
        <v>2831</v>
      </c>
      <c r="G19" s="881"/>
    </row>
    <row r="20" spans="1:7" ht="45" customHeight="1">
      <c r="A20" s="887"/>
      <c r="B20" s="279" t="s">
        <v>60</v>
      </c>
      <c r="C20" s="533" t="s">
        <v>2991</v>
      </c>
      <c r="D20" s="190" t="s">
        <v>2992</v>
      </c>
      <c r="E20" s="190" t="s">
        <v>2824</v>
      </c>
      <c r="F20" s="257"/>
      <c r="G20" s="881"/>
    </row>
    <row r="21" spans="1:7" ht="38.25" customHeight="1">
      <c r="A21" s="887"/>
      <c r="B21" s="279" t="s">
        <v>1151</v>
      </c>
      <c r="C21" s="533" t="s">
        <v>2833</v>
      </c>
      <c r="D21" s="190" t="s">
        <v>15</v>
      </c>
      <c r="E21" s="190" t="s">
        <v>2824</v>
      </c>
      <c r="F21" s="257" t="s">
        <v>2890</v>
      </c>
      <c r="G21" s="881"/>
    </row>
    <row r="22" spans="1:7" ht="38.25" customHeight="1">
      <c r="A22" s="887"/>
      <c r="B22" s="279" t="s">
        <v>62</v>
      </c>
      <c r="C22" s="190" t="s">
        <v>2838</v>
      </c>
      <c r="D22" s="190" t="s">
        <v>15</v>
      </c>
      <c r="E22" s="190" t="s">
        <v>2824</v>
      </c>
      <c r="F22" s="257" t="s">
        <v>2832</v>
      </c>
      <c r="G22" s="881"/>
    </row>
    <row r="23" spans="1:7" ht="45" customHeight="1">
      <c r="A23" s="888"/>
      <c r="B23" s="279" t="s">
        <v>63</v>
      </c>
      <c r="C23" s="256" t="s">
        <v>2825</v>
      </c>
      <c r="D23" s="190" t="s">
        <v>16</v>
      </c>
      <c r="E23" s="190"/>
      <c r="F23" s="257"/>
      <c r="G23" s="882"/>
    </row>
    <row r="24" spans="1:7" ht="51" customHeight="1">
      <c r="A24" s="889" t="s">
        <v>1983</v>
      </c>
      <c r="B24" s="283" t="s">
        <v>64</v>
      </c>
      <c r="C24" s="202" t="s">
        <v>2837</v>
      </c>
      <c r="D24" s="202" t="s">
        <v>15</v>
      </c>
      <c r="E24" s="202" t="s">
        <v>2824</v>
      </c>
      <c r="F24" s="284"/>
      <c r="G24" s="691" t="s">
        <v>3142</v>
      </c>
    </row>
    <row r="25" spans="1:7" ht="27.6">
      <c r="A25" s="890"/>
      <c r="B25" s="283" t="s">
        <v>65</v>
      </c>
      <c r="C25" s="202" t="s">
        <v>2836</v>
      </c>
      <c r="D25" s="202" t="s">
        <v>2310</v>
      </c>
      <c r="E25" s="202" t="s">
        <v>2824</v>
      </c>
      <c r="F25" s="284"/>
      <c r="G25" s="538"/>
    </row>
    <row r="26" spans="1:7" ht="41.4">
      <c r="A26" s="890"/>
      <c r="B26" s="283" t="s">
        <v>1152</v>
      </c>
      <c r="C26" s="202" t="s">
        <v>2839</v>
      </c>
      <c r="D26" s="202" t="s">
        <v>15</v>
      </c>
      <c r="E26" s="202" t="s">
        <v>2824</v>
      </c>
      <c r="F26" s="284"/>
      <c r="G26" s="691" t="s">
        <v>3142</v>
      </c>
    </row>
    <row r="27" spans="1:7" ht="33" customHeight="1">
      <c r="A27" s="890"/>
      <c r="B27" s="283" t="s">
        <v>66</v>
      </c>
      <c r="C27" s="202" t="s">
        <v>2840</v>
      </c>
      <c r="D27" s="202" t="s">
        <v>15</v>
      </c>
      <c r="E27" s="202" t="s">
        <v>2824</v>
      </c>
      <c r="F27" s="284"/>
      <c r="G27" s="538"/>
    </row>
    <row r="28" spans="1:7" ht="33" customHeight="1">
      <c r="A28" s="890"/>
      <c r="B28" s="283" t="s">
        <v>67</v>
      </c>
      <c r="C28" s="202" t="s">
        <v>2842</v>
      </c>
      <c r="D28" s="202" t="s">
        <v>15</v>
      </c>
      <c r="E28" s="202" t="s">
        <v>2824</v>
      </c>
      <c r="F28" s="284"/>
      <c r="G28" s="691" t="s">
        <v>3142</v>
      </c>
    </row>
    <row r="29" spans="1:7" ht="33" customHeight="1">
      <c r="A29" s="890"/>
      <c r="B29" s="283" t="s">
        <v>68</v>
      </c>
      <c r="C29" s="202" t="s">
        <v>2841</v>
      </c>
      <c r="D29" s="202" t="s">
        <v>15</v>
      </c>
      <c r="E29" s="202" t="s">
        <v>2824</v>
      </c>
      <c r="F29" s="284"/>
      <c r="G29" s="692"/>
    </row>
    <row r="30" spans="1:7" ht="33" customHeight="1">
      <c r="A30" s="890"/>
      <c r="B30" s="283" t="s">
        <v>69</v>
      </c>
      <c r="C30" s="202" t="s">
        <v>2843</v>
      </c>
      <c r="D30" s="202" t="s">
        <v>15</v>
      </c>
      <c r="E30" s="202" t="s">
        <v>2824</v>
      </c>
      <c r="F30" s="284"/>
      <c r="G30" s="691" t="s">
        <v>3142</v>
      </c>
    </row>
    <row r="31" spans="1:7" ht="27.6">
      <c r="A31" s="891"/>
      <c r="B31" s="283" t="s">
        <v>1301</v>
      </c>
      <c r="C31" s="287" t="s">
        <v>2826</v>
      </c>
      <c r="D31" s="287" t="s">
        <v>16</v>
      </c>
      <c r="E31" s="287"/>
      <c r="F31" s="284"/>
      <c r="G31" s="693"/>
    </row>
    <row r="32" spans="1:7" ht="45" customHeight="1">
      <c r="A32" s="892" t="s">
        <v>1984</v>
      </c>
      <c r="B32" s="288" t="s">
        <v>1302</v>
      </c>
      <c r="C32" s="289" t="s">
        <v>2844</v>
      </c>
      <c r="D32" s="289" t="s">
        <v>15</v>
      </c>
      <c r="E32" s="259" t="s">
        <v>2824</v>
      </c>
      <c r="F32" s="291" t="s">
        <v>2891</v>
      </c>
      <c r="G32" s="877" t="s">
        <v>3143</v>
      </c>
    </row>
    <row r="33" spans="1:7" ht="45" customHeight="1">
      <c r="A33" s="893"/>
      <c r="B33" s="288" t="s">
        <v>1303</v>
      </c>
      <c r="C33" s="289" t="s">
        <v>2845</v>
      </c>
      <c r="D33" s="289" t="s">
        <v>15</v>
      </c>
      <c r="E33" s="259" t="s">
        <v>2824</v>
      </c>
      <c r="F33" s="291" t="s">
        <v>2892</v>
      </c>
      <c r="G33" s="878"/>
    </row>
    <row r="34" spans="1:7" ht="45" customHeight="1">
      <c r="A34" s="893"/>
      <c r="B34" s="288" t="s">
        <v>1304</v>
      </c>
      <c r="C34" s="289" t="s">
        <v>2846</v>
      </c>
      <c r="D34" s="289" t="s">
        <v>15</v>
      </c>
      <c r="E34" s="259" t="s">
        <v>2824</v>
      </c>
      <c r="F34" s="291" t="s">
        <v>2893</v>
      </c>
      <c r="G34" s="878"/>
    </row>
    <row r="35" spans="1:7" ht="45" customHeight="1">
      <c r="A35" s="893"/>
      <c r="B35" s="288" t="s">
        <v>1305</v>
      </c>
      <c r="C35" s="289" t="s">
        <v>2847</v>
      </c>
      <c r="D35" s="289" t="s">
        <v>15</v>
      </c>
      <c r="E35" s="259" t="s">
        <v>2824</v>
      </c>
      <c r="F35" s="291" t="s">
        <v>2894</v>
      </c>
      <c r="G35" s="878"/>
    </row>
    <row r="36" spans="1:7" ht="45" customHeight="1">
      <c r="A36" s="893"/>
      <c r="B36" s="288" t="s">
        <v>1306</v>
      </c>
      <c r="C36" s="289" t="s">
        <v>2848</v>
      </c>
      <c r="D36" s="289" t="s">
        <v>15</v>
      </c>
      <c r="E36" s="259" t="s">
        <v>2824</v>
      </c>
      <c r="F36" s="291" t="s">
        <v>2848</v>
      </c>
      <c r="G36" s="878"/>
    </row>
    <row r="37" spans="1:7" ht="45" customHeight="1">
      <c r="A37" s="893"/>
      <c r="B37" s="288" t="s">
        <v>1307</v>
      </c>
      <c r="C37" s="289" t="s">
        <v>2849</v>
      </c>
      <c r="D37" s="289" t="s">
        <v>15</v>
      </c>
      <c r="E37" s="259" t="s">
        <v>2824</v>
      </c>
      <c r="F37" s="291" t="s">
        <v>2849</v>
      </c>
      <c r="G37" s="878"/>
    </row>
    <row r="38" spans="1:7" ht="14.4">
      <c r="A38" s="893"/>
      <c r="B38" s="288" t="s">
        <v>1308</v>
      </c>
      <c r="C38" s="534" t="s">
        <v>2881</v>
      </c>
      <c r="D38" s="289" t="s">
        <v>15</v>
      </c>
      <c r="E38" s="259" t="s">
        <v>2824</v>
      </c>
      <c r="F38" s="291" t="s">
        <v>2850</v>
      </c>
      <c r="G38" s="688"/>
    </row>
    <row r="39" spans="1:7" ht="45" customHeight="1">
      <c r="A39" s="893"/>
      <c r="B39" s="288" t="s">
        <v>1309</v>
      </c>
      <c r="C39" s="289" t="s">
        <v>2851</v>
      </c>
      <c r="D39" s="289" t="s">
        <v>15</v>
      </c>
      <c r="E39" s="259" t="s">
        <v>2824</v>
      </c>
      <c r="F39" s="291" t="s">
        <v>2851</v>
      </c>
      <c r="G39" s="688"/>
    </row>
    <row r="40" spans="1:7" ht="45" customHeight="1">
      <c r="A40" s="893"/>
      <c r="B40" s="288" t="s">
        <v>1310</v>
      </c>
      <c r="C40" s="631" t="s">
        <v>2932</v>
      </c>
      <c r="D40" s="289" t="s">
        <v>15</v>
      </c>
      <c r="E40" s="259" t="s">
        <v>2824</v>
      </c>
      <c r="F40" s="293"/>
      <c r="G40" s="878" t="s">
        <v>3143</v>
      </c>
    </row>
    <row r="41" spans="1:7" ht="45" customHeight="1">
      <c r="A41" s="893"/>
      <c r="B41" s="288" t="s">
        <v>1969</v>
      </c>
      <c r="C41" s="631" t="s">
        <v>2933</v>
      </c>
      <c r="D41" s="289" t="s">
        <v>15</v>
      </c>
      <c r="E41" s="259" t="s">
        <v>2824</v>
      </c>
      <c r="F41" s="293"/>
      <c r="G41" s="878"/>
    </row>
    <row r="42" spans="1:7" ht="45" customHeight="1">
      <c r="A42" s="894"/>
      <c r="B42" s="288" t="s">
        <v>1970</v>
      </c>
      <c r="C42" s="292" t="s">
        <v>2827</v>
      </c>
      <c r="D42" s="292" t="s">
        <v>16</v>
      </c>
      <c r="E42" s="292"/>
      <c r="F42" s="293"/>
      <c r="G42" s="689"/>
    </row>
    <row r="43" spans="1:7" ht="45" customHeight="1">
      <c r="A43" s="872" t="s">
        <v>2938</v>
      </c>
      <c r="B43" s="536" t="s">
        <v>2210</v>
      </c>
      <c r="C43" s="535" t="s">
        <v>2855</v>
      </c>
      <c r="D43" s="535" t="s">
        <v>54</v>
      </c>
      <c r="E43" s="535"/>
      <c r="F43" s="535" t="s">
        <v>2852</v>
      </c>
      <c r="G43" s="539"/>
    </row>
    <row r="44" spans="1:7" ht="45" customHeight="1">
      <c r="A44" s="873"/>
      <c r="B44" s="536" t="s">
        <v>2318</v>
      </c>
      <c r="C44" s="535" t="s">
        <v>2854</v>
      </c>
      <c r="D44" s="535" t="s">
        <v>54</v>
      </c>
      <c r="E44" s="535"/>
      <c r="F44" s="535" t="s">
        <v>2853</v>
      </c>
      <c r="G44" s="539"/>
    </row>
    <row r="45" spans="1:7" ht="45" customHeight="1">
      <c r="A45" s="874" t="s">
        <v>3132</v>
      </c>
      <c r="B45" s="695" t="s">
        <v>2319</v>
      </c>
      <c r="C45" s="682" t="s">
        <v>3127</v>
      </c>
      <c r="D45" s="682" t="s">
        <v>15</v>
      </c>
      <c r="E45" s="682" t="s">
        <v>2824</v>
      </c>
      <c r="F45" s="682"/>
      <c r="G45" s="690" t="s">
        <v>3128</v>
      </c>
    </row>
    <row r="46" spans="1:7" ht="45" customHeight="1">
      <c r="A46" s="875"/>
      <c r="B46" s="695" t="s">
        <v>2320</v>
      </c>
      <c r="C46" s="682" t="s">
        <v>3129</v>
      </c>
      <c r="D46" s="682" t="s">
        <v>15</v>
      </c>
      <c r="E46" s="682" t="s">
        <v>2824</v>
      </c>
      <c r="F46" s="682"/>
      <c r="G46" s="690" t="s">
        <v>3128</v>
      </c>
    </row>
    <row r="47" spans="1:7" ht="45" customHeight="1">
      <c r="A47" s="876"/>
      <c r="B47" s="695" t="s">
        <v>2321</v>
      </c>
      <c r="C47" s="682" t="s">
        <v>3130</v>
      </c>
      <c r="D47" s="682" t="s">
        <v>15</v>
      </c>
      <c r="E47" s="682" t="s">
        <v>2824</v>
      </c>
      <c r="F47" s="682"/>
      <c r="G47" s="690" t="s">
        <v>3128</v>
      </c>
    </row>
  </sheetData>
  <autoFilter ref="B2:G42" xr:uid="{00000000-0009-0000-0000-000004000000}"/>
  <mergeCells count="10">
    <mergeCell ref="A43:A44"/>
    <mergeCell ref="A45:A47"/>
    <mergeCell ref="G32:G37"/>
    <mergeCell ref="G40:G41"/>
    <mergeCell ref="B1:F1"/>
    <mergeCell ref="G17:G23"/>
    <mergeCell ref="A3:A16"/>
    <mergeCell ref="A17:A23"/>
    <mergeCell ref="A24:A31"/>
    <mergeCell ref="A32:A42"/>
  </mergeCells>
  <phoneticPr fontId="133" type="noConversion"/>
  <pageMargins left="0.25" right="0.25" top="0" bottom="0" header="0.3" footer="0.3"/>
  <pageSetup scale="60" orientation="portrait" r:id="rId1"/>
  <rowBreaks count="1" manualBreakCount="1">
    <brk id="20" min="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4"/>
  <sheetViews>
    <sheetView topLeftCell="A14" zoomScale="110" zoomScaleNormal="110" zoomScaleSheetLayoutView="91" workbookViewId="0">
      <selection activeCell="C19" sqref="C19"/>
    </sheetView>
  </sheetViews>
  <sheetFormatPr defaultColWidth="8" defaultRowHeight="45" customHeight="1"/>
  <cols>
    <col min="1" max="1" width="6.09765625" style="272" customWidth="1"/>
    <col min="2" max="2" width="40.19921875" style="301" customWidth="1"/>
    <col min="3" max="3" width="11.59765625" style="294" customWidth="1"/>
    <col min="4" max="4" width="16.59765625" style="294" hidden="1" customWidth="1"/>
    <col min="5" max="5" width="13.19921875" style="294" bestFit="1" customWidth="1"/>
    <col min="6" max="6" width="65.19921875" style="300" customWidth="1"/>
    <col min="7" max="7" width="21.09765625" style="183" customWidth="1"/>
    <col min="8" max="8" width="20.69921875" style="183" customWidth="1"/>
    <col min="9" max="9" width="57.19921875" style="182" bestFit="1" customWidth="1"/>
    <col min="10" max="16384" width="8" style="295"/>
  </cols>
  <sheetData>
    <row r="1" spans="1:9" ht="45" customHeight="1">
      <c r="A1" s="895"/>
      <c r="B1" s="895"/>
      <c r="C1" s="895"/>
      <c r="D1" s="895"/>
      <c r="E1" s="895"/>
      <c r="F1" s="895"/>
      <c r="G1" s="181" t="s">
        <v>44</v>
      </c>
      <c r="H1" s="181" t="s">
        <v>44</v>
      </c>
    </row>
    <row r="2" spans="1:9" s="296" customFormat="1" ht="56.25" customHeight="1">
      <c r="A2" s="273" t="s">
        <v>45</v>
      </c>
      <c r="B2" s="248" t="s">
        <v>2289</v>
      </c>
      <c r="C2" s="274" t="s">
        <v>2290</v>
      </c>
      <c r="D2" s="274" t="s">
        <v>2291</v>
      </c>
      <c r="E2" s="274" t="s">
        <v>2292</v>
      </c>
      <c r="F2" s="274" t="s">
        <v>46</v>
      </c>
      <c r="G2" s="184" t="s">
        <v>47</v>
      </c>
      <c r="H2" s="185" t="s">
        <v>48</v>
      </c>
      <c r="I2" s="186" t="s">
        <v>2358</v>
      </c>
    </row>
    <row r="3" spans="1:9" ht="36" customHeight="1">
      <c r="A3" s="276" t="s">
        <v>0</v>
      </c>
      <c r="B3" s="247" t="s">
        <v>2360</v>
      </c>
      <c r="C3" s="277" t="s">
        <v>14</v>
      </c>
      <c r="D3" s="277"/>
      <c r="E3" s="277" t="s">
        <v>2294</v>
      </c>
      <c r="F3" s="245" t="s">
        <v>2360</v>
      </c>
      <c r="G3" s="187"/>
      <c r="H3" s="188"/>
      <c r="I3" s="189"/>
    </row>
    <row r="4" spans="1:9" ht="36" customHeight="1">
      <c r="A4" s="276" t="s">
        <v>1</v>
      </c>
      <c r="B4" s="247" t="s">
        <v>2361</v>
      </c>
      <c r="C4" s="277" t="s">
        <v>14</v>
      </c>
      <c r="D4" s="277"/>
      <c r="E4" s="277" t="s">
        <v>2294</v>
      </c>
      <c r="F4" s="245" t="s">
        <v>2445</v>
      </c>
      <c r="G4" s="187"/>
      <c r="H4" s="188"/>
      <c r="I4" s="189"/>
    </row>
    <row r="5" spans="1:9" ht="36" customHeight="1">
      <c r="A5" s="276" t="s">
        <v>2</v>
      </c>
      <c r="B5" s="247" t="s">
        <v>2362</v>
      </c>
      <c r="C5" s="277" t="s">
        <v>14</v>
      </c>
      <c r="D5" s="277"/>
      <c r="E5" s="277" t="s">
        <v>2294</v>
      </c>
      <c r="F5" s="245" t="s">
        <v>2362</v>
      </c>
      <c r="G5" s="187"/>
      <c r="H5" s="188"/>
      <c r="I5" s="189"/>
    </row>
    <row r="6" spans="1:9" ht="36" customHeight="1">
      <c r="A6" s="276" t="s">
        <v>3</v>
      </c>
      <c r="B6" s="247" t="s">
        <v>2363</v>
      </c>
      <c r="C6" s="277" t="s">
        <v>16</v>
      </c>
      <c r="D6" s="277"/>
      <c r="E6" s="277" t="s">
        <v>2294</v>
      </c>
      <c r="F6" s="245" t="s">
        <v>2444</v>
      </c>
      <c r="G6" s="187"/>
      <c r="H6" s="188"/>
      <c r="I6" s="189"/>
    </row>
    <row r="7" spans="1:9" ht="36" customHeight="1">
      <c r="A7" s="276" t="s">
        <v>4</v>
      </c>
      <c r="B7" s="247" t="s">
        <v>2364</v>
      </c>
      <c r="C7" s="277" t="s">
        <v>14</v>
      </c>
      <c r="D7" s="277"/>
      <c r="E7" s="277" t="s">
        <v>2294</v>
      </c>
      <c r="F7" s="245" t="s">
        <v>2364</v>
      </c>
      <c r="G7" s="187"/>
      <c r="H7" s="188"/>
      <c r="I7" s="189"/>
    </row>
    <row r="8" spans="1:9" ht="36" customHeight="1">
      <c r="A8" s="276" t="s">
        <v>1150</v>
      </c>
      <c r="B8" s="247" t="s">
        <v>2365</v>
      </c>
      <c r="C8" s="277" t="s">
        <v>14</v>
      </c>
      <c r="D8" s="277"/>
      <c r="E8" s="277" t="s">
        <v>2294</v>
      </c>
      <c r="F8" s="245" t="s">
        <v>2365</v>
      </c>
      <c r="G8" s="187"/>
      <c r="H8" s="188"/>
      <c r="I8" s="189"/>
    </row>
    <row r="9" spans="1:9" ht="45" customHeight="1">
      <c r="A9" s="276" t="s">
        <v>5</v>
      </c>
      <c r="B9" s="247" t="s">
        <v>2366</v>
      </c>
      <c r="C9" s="277" t="s">
        <v>2436</v>
      </c>
      <c r="D9" s="277"/>
      <c r="E9" s="277" t="s">
        <v>2294</v>
      </c>
      <c r="F9" s="245" t="s">
        <v>2366</v>
      </c>
      <c r="G9" s="187"/>
      <c r="H9" s="188"/>
      <c r="I9" s="189"/>
    </row>
    <row r="10" spans="1:9" ht="45" customHeight="1">
      <c r="A10" s="276" t="s">
        <v>6</v>
      </c>
      <c r="B10" s="247" t="s">
        <v>2367</v>
      </c>
      <c r="C10" s="277" t="s">
        <v>14</v>
      </c>
      <c r="D10" s="277"/>
      <c r="E10" s="277" t="s">
        <v>2294</v>
      </c>
      <c r="F10" s="245" t="s">
        <v>2367</v>
      </c>
      <c r="G10" s="187"/>
      <c r="H10" s="188"/>
      <c r="I10" s="189"/>
    </row>
    <row r="11" spans="1:9" ht="37.5" customHeight="1">
      <c r="A11" s="276" t="s">
        <v>49</v>
      </c>
      <c r="B11" s="247" t="s">
        <v>2409</v>
      </c>
      <c r="C11" s="277" t="s">
        <v>15</v>
      </c>
      <c r="D11" s="277"/>
      <c r="E11" s="277" t="s">
        <v>2294</v>
      </c>
      <c r="F11" s="245" t="s">
        <v>2446</v>
      </c>
      <c r="G11" s="187"/>
      <c r="H11" s="188"/>
      <c r="I11" s="189"/>
    </row>
    <row r="12" spans="1:9" ht="37.5" customHeight="1">
      <c r="A12" s="276" t="s">
        <v>50</v>
      </c>
      <c r="B12" s="247" t="s">
        <v>2408</v>
      </c>
      <c r="C12" s="277" t="s">
        <v>15</v>
      </c>
      <c r="D12" s="277"/>
      <c r="E12" s="277" t="s">
        <v>2294</v>
      </c>
      <c r="F12" s="245" t="s">
        <v>2447</v>
      </c>
      <c r="G12" s="187"/>
      <c r="H12" s="188"/>
      <c r="I12" s="189"/>
    </row>
    <row r="13" spans="1:9" ht="37.5" customHeight="1">
      <c r="A13" s="276" t="s">
        <v>53</v>
      </c>
      <c r="B13" s="247" t="s">
        <v>2368</v>
      </c>
      <c r="C13" s="277" t="s">
        <v>17</v>
      </c>
      <c r="D13" s="277"/>
      <c r="E13" s="277" t="s">
        <v>2294</v>
      </c>
      <c r="F13" s="245" t="s">
        <v>2368</v>
      </c>
      <c r="G13" s="187"/>
      <c r="H13" s="188"/>
      <c r="I13" s="189"/>
    </row>
    <row r="14" spans="1:9" ht="37.5" customHeight="1">
      <c r="A14" s="276" t="s">
        <v>55</v>
      </c>
      <c r="B14" s="247" t="s">
        <v>2369</v>
      </c>
      <c r="C14" s="277" t="s">
        <v>17</v>
      </c>
      <c r="D14" s="277"/>
      <c r="E14" s="277" t="s">
        <v>2294</v>
      </c>
      <c r="F14" s="245" t="s">
        <v>2369</v>
      </c>
      <c r="G14" s="187"/>
      <c r="H14" s="188"/>
      <c r="I14" s="189"/>
    </row>
    <row r="15" spans="1:9" ht="45" customHeight="1">
      <c r="A15" s="276" t="s">
        <v>57</v>
      </c>
      <c r="B15" s="247" t="s">
        <v>2466</v>
      </c>
      <c r="C15" s="277" t="s">
        <v>15</v>
      </c>
      <c r="D15" s="277"/>
      <c r="E15" s="277" t="s">
        <v>2434</v>
      </c>
      <c r="F15" s="245" t="s">
        <v>2466</v>
      </c>
      <c r="G15" s="187"/>
      <c r="H15" s="188"/>
      <c r="I15" s="189"/>
    </row>
    <row r="16" spans="1:9" ht="45" customHeight="1">
      <c r="A16" s="276" t="s">
        <v>110</v>
      </c>
      <c r="B16" s="247" t="s">
        <v>1971</v>
      </c>
      <c r="C16" s="277" t="s">
        <v>15</v>
      </c>
      <c r="D16" s="277"/>
      <c r="E16" s="277" t="s">
        <v>294</v>
      </c>
      <c r="F16" s="245" t="s">
        <v>2370</v>
      </c>
      <c r="G16" s="187"/>
      <c r="H16" s="188"/>
      <c r="I16" s="189"/>
    </row>
    <row r="17" spans="1:9" ht="45" customHeight="1">
      <c r="A17" s="276" t="s">
        <v>111</v>
      </c>
      <c r="B17" s="247" t="s">
        <v>2371</v>
      </c>
      <c r="C17" s="277" t="s">
        <v>15</v>
      </c>
      <c r="D17" s="277"/>
      <c r="E17" s="277" t="s">
        <v>294</v>
      </c>
      <c r="F17" s="245" t="s">
        <v>2372</v>
      </c>
      <c r="G17" s="187"/>
      <c r="H17" s="188"/>
      <c r="I17" s="189"/>
    </row>
    <row r="18" spans="1:9" ht="38.4">
      <c r="A18" s="276" t="s">
        <v>59</v>
      </c>
      <c r="B18" s="247" t="s">
        <v>2373</v>
      </c>
      <c r="C18" s="277" t="s">
        <v>15</v>
      </c>
      <c r="D18" s="277" t="s">
        <v>2458</v>
      </c>
      <c r="E18" s="277" t="s">
        <v>2294</v>
      </c>
      <c r="F18" s="245" t="s">
        <v>2374</v>
      </c>
      <c r="G18" s="187"/>
      <c r="H18" s="188"/>
      <c r="I18" s="189"/>
    </row>
    <row r="19" spans="1:9" ht="45" customHeight="1">
      <c r="A19" s="276" t="s">
        <v>58</v>
      </c>
      <c r="B19" s="247" t="s">
        <v>2375</v>
      </c>
      <c r="C19" s="277" t="s">
        <v>2310</v>
      </c>
      <c r="D19" s="277"/>
      <c r="E19" s="277" t="s">
        <v>2294</v>
      </c>
      <c r="F19" s="245" t="s">
        <v>2448</v>
      </c>
      <c r="G19" s="187"/>
      <c r="H19" s="188"/>
      <c r="I19" s="189"/>
    </row>
    <row r="20" spans="1:9" ht="36" customHeight="1">
      <c r="A20" s="276" t="s">
        <v>60</v>
      </c>
      <c r="B20" s="247" t="s">
        <v>2376</v>
      </c>
      <c r="C20" s="277" t="s">
        <v>15</v>
      </c>
      <c r="D20" s="277"/>
      <c r="E20" s="277" t="s">
        <v>2294</v>
      </c>
      <c r="F20" s="245" t="s">
        <v>2450</v>
      </c>
      <c r="G20" s="187"/>
      <c r="H20" s="188"/>
      <c r="I20" s="189"/>
    </row>
    <row r="21" spans="1:9" ht="35.25" customHeight="1">
      <c r="A21" s="276" t="s">
        <v>1151</v>
      </c>
      <c r="B21" s="247" t="s">
        <v>2377</v>
      </c>
      <c r="C21" s="277" t="s">
        <v>15</v>
      </c>
      <c r="D21" s="277"/>
      <c r="E21" s="277" t="s">
        <v>2294</v>
      </c>
      <c r="F21" s="245" t="s">
        <v>2449</v>
      </c>
      <c r="G21" s="187"/>
      <c r="H21" s="188"/>
      <c r="I21" s="189"/>
    </row>
    <row r="22" spans="1:9" ht="52.5" customHeight="1">
      <c r="A22" s="279" t="s">
        <v>62</v>
      </c>
      <c r="B22" s="237" t="s">
        <v>2437</v>
      </c>
      <c r="C22" s="190" t="s">
        <v>15</v>
      </c>
      <c r="D22" s="190"/>
      <c r="E22" s="190" t="s">
        <v>2294</v>
      </c>
      <c r="F22" s="235" t="s">
        <v>2451</v>
      </c>
      <c r="G22" s="191" t="s">
        <v>56</v>
      </c>
      <c r="H22" s="192" t="s">
        <v>56</v>
      </c>
      <c r="I22" s="193" t="s">
        <v>2312</v>
      </c>
    </row>
    <row r="23" spans="1:9" ht="45" customHeight="1">
      <c r="A23" s="279" t="s">
        <v>63</v>
      </c>
      <c r="B23" s="237" t="s">
        <v>2414</v>
      </c>
      <c r="C23" s="190" t="s">
        <v>15</v>
      </c>
      <c r="D23" s="190"/>
      <c r="E23" s="190" t="s">
        <v>2294</v>
      </c>
      <c r="F23" s="235" t="s">
        <v>2414</v>
      </c>
      <c r="G23" s="187"/>
      <c r="H23" s="188"/>
      <c r="I23" s="189"/>
    </row>
    <row r="24" spans="1:9" ht="45" customHeight="1">
      <c r="A24" s="279" t="s">
        <v>64</v>
      </c>
      <c r="B24" s="237" t="s">
        <v>2415</v>
      </c>
      <c r="C24" s="190" t="s">
        <v>15</v>
      </c>
      <c r="D24" s="190"/>
      <c r="E24" s="190" t="s">
        <v>2294</v>
      </c>
      <c r="F24" s="238" t="s">
        <v>2416</v>
      </c>
      <c r="G24" s="187"/>
      <c r="H24" s="188"/>
      <c r="I24" s="189"/>
    </row>
    <row r="25" spans="1:9" ht="57.6">
      <c r="A25" s="279" t="s">
        <v>65</v>
      </c>
      <c r="B25" s="239" t="s">
        <v>2467</v>
      </c>
      <c r="C25" s="194" t="s">
        <v>15</v>
      </c>
      <c r="D25" s="190"/>
      <c r="E25" s="194" t="s">
        <v>2294</v>
      </c>
      <c r="F25" s="236" t="s">
        <v>2438</v>
      </c>
      <c r="G25" s="191" t="s">
        <v>56</v>
      </c>
      <c r="H25" s="192" t="s">
        <v>56</v>
      </c>
      <c r="I25" s="193" t="s">
        <v>2312</v>
      </c>
    </row>
    <row r="26" spans="1:9" ht="54" customHeight="1">
      <c r="A26" s="279" t="s">
        <v>67</v>
      </c>
      <c r="B26" s="237" t="s">
        <v>2439</v>
      </c>
      <c r="C26" s="194" t="s">
        <v>15</v>
      </c>
      <c r="D26" s="190"/>
      <c r="E26" s="194" t="s">
        <v>2294</v>
      </c>
      <c r="F26" s="238" t="s">
        <v>2402</v>
      </c>
      <c r="G26" s="187"/>
      <c r="H26" s="188"/>
      <c r="I26" s="189"/>
    </row>
    <row r="27" spans="1:9" ht="96">
      <c r="A27" s="279" t="s">
        <v>1152</v>
      </c>
      <c r="B27" s="239" t="s">
        <v>2468</v>
      </c>
      <c r="C27" s="194" t="s">
        <v>15</v>
      </c>
      <c r="D27" s="190"/>
      <c r="E27" s="194" t="s">
        <v>2294</v>
      </c>
      <c r="F27" s="239" t="s">
        <v>2468</v>
      </c>
      <c r="G27" s="187"/>
      <c r="H27" s="188"/>
      <c r="I27" s="189"/>
    </row>
    <row r="28" spans="1:9" ht="96">
      <c r="A28" s="279" t="s">
        <v>66</v>
      </c>
      <c r="B28" s="237" t="s">
        <v>2469</v>
      </c>
      <c r="C28" s="194" t="s">
        <v>15</v>
      </c>
      <c r="D28" s="190"/>
      <c r="E28" s="194" t="s">
        <v>2294</v>
      </c>
      <c r="F28" s="237" t="s">
        <v>2469</v>
      </c>
      <c r="G28" s="187"/>
      <c r="H28" s="188"/>
      <c r="I28" s="189"/>
    </row>
    <row r="29" spans="1:9" ht="55.5" customHeight="1">
      <c r="A29" s="279" t="s">
        <v>68</v>
      </c>
      <c r="B29" s="239" t="s">
        <v>2452</v>
      </c>
      <c r="C29" s="194" t="s">
        <v>2460</v>
      </c>
      <c r="D29" s="194" t="s">
        <v>2433</v>
      </c>
      <c r="E29" s="194" t="s">
        <v>2294</v>
      </c>
      <c r="F29" s="236" t="s">
        <v>2403</v>
      </c>
      <c r="G29" s="191" t="s">
        <v>56</v>
      </c>
      <c r="H29" s="191" t="s">
        <v>56</v>
      </c>
      <c r="I29" s="193" t="s">
        <v>2312</v>
      </c>
    </row>
    <row r="30" spans="1:9" ht="51.75" customHeight="1">
      <c r="A30" s="279" t="s">
        <v>69</v>
      </c>
      <c r="B30" s="239" t="s">
        <v>2457</v>
      </c>
      <c r="C30" s="194" t="s">
        <v>2460</v>
      </c>
      <c r="D30" s="194"/>
      <c r="E30" s="194" t="s">
        <v>2294</v>
      </c>
      <c r="F30" s="236" t="s">
        <v>2417</v>
      </c>
      <c r="G30" s="260"/>
      <c r="H30" s="188"/>
      <c r="I30" s="189"/>
    </row>
    <row r="31" spans="1:9" ht="69" customHeight="1">
      <c r="A31" s="279" t="s">
        <v>1301</v>
      </c>
      <c r="B31" s="239" t="s">
        <v>2470</v>
      </c>
      <c r="C31" s="194" t="s">
        <v>2460</v>
      </c>
      <c r="D31" s="194"/>
      <c r="E31" s="194" t="s">
        <v>2294</v>
      </c>
      <c r="F31" s="236" t="s">
        <v>2418</v>
      </c>
      <c r="G31" s="261"/>
      <c r="H31" s="251"/>
      <c r="I31" s="252"/>
    </row>
    <row r="32" spans="1:9" s="298" customFormat="1" ht="61.95" customHeight="1">
      <c r="A32" s="297" t="s">
        <v>1302</v>
      </c>
      <c r="B32" s="239" t="s">
        <v>2378</v>
      </c>
      <c r="C32" s="194" t="s">
        <v>2410</v>
      </c>
      <c r="D32" s="190" t="s">
        <v>2461</v>
      </c>
      <c r="E32" s="194" t="s">
        <v>2434</v>
      </c>
      <c r="F32" s="238" t="s">
        <v>2379</v>
      </c>
      <c r="G32" s="253" t="s">
        <v>56</v>
      </c>
      <c r="H32" s="254" t="s">
        <v>56</v>
      </c>
      <c r="I32" s="255" t="s">
        <v>2312</v>
      </c>
    </row>
    <row r="33" spans="1:9" s="298" customFormat="1" ht="60.75" customHeight="1">
      <c r="A33" s="297" t="s">
        <v>1303</v>
      </c>
      <c r="B33" s="239" t="s">
        <v>2431</v>
      </c>
      <c r="C33" s="262" t="s">
        <v>15</v>
      </c>
      <c r="D33" s="190" t="s">
        <v>2311</v>
      </c>
      <c r="E33" s="262" t="s">
        <v>294</v>
      </c>
      <c r="F33" s="258" t="s">
        <v>2380</v>
      </c>
      <c r="G33" s="253" t="s">
        <v>2313</v>
      </c>
      <c r="H33" s="254" t="s">
        <v>2313</v>
      </c>
      <c r="I33" s="255" t="s">
        <v>2312</v>
      </c>
    </row>
    <row r="34" spans="1:9" s="298" customFormat="1" ht="61.5" customHeight="1">
      <c r="A34" s="297" t="s">
        <v>1304</v>
      </c>
      <c r="B34" s="239" t="s">
        <v>2471</v>
      </c>
      <c r="C34" s="262" t="s">
        <v>2410</v>
      </c>
      <c r="D34" s="190" t="s">
        <v>2311</v>
      </c>
      <c r="E34" s="262" t="s">
        <v>2294</v>
      </c>
      <c r="F34" s="258" t="s">
        <v>2472</v>
      </c>
      <c r="G34" s="253" t="s">
        <v>2313</v>
      </c>
      <c r="H34" s="254" t="s">
        <v>2314</v>
      </c>
      <c r="I34" s="255" t="s">
        <v>2312</v>
      </c>
    </row>
    <row r="35" spans="1:9" s="298" customFormat="1" ht="61.5" customHeight="1">
      <c r="A35" s="297" t="s">
        <v>1305</v>
      </c>
      <c r="B35" s="239" t="s">
        <v>2473</v>
      </c>
      <c r="C35" s="280" t="s">
        <v>15</v>
      </c>
      <c r="D35" s="281"/>
      <c r="E35" s="282" t="s">
        <v>294</v>
      </c>
      <c r="F35" s="239" t="s">
        <v>2473</v>
      </c>
      <c r="G35" s="195"/>
      <c r="H35" s="196"/>
      <c r="I35" s="207"/>
    </row>
    <row r="36" spans="1:9" s="298" customFormat="1" ht="55.2" customHeight="1">
      <c r="A36" s="297" t="s">
        <v>1306</v>
      </c>
      <c r="B36" s="239" t="s">
        <v>2474</v>
      </c>
      <c r="C36" s="282" t="s">
        <v>15</v>
      </c>
      <c r="D36" s="282"/>
      <c r="E36" s="282" t="s">
        <v>294</v>
      </c>
      <c r="F36" s="258" t="s">
        <v>2475</v>
      </c>
      <c r="G36" s="195"/>
      <c r="H36" s="196"/>
      <c r="I36" s="207"/>
    </row>
    <row r="37" spans="1:9" s="298" customFormat="1" ht="45" customHeight="1">
      <c r="A37" s="297" t="s">
        <v>1307</v>
      </c>
      <c r="B37" s="239" t="s">
        <v>2420</v>
      </c>
      <c r="C37" s="197" t="s">
        <v>15</v>
      </c>
      <c r="D37" s="197"/>
      <c r="E37" s="197" t="s">
        <v>2294</v>
      </c>
      <c r="F37" s="258" t="s">
        <v>2421</v>
      </c>
      <c r="G37" s="187"/>
      <c r="H37" s="188"/>
      <c r="I37" s="189"/>
    </row>
    <row r="38" spans="1:9" s="298" customFormat="1" ht="57.6">
      <c r="A38" s="297" t="s">
        <v>1308</v>
      </c>
      <c r="B38" s="239" t="s">
        <v>2419</v>
      </c>
      <c r="C38" s="197" t="s">
        <v>15</v>
      </c>
      <c r="D38" s="197"/>
      <c r="E38" s="197" t="s">
        <v>2294</v>
      </c>
      <c r="F38" s="258" t="s">
        <v>2419</v>
      </c>
      <c r="G38" s="187"/>
      <c r="H38" s="188"/>
      <c r="I38" s="189"/>
    </row>
    <row r="39" spans="1:9" s="298" customFormat="1" ht="45" customHeight="1">
      <c r="A39" s="297" t="s">
        <v>1309</v>
      </c>
      <c r="B39" s="239" t="s">
        <v>2424</v>
      </c>
      <c r="C39" s="198" t="s">
        <v>15</v>
      </c>
      <c r="D39" s="198"/>
      <c r="E39" s="197" t="s">
        <v>2294</v>
      </c>
      <c r="F39" s="258" t="s">
        <v>2422</v>
      </c>
      <c r="G39" s="187"/>
      <c r="H39" s="188"/>
      <c r="I39" s="189"/>
    </row>
    <row r="40" spans="1:9" s="298" customFormat="1" ht="62.7" customHeight="1">
      <c r="A40" s="297" t="s">
        <v>1310</v>
      </c>
      <c r="B40" s="239" t="s">
        <v>2425</v>
      </c>
      <c r="C40" s="198" t="s">
        <v>15</v>
      </c>
      <c r="D40" s="198"/>
      <c r="E40" s="197" t="s">
        <v>2294</v>
      </c>
      <c r="F40" s="258" t="s">
        <v>2423</v>
      </c>
      <c r="G40" s="187"/>
      <c r="H40" s="188"/>
      <c r="I40" s="189"/>
    </row>
    <row r="41" spans="1:9" ht="45" customHeight="1">
      <c r="A41" s="297" t="s">
        <v>1969</v>
      </c>
      <c r="B41" s="239" t="s">
        <v>2476</v>
      </c>
      <c r="C41" s="194" t="s">
        <v>15</v>
      </c>
      <c r="D41" s="194"/>
      <c r="E41" s="197" t="s">
        <v>2434</v>
      </c>
      <c r="F41" s="258" t="s">
        <v>2477</v>
      </c>
      <c r="G41" s="187"/>
      <c r="H41" s="188"/>
      <c r="I41" s="189"/>
    </row>
    <row r="42" spans="1:9" ht="45" customHeight="1">
      <c r="A42" s="297" t="s">
        <v>1970</v>
      </c>
      <c r="B42" s="239" t="s">
        <v>2478</v>
      </c>
      <c r="C42" s="256" t="s">
        <v>15</v>
      </c>
      <c r="D42" s="194"/>
      <c r="E42" s="197" t="s">
        <v>2434</v>
      </c>
      <c r="F42" s="258" t="s">
        <v>2479</v>
      </c>
      <c r="G42" s="187"/>
      <c r="H42" s="188"/>
      <c r="I42" s="189"/>
    </row>
    <row r="43" spans="1:9" ht="47.25" customHeight="1">
      <c r="A43" s="297" t="s">
        <v>2210</v>
      </c>
      <c r="B43" s="239" t="s">
        <v>2381</v>
      </c>
      <c r="C43" s="256" t="s">
        <v>16</v>
      </c>
      <c r="D43" s="256"/>
      <c r="E43" s="256" t="s">
        <v>2294</v>
      </c>
      <c r="F43" s="258" t="s">
        <v>2381</v>
      </c>
      <c r="G43" s="187"/>
      <c r="H43" s="188"/>
      <c r="I43" s="189"/>
    </row>
    <row r="44" spans="1:9" ht="87.6" customHeight="1">
      <c r="A44" s="283" t="s">
        <v>2318</v>
      </c>
      <c r="B44" s="240" t="s">
        <v>2453</v>
      </c>
      <c r="C44" s="202" t="s">
        <v>15</v>
      </c>
      <c r="D44" s="202"/>
      <c r="E44" s="202" t="s">
        <v>2294</v>
      </c>
      <c r="F44" s="241" t="s">
        <v>2432</v>
      </c>
      <c r="G44" s="199" t="s">
        <v>2315</v>
      </c>
      <c r="H44" s="200" t="s">
        <v>2316</v>
      </c>
      <c r="I44" s="201" t="s">
        <v>2317</v>
      </c>
    </row>
    <row r="45" spans="1:9" ht="55.2">
      <c r="A45" s="283" t="s">
        <v>2319</v>
      </c>
      <c r="B45" s="240" t="s">
        <v>2480</v>
      </c>
      <c r="C45" s="202" t="s">
        <v>15</v>
      </c>
      <c r="D45" s="202"/>
      <c r="E45" s="202" t="s">
        <v>2294</v>
      </c>
      <c r="F45" s="241" t="s">
        <v>2454</v>
      </c>
      <c r="G45" s="199" t="s">
        <v>2315</v>
      </c>
      <c r="H45" s="200" t="s">
        <v>2316</v>
      </c>
      <c r="I45" s="201" t="s">
        <v>2317</v>
      </c>
    </row>
    <row r="46" spans="1:9" ht="45" customHeight="1">
      <c r="A46" s="283" t="s">
        <v>2320</v>
      </c>
      <c r="B46" s="240" t="s">
        <v>2481</v>
      </c>
      <c r="C46" s="202" t="s">
        <v>16</v>
      </c>
      <c r="D46" s="202"/>
      <c r="E46" s="202" t="s">
        <v>2294</v>
      </c>
      <c r="F46" s="241" t="s">
        <v>2482</v>
      </c>
      <c r="G46" s="187"/>
      <c r="H46" s="188"/>
      <c r="I46" s="189"/>
    </row>
    <row r="47" spans="1:9" ht="72.75" customHeight="1">
      <c r="A47" s="283" t="s">
        <v>2321</v>
      </c>
      <c r="B47" s="240" t="s">
        <v>2483</v>
      </c>
      <c r="C47" s="202" t="s">
        <v>15</v>
      </c>
      <c r="D47" s="202"/>
      <c r="E47" s="202" t="s">
        <v>2294</v>
      </c>
      <c r="F47" s="241" t="s">
        <v>2484</v>
      </c>
      <c r="G47" s="187"/>
      <c r="H47" s="188"/>
      <c r="I47" s="189"/>
    </row>
    <row r="48" spans="1:9" ht="94.5" customHeight="1">
      <c r="A48" s="283" t="s">
        <v>2323</v>
      </c>
      <c r="B48" s="240" t="s">
        <v>2485</v>
      </c>
      <c r="C48" s="202" t="s">
        <v>15</v>
      </c>
      <c r="D48" s="202"/>
      <c r="E48" s="202" t="s">
        <v>2294</v>
      </c>
      <c r="F48" s="241" t="s">
        <v>2486</v>
      </c>
      <c r="G48" s="187"/>
      <c r="H48" s="188"/>
      <c r="I48" s="189"/>
    </row>
    <row r="49" spans="1:9" ht="54" customHeight="1">
      <c r="A49" s="283" t="s">
        <v>2324</v>
      </c>
      <c r="B49" s="240" t="s">
        <v>2426</v>
      </c>
      <c r="C49" s="202" t="s">
        <v>15</v>
      </c>
      <c r="D49" s="202"/>
      <c r="E49" s="202" t="s">
        <v>2294</v>
      </c>
      <c r="F49" s="241" t="s">
        <v>2427</v>
      </c>
      <c r="G49" s="199" t="s">
        <v>2322</v>
      </c>
      <c r="H49" s="200" t="s">
        <v>61</v>
      </c>
      <c r="I49" s="201" t="s">
        <v>2317</v>
      </c>
    </row>
    <row r="50" spans="1:9" ht="55.2">
      <c r="A50" s="283" t="s">
        <v>2325</v>
      </c>
      <c r="B50" s="240" t="s">
        <v>2429</v>
      </c>
      <c r="C50" s="285" t="s">
        <v>2460</v>
      </c>
      <c r="D50" s="285"/>
      <c r="E50" s="285" t="s">
        <v>294</v>
      </c>
      <c r="F50" s="241" t="s">
        <v>2428</v>
      </c>
      <c r="G50" s="199" t="s">
        <v>2315</v>
      </c>
      <c r="H50" s="200" t="s">
        <v>61</v>
      </c>
      <c r="I50" s="201" t="s">
        <v>2317</v>
      </c>
    </row>
    <row r="51" spans="1:9" ht="38.4">
      <c r="A51" s="283" t="s">
        <v>2326</v>
      </c>
      <c r="B51" s="240" t="s">
        <v>2430</v>
      </c>
      <c r="C51" s="202" t="s">
        <v>15</v>
      </c>
      <c r="D51" s="202"/>
      <c r="E51" s="202" t="s">
        <v>294</v>
      </c>
      <c r="F51" s="241" t="s">
        <v>2382</v>
      </c>
      <c r="G51" s="187"/>
      <c r="H51" s="188"/>
      <c r="I51" s="189"/>
    </row>
    <row r="52" spans="1:9" ht="61.95" customHeight="1">
      <c r="A52" s="283" t="s">
        <v>2327</v>
      </c>
      <c r="B52" s="242" t="s">
        <v>2383</v>
      </c>
      <c r="C52" s="202" t="s">
        <v>2413</v>
      </c>
      <c r="D52" s="286"/>
      <c r="E52" s="286" t="s">
        <v>2294</v>
      </c>
      <c r="F52" s="241" t="s">
        <v>2384</v>
      </c>
      <c r="G52" s="187"/>
      <c r="H52" s="188"/>
      <c r="I52" s="189"/>
    </row>
    <row r="53" spans="1:9" ht="63" customHeight="1">
      <c r="A53" s="283" t="s">
        <v>2328</v>
      </c>
      <c r="B53" s="242" t="s">
        <v>2404</v>
      </c>
      <c r="C53" s="202" t="s">
        <v>2412</v>
      </c>
      <c r="D53" s="287"/>
      <c r="E53" s="287" t="s">
        <v>2294</v>
      </c>
      <c r="F53" s="241" t="s">
        <v>2385</v>
      </c>
      <c r="G53" s="187"/>
      <c r="H53" s="188"/>
      <c r="I53" s="189"/>
    </row>
    <row r="54" spans="1:9" ht="34.5" customHeight="1">
      <c r="A54" s="283" t="s">
        <v>2329</v>
      </c>
      <c r="B54" s="242" t="s">
        <v>2386</v>
      </c>
      <c r="C54" s="287" t="s">
        <v>15</v>
      </c>
      <c r="D54" s="287"/>
      <c r="E54" s="287" t="s">
        <v>2294</v>
      </c>
      <c r="F54" s="241" t="s">
        <v>2387</v>
      </c>
      <c r="G54" s="187"/>
      <c r="H54" s="188"/>
      <c r="I54" s="189"/>
    </row>
    <row r="55" spans="1:9" ht="45" customHeight="1">
      <c r="A55" s="283" t="s">
        <v>2330</v>
      </c>
      <c r="B55" s="242" t="s">
        <v>2388</v>
      </c>
      <c r="C55" s="287" t="s">
        <v>15</v>
      </c>
      <c r="D55" s="287"/>
      <c r="E55" s="287" t="s">
        <v>2294</v>
      </c>
      <c r="F55" s="241" t="s">
        <v>2389</v>
      </c>
      <c r="G55" s="187"/>
      <c r="H55" s="188"/>
      <c r="I55" s="189"/>
    </row>
    <row r="56" spans="1:9" ht="55.2">
      <c r="A56" s="283" t="s">
        <v>2331</v>
      </c>
      <c r="B56" s="242" t="s">
        <v>2487</v>
      </c>
      <c r="C56" s="287" t="s">
        <v>15</v>
      </c>
      <c r="D56" s="287"/>
      <c r="E56" s="287" t="s">
        <v>2434</v>
      </c>
      <c r="F56" s="241" t="s">
        <v>2488</v>
      </c>
      <c r="G56" s="199" t="s">
        <v>2315</v>
      </c>
      <c r="H56" s="200" t="s">
        <v>61</v>
      </c>
      <c r="I56" s="201" t="s">
        <v>2317</v>
      </c>
    </row>
    <row r="57" spans="1:9" ht="41.25" customHeight="1">
      <c r="A57" s="283" t="s">
        <v>2332</v>
      </c>
      <c r="B57" s="242" t="s">
        <v>2390</v>
      </c>
      <c r="C57" s="287" t="s">
        <v>16</v>
      </c>
      <c r="D57" s="287"/>
      <c r="E57" s="287" t="s">
        <v>2294</v>
      </c>
      <c r="F57" s="241" t="s">
        <v>2391</v>
      </c>
      <c r="G57" s="187"/>
      <c r="H57" s="188"/>
      <c r="I57" s="189"/>
    </row>
    <row r="58" spans="1:9" ht="38.4">
      <c r="A58" s="288" t="s">
        <v>2333</v>
      </c>
      <c r="B58" s="243" t="s">
        <v>2392</v>
      </c>
      <c r="C58" s="289" t="s">
        <v>15</v>
      </c>
      <c r="D58" s="289"/>
      <c r="E58" s="289" t="s">
        <v>2462</v>
      </c>
      <c r="F58" s="246" t="s">
        <v>2393</v>
      </c>
      <c r="G58" s="187"/>
      <c r="H58" s="188"/>
      <c r="I58" s="189"/>
    </row>
    <row r="59" spans="1:9" ht="38.4">
      <c r="A59" s="288" t="s">
        <v>2334</v>
      </c>
      <c r="B59" s="243" t="s">
        <v>2455</v>
      </c>
      <c r="C59" s="289" t="s">
        <v>15</v>
      </c>
      <c r="D59" s="289"/>
      <c r="E59" s="289" t="s">
        <v>2462</v>
      </c>
      <c r="F59" s="246" t="s">
        <v>2455</v>
      </c>
      <c r="G59" s="187"/>
      <c r="H59" s="188"/>
      <c r="I59" s="189"/>
    </row>
    <row r="60" spans="1:9" ht="38.4">
      <c r="A60" s="288" t="s">
        <v>2338</v>
      </c>
      <c r="B60" s="243" t="s">
        <v>2394</v>
      </c>
      <c r="C60" s="290" t="s">
        <v>15</v>
      </c>
      <c r="D60" s="290"/>
      <c r="E60" s="290" t="s">
        <v>294</v>
      </c>
      <c r="F60" s="246" t="s">
        <v>2394</v>
      </c>
      <c r="G60" s="187"/>
      <c r="H60" s="188"/>
      <c r="I60" s="189"/>
    </row>
    <row r="61" spans="1:9" ht="56.7" customHeight="1">
      <c r="A61" s="288" t="s">
        <v>2339</v>
      </c>
      <c r="B61" s="243" t="s">
        <v>2395</v>
      </c>
      <c r="C61" s="290" t="s">
        <v>15</v>
      </c>
      <c r="D61" s="290"/>
      <c r="E61" s="289" t="s">
        <v>2462</v>
      </c>
      <c r="F61" s="246" t="s">
        <v>2396</v>
      </c>
      <c r="G61" s="187"/>
      <c r="H61" s="188"/>
      <c r="I61" s="189"/>
    </row>
    <row r="62" spans="1:9" ht="56.7" customHeight="1">
      <c r="A62" s="288" t="s">
        <v>2341</v>
      </c>
      <c r="B62" s="243" t="s">
        <v>2456</v>
      </c>
      <c r="C62" s="290" t="s">
        <v>15</v>
      </c>
      <c r="D62" s="290"/>
      <c r="E62" s="289" t="s">
        <v>2462</v>
      </c>
      <c r="F62" s="246" t="s">
        <v>2456</v>
      </c>
      <c r="G62" s="187"/>
      <c r="H62" s="188"/>
      <c r="I62" s="189"/>
    </row>
    <row r="63" spans="1:9" ht="56.7" customHeight="1">
      <c r="A63" s="288" t="s">
        <v>2343</v>
      </c>
      <c r="B63" s="244" t="s">
        <v>2405</v>
      </c>
      <c r="C63" s="290" t="s">
        <v>15</v>
      </c>
      <c r="D63" s="290"/>
      <c r="E63" s="290" t="s">
        <v>2294</v>
      </c>
      <c r="F63" s="246" t="s">
        <v>2406</v>
      </c>
      <c r="G63" s="203" t="s">
        <v>2335</v>
      </c>
      <c r="H63" s="204" t="s">
        <v>2336</v>
      </c>
      <c r="I63" s="205" t="s">
        <v>2337</v>
      </c>
    </row>
    <row r="64" spans="1:9" ht="51" customHeight="1">
      <c r="A64" s="288" t="s">
        <v>2344</v>
      </c>
      <c r="B64" s="244" t="s">
        <v>2407</v>
      </c>
      <c r="C64" s="290" t="s">
        <v>15</v>
      </c>
      <c r="D64" s="290"/>
      <c r="E64" s="290" t="s">
        <v>2294</v>
      </c>
      <c r="F64" s="246" t="s">
        <v>2397</v>
      </c>
      <c r="G64" s="203" t="s">
        <v>2335</v>
      </c>
      <c r="H64" s="204" t="s">
        <v>2335</v>
      </c>
      <c r="I64" s="205" t="s">
        <v>2337</v>
      </c>
    </row>
    <row r="65" spans="1:9" ht="44.25" customHeight="1">
      <c r="A65" s="288" t="s">
        <v>2345</v>
      </c>
      <c r="B65" s="244" t="s">
        <v>2398</v>
      </c>
      <c r="C65" s="259" t="s">
        <v>15</v>
      </c>
      <c r="D65" s="259"/>
      <c r="E65" s="290" t="s">
        <v>2294</v>
      </c>
      <c r="F65" s="246" t="s">
        <v>2398</v>
      </c>
      <c r="G65" s="206" t="s">
        <v>2340</v>
      </c>
      <c r="H65" s="204" t="s">
        <v>61</v>
      </c>
      <c r="I65" s="205" t="s">
        <v>2337</v>
      </c>
    </row>
    <row r="66" spans="1:9" ht="64.5" customHeight="1">
      <c r="A66" s="288" t="s">
        <v>2440</v>
      </c>
      <c r="B66" s="244" t="s">
        <v>2399</v>
      </c>
      <c r="C66" s="259" t="s">
        <v>15</v>
      </c>
      <c r="D66" s="259"/>
      <c r="E66" s="290" t="s">
        <v>2294</v>
      </c>
      <c r="F66" s="246" t="s">
        <v>2399</v>
      </c>
      <c r="G66" s="206" t="s">
        <v>2342</v>
      </c>
      <c r="H66" s="204" t="s">
        <v>61</v>
      </c>
      <c r="I66" s="205" t="s">
        <v>2337</v>
      </c>
    </row>
    <row r="67" spans="1:9" ht="45" customHeight="1">
      <c r="A67" s="288" t="s">
        <v>2441</v>
      </c>
      <c r="B67" s="244" t="s">
        <v>2400</v>
      </c>
      <c r="C67" s="259" t="s">
        <v>2411</v>
      </c>
      <c r="D67" s="259"/>
      <c r="E67" s="259" t="s">
        <v>2434</v>
      </c>
      <c r="F67" s="246" t="s">
        <v>2400</v>
      </c>
      <c r="G67" s="187"/>
      <c r="H67" s="188"/>
      <c r="I67" s="189"/>
    </row>
    <row r="68" spans="1:9" ht="76.8">
      <c r="A68" s="288" t="s">
        <v>2463</v>
      </c>
      <c r="B68" s="244" t="s">
        <v>2489</v>
      </c>
      <c r="C68" s="259" t="s">
        <v>15</v>
      </c>
      <c r="D68" s="259"/>
      <c r="E68" s="259" t="s">
        <v>2434</v>
      </c>
      <c r="F68" s="246" t="s">
        <v>2489</v>
      </c>
      <c r="G68" s="187"/>
      <c r="H68" s="188"/>
      <c r="I68" s="189"/>
    </row>
    <row r="69" spans="1:9" ht="38.4">
      <c r="A69" s="288" t="s">
        <v>2464</v>
      </c>
      <c r="B69" s="244" t="s">
        <v>2490</v>
      </c>
      <c r="C69" s="292" t="s">
        <v>54</v>
      </c>
      <c r="D69" s="292"/>
      <c r="E69" s="259" t="s">
        <v>294</v>
      </c>
      <c r="F69" s="246" t="s">
        <v>2490</v>
      </c>
      <c r="G69" s="195"/>
      <c r="H69" s="196"/>
      <c r="I69" s="207"/>
    </row>
    <row r="70" spans="1:9" ht="54.75" customHeight="1">
      <c r="A70" s="288" t="s">
        <v>2465</v>
      </c>
      <c r="B70" s="244" t="s">
        <v>2401</v>
      </c>
      <c r="C70" s="292" t="s">
        <v>16</v>
      </c>
      <c r="D70" s="292"/>
      <c r="E70" s="292" t="s">
        <v>2294</v>
      </c>
      <c r="F70" s="246" t="s">
        <v>2401</v>
      </c>
      <c r="G70" s="195"/>
      <c r="H70" s="196"/>
      <c r="I70" s="207"/>
    </row>
    <row r="74" spans="1:9" ht="45" customHeight="1">
      <c r="B74" s="299" t="s">
        <v>1635</v>
      </c>
    </row>
  </sheetData>
  <mergeCells count="1">
    <mergeCell ref="A1:F1"/>
  </mergeCells>
  <pageMargins left="0" right="0" top="0.25" bottom="0.25" header="0.3" footer="0.3"/>
  <pageSetup scale="65" orientation="portrait" r:id="rId1"/>
  <rowBreaks count="3" manualBreakCount="3">
    <brk id="25" max="5" man="1"/>
    <brk id="48" max="5" man="1"/>
    <brk id="70" max="16383" man="1"/>
  </rowBreaks>
  <colBreaks count="1" manualBreakCount="1">
    <brk id="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9CFF7-5548-4056-B5C9-5FD0F029EB6E}">
  <sheetPr>
    <tabColor rgb="FF92D050"/>
  </sheetPr>
  <dimension ref="A1:F11"/>
  <sheetViews>
    <sheetView view="pageBreakPreview" topLeftCell="A5" zoomScale="89" zoomScaleNormal="85" zoomScaleSheetLayoutView="89" workbookViewId="0">
      <selection activeCell="D7" sqref="D7"/>
    </sheetView>
  </sheetViews>
  <sheetFormatPr defaultColWidth="6.69921875" defaultRowHeight="15.6"/>
  <cols>
    <col min="1" max="1" width="10.69921875" style="208" customWidth="1"/>
    <col min="2" max="2" width="39.19921875" style="208" customWidth="1"/>
    <col min="3" max="3" width="19" style="208" customWidth="1"/>
    <col min="4" max="4" width="63.5" style="208" customWidth="1"/>
    <col min="5" max="5" width="40.69921875" style="210" customWidth="1"/>
    <col min="6" max="16384" width="6.69921875" style="210"/>
  </cols>
  <sheetData>
    <row r="1" spans="1:6">
      <c r="B1" s="209" t="s">
        <v>2346</v>
      </c>
      <c r="C1" s="209"/>
      <c r="D1" s="209"/>
    </row>
    <row r="2" spans="1:6" ht="38.4">
      <c r="A2" s="211" t="s">
        <v>70</v>
      </c>
      <c r="B2" s="211" t="s">
        <v>2347</v>
      </c>
      <c r="C2" s="211" t="s">
        <v>71</v>
      </c>
      <c r="D2" s="211" t="s">
        <v>72</v>
      </c>
      <c r="E2" s="211" t="s">
        <v>1300</v>
      </c>
    </row>
    <row r="3" spans="1:6" ht="153.6">
      <c r="A3" s="212" t="s">
        <v>1311</v>
      </c>
      <c r="B3" s="212" t="s">
        <v>3133</v>
      </c>
      <c r="C3" s="212" t="s">
        <v>2883</v>
      </c>
      <c r="D3" s="213" t="s">
        <v>2884</v>
      </c>
      <c r="E3" s="212" t="s">
        <v>2885</v>
      </c>
    </row>
    <row r="4" spans="1:6" ht="76.8">
      <c r="A4" s="214" t="s">
        <v>1312</v>
      </c>
      <c r="B4" s="214" t="s">
        <v>3134</v>
      </c>
      <c r="C4" s="214" t="s">
        <v>3175</v>
      </c>
      <c r="D4" s="214" t="s">
        <v>3174</v>
      </c>
      <c r="E4" s="214" t="s">
        <v>2886</v>
      </c>
    </row>
    <row r="5" spans="1:6" ht="220.95" customHeight="1">
      <c r="A5" s="215" t="s">
        <v>1628</v>
      </c>
      <c r="B5" s="215" t="s">
        <v>3135</v>
      </c>
      <c r="C5" s="215" t="s">
        <v>3145</v>
      </c>
      <c r="D5" s="215" t="s">
        <v>3144</v>
      </c>
      <c r="E5" s="215"/>
    </row>
    <row r="6" spans="1:6" ht="134.4">
      <c r="A6" s="686" t="s">
        <v>3136</v>
      </c>
      <c r="B6" s="686" t="s">
        <v>3137</v>
      </c>
      <c r="C6" s="686" t="s">
        <v>3146</v>
      </c>
      <c r="D6" s="686" t="s">
        <v>3140</v>
      </c>
      <c r="E6" s="686"/>
    </row>
    <row r="7" spans="1:6" ht="76.8">
      <c r="A7" s="687" t="s">
        <v>3138</v>
      </c>
      <c r="B7" s="687" t="s">
        <v>3139</v>
      </c>
      <c r="C7" s="687"/>
      <c r="D7" s="687"/>
      <c r="E7" s="687"/>
    </row>
    <row r="8" spans="1:6" s="208" customFormat="1">
      <c r="F8" s="216"/>
    </row>
    <row r="9" spans="1:6" s="208" customFormat="1"/>
    <row r="10" spans="1:6">
      <c r="E10" s="208"/>
    </row>
    <row r="11" spans="1:6">
      <c r="E11" s="208"/>
    </row>
  </sheetData>
  <pageMargins left="0" right="0" top="0.5" bottom="0.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73"/>
  <sheetViews>
    <sheetView showGridLines="0" topLeftCell="A49" zoomScale="82" zoomScaleNormal="82" workbookViewId="0">
      <selection activeCell="H26" sqref="H26"/>
    </sheetView>
  </sheetViews>
  <sheetFormatPr defaultColWidth="9" defaultRowHeight="15.6"/>
  <cols>
    <col min="1" max="1" width="9.59765625" style="58" customWidth="1"/>
    <col min="2" max="2" width="17.09765625" style="58" customWidth="1"/>
    <col min="3" max="3" width="41.09765625" style="58" customWidth="1"/>
    <col min="4" max="5" width="25.19921875" style="58" customWidth="1"/>
    <col min="6" max="6" width="27.69921875" style="58" customWidth="1"/>
    <col min="7" max="7" width="16.19921875" style="58" customWidth="1"/>
    <col min="8" max="8" width="16.69921875" style="58" bestFit="1" customWidth="1"/>
    <col min="9" max="9" width="13.19921875" style="58" customWidth="1"/>
    <col min="10" max="12" width="9.59765625" style="58" customWidth="1"/>
    <col min="13" max="13" width="14.19921875" style="58" customWidth="1"/>
    <col min="14" max="15" width="17" style="58" customWidth="1"/>
    <col min="16" max="16" width="9.59765625" style="58" customWidth="1"/>
    <col min="17" max="17" width="13.19921875" style="58" customWidth="1"/>
    <col min="18" max="18" width="17.09765625" style="58" customWidth="1"/>
    <col min="19" max="19" width="19" style="58" customWidth="1"/>
    <col min="20" max="21" width="16.09765625" style="58" customWidth="1"/>
    <col min="22" max="22" width="21.59765625" style="58" customWidth="1"/>
    <col min="23" max="23" width="19.19921875" style="58" bestFit="1" customWidth="1"/>
    <col min="24" max="24" width="9.59765625" style="58" customWidth="1"/>
    <col min="25" max="25" width="30.09765625" style="58" bestFit="1" customWidth="1"/>
    <col min="26" max="26" width="10.69921875" style="58" bestFit="1" customWidth="1"/>
    <col min="27" max="37" width="9.19921875" style="58" customWidth="1"/>
    <col min="38" max="38" width="16.59765625" style="58" customWidth="1"/>
    <col min="39" max="39" width="16.69921875" style="58" customWidth="1"/>
    <col min="40" max="40" width="9.19921875" style="58" customWidth="1"/>
    <col min="41" max="41" width="24.5" style="58" customWidth="1"/>
    <col min="42" max="42" width="22.19921875" style="58" customWidth="1"/>
    <col min="43" max="43" width="19.19921875" style="58" bestFit="1" customWidth="1"/>
    <col min="44" max="44" width="9.19921875" style="58" customWidth="1"/>
    <col min="45" max="45" width="23" style="58" customWidth="1"/>
    <col min="46" max="46" width="9.19921875" style="58" customWidth="1"/>
    <col min="47" max="47" width="10.19921875" style="58" customWidth="1"/>
    <col min="48" max="16384" width="9" style="58"/>
  </cols>
  <sheetData>
    <row r="1" spans="2:35">
      <c r="D1" s="157"/>
      <c r="M1"/>
      <c r="N1"/>
      <c r="O1"/>
      <c r="P1"/>
      <c r="Q1"/>
      <c r="R1"/>
      <c r="S1"/>
      <c r="T1"/>
      <c r="U1"/>
      <c r="V1"/>
      <c r="W1"/>
    </row>
    <row r="2" spans="2:35">
      <c r="M2"/>
      <c r="N2"/>
      <c r="O2"/>
      <c r="P2"/>
      <c r="Q2"/>
      <c r="S2"/>
      <c r="T2"/>
      <c r="U2"/>
      <c r="V2"/>
      <c r="W2"/>
    </row>
    <row r="3" spans="2:35">
      <c r="B3" s="820" t="s">
        <v>18</v>
      </c>
      <c r="C3" s="798" t="s">
        <v>3199</v>
      </c>
      <c r="M3" s="797" t="s">
        <v>32</v>
      </c>
      <c r="N3" s="798" t="s">
        <v>32</v>
      </c>
      <c r="Q3"/>
      <c r="R3"/>
      <c r="V3"/>
      <c r="W3"/>
      <c r="X3"/>
    </row>
    <row r="4" spans="2:35">
      <c r="B4" s="797" t="s">
        <v>32</v>
      </c>
      <c r="C4" s="798" t="s">
        <v>32</v>
      </c>
      <c r="M4" s="797" t="s">
        <v>19</v>
      </c>
      <c r="N4" s="798" t="s">
        <v>2648</v>
      </c>
      <c r="Q4"/>
      <c r="V4"/>
    </row>
    <row r="5" spans="2:35">
      <c r="B5" s="797" t="s">
        <v>124</v>
      </c>
      <c r="C5" s="798" t="s">
        <v>794</v>
      </c>
      <c r="I5" s="59"/>
      <c r="J5" s="59"/>
      <c r="K5" s="59"/>
      <c r="L5" s="59"/>
      <c r="M5" s="797" t="s">
        <v>124</v>
      </c>
      <c r="N5" s="798" t="s">
        <v>794</v>
      </c>
      <c r="Q5"/>
      <c r="V5"/>
    </row>
    <row r="6" spans="2:35">
      <c r="M6"/>
      <c r="N6"/>
      <c r="O6" t="s">
        <v>2646</v>
      </c>
      <c r="P6"/>
      <c r="Q6"/>
      <c r="S6"/>
      <c r="T6"/>
      <c r="U6"/>
      <c r="V6"/>
      <c r="Y6"/>
      <c r="Z6"/>
      <c r="AA6"/>
      <c r="AE6" s="393"/>
      <c r="AF6" s="393"/>
      <c r="AG6" s="393"/>
    </row>
    <row r="7" spans="2:35" ht="62.4">
      <c r="B7" s="813" t="s">
        <v>1637</v>
      </c>
      <c r="C7" s="824" t="s">
        <v>1652</v>
      </c>
      <c r="D7" s="825" t="s">
        <v>2506</v>
      </c>
      <c r="E7" s="827" t="s">
        <v>2507</v>
      </c>
      <c r="F7" s="829" t="s">
        <v>2508</v>
      </c>
      <c r="G7" s="831" t="s">
        <v>2946</v>
      </c>
      <c r="H7" s="831" t="s">
        <v>2907</v>
      </c>
      <c r="I7"/>
      <c r="J7"/>
      <c r="K7" s="393"/>
      <c r="M7" s="798"/>
      <c r="N7" s="819" t="s">
        <v>1652</v>
      </c>
      <c r="O7" s="822" t="s">
        <v>2506</v>
      </c>
      <c r="P7" s="798" t="s">
        <v>2507</v>
      </c>
      <c r="Q7" s="798" t="s">
        <v>2508</v>
      </c>
      <c r="R7" s="798" t="s">
        <v>3311</v>
      </c>
      <c r="S7"/>
      <c r="T7"/>
      <c r="U7"/>
      <c r="V7"/>
      <c r="W7"/>
      <c r="Y7"/>
      <c r="Z7"/>
      <c r="AA7"/>
      <c r="AB7"/>
      <c r="AC7"/>
      <c r="AE7"/>
      <c r="AF7"/>
      <c r="AG7"/>
      <c r="AH7"/>
      <c r="AI7"/>
    </row>
    <row r="8" spans="2:35">
      <c r="B8" s="799" t="s">
        <v>36</v>
      </c>
      <c r="C8" s="823">
        <v>11571</v>
      </c>
      <c r="D8" s="821">
        <v>2904</v>
      </c>
      <c r="E8" s="826">
        <v>1670</v>
      </c>
      <c r="F8" s="828">
        <v>331</v>
      </c>
      <c r="G8" s="800">
        <v>0</v>
      </c>
      <c r="H8" s="830"/>
      <c r="I8"/>
      <c r="J8"/>
      <c r="K8" s="393"/>
      <c r="M8" s="798" t="s">
        <v>3150</v>
      </c>
      <c r="N8" s="818">
        <v>134193</v>
      </c>
      <c r="O8" s="809">
        <v>113604</v>
      </c>
      <c r="P8" s="809">
        <v>44392</v>
      </c>
      <c r="Q8" s="809">
        <v>41621</v>
      </c>
      <c r="R8" s="809">
        <v>23081</v>
      </c>
      <c r="S8"/>
      <c r="T8"/>
      <c r="U8"/>
      <c r="V8"/>
      <c r="W8"/>
      <c r="Y8"/>
      <c r="Z8"/>
      <c r="AA8"/>
      <c r="AB8"/>
      <c r="AC8"/>
      <c r="AE8"/>
      <c r="AF8"/>
      <c r="AG8"/>
      <c r="AH8"/>
      <c r="AI8"/>
    </row>
    <row r="9" spans="2:35">
      <c r="B9" s="799" t="s">
        <v>698</v>
      </c>
      <c r="C9" s="823">
        <v>5926</v>
      </c>
      <c r="D9" s="821">
        <v>3054</v>
      </c>
      <c r="E9" s="826">
        <v>2394</v>
      </c>
      <c r="F9" s="828">
        <v>1044</v>
      </c>
      <c r="G9" s="800">
        <v>1044</v>
      </c>
      <c r="H9" s="830">
        <v>512</v>
      </c>
      <c r="I9"/>
      <c r="J9"/>
      <c r="K9" s="393"/>
      <c r="M9" s="798" t="s">
        <v>3199</v>
      </c>
      <c r="N9" s="818">
        <v>141021</v>
      </c>
      <c r="O9" s="809">
        <v>111709</v>
      </c>
      <c r="P9" s="809">
        <v>45023</v>
      </c>
      <c r="Q9" s="809">
        <v>30321</v>
      </c>
      <c r="R9" s="809">
        <v>26321</v>
      </c>
      <c r="S9"/>
      <c r="T9"/>
      <c r="U9"/>
      <c r="V9"/>
      <c r="W9"/>
      <c r="Y9"/>
      <c r="Z9"/>
      <c r="AA9"/>
      <c r="AB9"/>
      <c r="AC9"/>
      <c r="AE9"/>
      <c r="AF9"/>
      <c r="AG9"/>
      <c r="AH9"/>
      <c r="AI9"/>
    </row>
    <row r="10" spans="2:35">
      <c r="B10" s="799" t="s">
        <v>2648</v>
      </c>
      <c r="C10" s="823">
        <v>141021</v>
      </c>
      <c r="D10" s="821">
        <v>111709</v>
      </c>
      <c r="E10" s="826">
        <v>45023</v>
      </c>
      <c r="F10" s="828">
        <v>30321</v>
      </c>
      <c r="G10" s="830">
        <v>26321</v>
      </c>
      <c r="H10" s="830">
        <v>6915</v>
      </c>
      <c r="I10"/>
      <c r="J10"/>
      <c r="M10" s="798" t="s">
        <v>1639</v>
      </c>
      <c r="N10" s="818">
        <v>275214</v>
      </c>
      <c r="O10" s="832">
        <v>225313</v>
      </c>
      <c r="P10" s="809">
        <v>89415</v>
      </c>
      <c r="Q10" s="809">
        <v>71942</v>
      </c>
      <c r="R10" s="809">
        <v>49402</v>
      </c>
      <c r="S10"/>
      <c r="T10"/>
      <c r="U10"/>
      <c r="W10"/>
      <c r="X10"/>
      <c r="Y10"/>
      <c r="Z10"/>
      <c r="AA10"/>
      <c r="AB10"/>
      <c r="AC10"/>
    </row>
    <row r="11" spans="2:35">
      <c r="B11" s="799" t="s">
        <v>3274</v>
      </c>
      <c r="C11" s="823">
        <v>7593</v>
      </c>
      <c r="D11" s="821">
        <v>7144</v>
      </c>
      <c r="E11" s="826">
        <v>4602</v>
      </c>
      <c r="F11" s="828">
        <v>0</v>
      </c>
      <c r="G11" s="800">
        <v>0</v>
      </c>
      <c r="H11" s="830">
        <v>0</v>
      </c>
      <c r="I11"/>
      <c r="J11"/>
      <c r="M11"/>
      <c r="N11"/>
      <c r="O11"/>
      <c r="P11"/>
      <c r="Q11"/>
      <c r="R11"/>
      <c r="S11"/>
      <c r="T11"/>
      <c r="U11"/>
      <c r="W11"/>
      <c r="X11"/>
      <c r="Y11"/>
      <c r="Z11"/>
      <c r="AA11"/>
      <c r="AB11"/>
      <c r="AC11"/>
    </row>
    <row r="12" spans="2:35">
      <c r="B12" s="799" t="s">
        <v>1639</v>
      </c>
      <c r="C12" s="823">
        <v>166111</v>
      </c>
      <c r="D12" s="821">
        <v>124811</v>
      </c>
      <c r="E12" s="826">
        <v>53689</v>
      </c>
      <c r="F12" s="828">
        <v>31696</v>
      </c>
      <c r="G12" s="830">
        <v>27365</v>
      </c>
      <c r="H12" s="830">
        <v>7427</v>
      </c>
      <c r="M12"/>
      <c r="N12"/>
      <c r="O12"/>
      <c r="P12"/>
      <c r="R12"/>
      <c r="S12"/>
      <c r="T12"/>
      <c r="U12"/>
      <c r="W12"/>
      <c r="X12"/>
      <c r="Y12"/>
      <c r="Z12"/>
    </row>
    <row r="13" spans="2:35" ht="16.2" thickBot="1">
      <c r="C13" s="146"/>
      <c r="D13" s="421"/>
      <c r="E13" s="146"/>
      <c r="F13" s="146"/>
    </row>
    <row r="14" spans="2:35" ht="31.8" thickBot="1">
      <c r="G14" s="60"/>
      <c r="J14" s="144" t="s">
        <v>1910</v>
      </c>
      <c r="K14" s="145"/>
      <c r="L14" s="897" t="s">
        <v>1911</v>
      </c>
      <c r="M14" s="897"/>
      <c r="N14" s="898"/>
    </row>
    <row r="15" spans="2:35" ht="60" customHeight="1">
      <c r="C15" s="79" t="s">
        <v>1640</v>
      </c>
      <c r="D15" s="80" t="s">
        <v>1641</v>
      </c>
      <c r="E15" s="80" t="s">
        <v>1642</v>
      </c>
      <c r="F15" s="81" t="s">
        <v>2905</v>
      </c>
      <c r="G15" s="82" t="s">
        <v>2906</v>
      </c>
      <c r="H15" s="82" t="s">
        <v>1991</v>
      </c>
      <c r="I15" s="82" t="s">
        <v>1992</v>
      </c>
      <c r="J15" s="76" t="s">
        <v>1643</v>
      </c>
      <c r="K15" s="77" t="s">
        <v>1644</v>
      </c>
      <c r="L15" s="77" t="s">
        <v>1645</v>
      </c>
      <c r="M15" s="77" t="s">
        <v>1646</v>
      </c>
      <c r="N15" s="78" t="s">
        <v>1647</v>
      </c>
      <c r="O15" s="82" t="s">
        <v>1649</v>
      </c>
    </row>
    <row r="16" spans="2:35" ht="25.5" customHeight="1">
      <c r="C16" s="902" t="s">
        <v>2348</v>
      </c>
      <c r="D16" s="559" t="s">
        <v>2648</v>
      </c>
      <c r="E16" s="560">
        <v>284447.02999999997</v>
      </c>
      <c r="F16" s="560">
        <v>86458</v>
      </c>
      <c r="G16" s="561">
        <f>GETPIVOTDATA(" HRP1",$M$7,"Reporting Period","2020_Q1")</f>
        <v>113604</v>
      </c>
      <c r="H16" s="562">
        <f t="shared" ref="H16:H39" si="0">G16/F16</f>
        <v>1.3139790418469084</v>
      </c>
      <c r="I16" s="562">
        <f t="shared" ref="I16:I30" si="1">1-H16</f>
        <v>-0.31397904184690839</v>
      </c>
      <c r="J16" s="563">
        <f t="shared" ref="J16:J30" si="2">G16*0.45</f>
        <v>51121.8</v>
      </c>
      <c r="K16" s="560">
        <f t="shared" ref="K16:K30" si="3">G16*0.55</f>
        <v>62482.200000000004</v>
      </c>
      <c r="L16" s="560">
        <f t="shared" ref="L16:L30" si="4">G16*0.35</f>
        <v>39761.399999999994</v>
      </c>
      <c r="M16" s="560">
        <f t="shared" ref="M16:M30" si="5">G16*0.4</f>
        <v>45441.600000000006</v>
      </c>
      <c r="N16" s="561">
        <f t="shared" ref="N16:N30" si="6">G16*0.25</f>
        <v>28401</v>
      </c>
      <c r="O16" s="561">
        <f t="shared" ref="O16:O30" si="7">F16-G16</f>
        <v>-27146</v>
      </c>
    </row>
    <row r="17" spans="3:15">
      <c r="C17" s="903"/>
      <c r="D17" s="564" t="s">
        <v>2647</v>
      </c>
      <c r="E17" s="565">
        <v>227920</v>
      </c>
      <c r="F17" s="565">
        <v>176245</v>
      </c>
      <c r="G17" s="566"/>
      <c r="H17" s="567">
        <f t="shared" si="0"/>
        <v>0</v>
      </c>
      <c r="I17" s="567">
        <f t="shared" ref="I17:I22" si="8">1-H17</f>
        <v>1</v>
      </c>
      <c r="J17" s="568">
        <f t="shared" ref="J17:J22" si="9">G17*0.45</f>
        <v>0</v>
      </c>
      <c r="K17" s="565">
        <f t="shared" ref="K17:K22" si="10">G17*0.55</f>
        <v>0</v>
      </c>
      <c r="L17" s="565">
        <f t="shared" ref="L17:L22" si="11">G17*0.35</f>
        <v>0</v>
      </c>
      <c r="M17" s="565">
        <f t="shared" ref="M17:M22" si="12">G17*0.4</f>
        <v>0</v>
      </c>
      <c r="N17" s="566">
        <f t="shared" ref="N17:N22" si="13">G17*0.25</f>
        <v>0</v>
      </c>
      <c r="O17" s="566">
        <f t="shared" ref="O17:O22" si="14">F17-G17</f>
        <v>176245</v>
      </c>
    </row>
    <row r="18" spans="3:15">
      <c r="C18" s="903"/>
      <c r="D18" s="564" t="s">
        <v>36</v>
      </c>
      <c r="E18" s="565">
        <v>53281.579802514039</v>
      </c>
      <c r="F18" s="565">
        <v>15522.400000000009</v>
      </c>
      <c r="G18" s="566">
        <f>GETPIVOTDATA(" HRP1",$B$7,"State","Kachin")</f>
        <v>2904</v>
      </c>
      <c r="H18" s="567">
        <f t="shared" ref="H18" si="15">G18/F18</f>
        <v>0.18708447147348337</v>
      </c>
      <c r="I18" s="567">
        <f t="shared" si="8"/>
        <v>0.81291552852651661</v>
      </c>
      <c r="J18" s="568">
        <f t="shared" si="9"/>
        <v>1306.8</v>
      </c>
      <c r="K18" s="565">
        <f t="shared" si="10"/>
        <v>1597.2</v>
      </c>
      <c r="L18" s="565">
        <f t="shared" si="11"/>
        <v>1016.4</v>
      </c>
      <c r="M18" s="565">
        <f t="shared" si="12"/>
        <v>1161.6000000000001</v>
      </c>
      <c r="N18" s="566">
        <f t="shared" si="13"/>
        <v>726</v>
      </c>
      <c r="O18" s="566">
        <f t="shared" si="14"/>
        <v>12618.400000000009</v>
      </c>
    </row>
    <row r="19" spans="3:15">
      <c r="C19" s="903"/>
      <c r="D19" s="564" t="s">
        <v>698</v>
      </c>
      <c r="E19" s="565">
        <v>47833.624732911274</v>
      </c>
      <c r="F19" s="565">
        <v>11607</v>
      </c>
      <c r="G19" s="566">
        <f>GETPIVOTDATA(" HRP1",$B$7,"State","Shan (North)")</f>
        <v>3054</v>
      </c>
      <c r="H19" s="567">
        <f t="shared" ref="H19" si="16">G19/F19</f>
        <v>0.26311708451796328</v>
      </c>
      <c r="I19" s="567">
        <f t="shared" si="8"/>
        <v>0.73688291548203666</v>
      </c>
      <c r="J19" s="568">
        <f t="shared" si="9"/>
        <v>1374.3</v>
      </c>
      <c r="K19" s="565">
        <f t="shared" si="10"/>
        <v>1679.7</v>
      </c>
      <c r="L19" s="565">
        <f t="shared" si="11"/>
        <v>1068.8999999999999</v>
      </c>
      <c r="M19" s="565">
        <f t="shared" si="12"/>
        <v>1221.6000000000001</v>
      </c>
      <c r="N19" s="566">
        <f t="shared" si="13"/>
        <v>763.5</v>
      </c>
      <c r="O19" s="566">
        <f t="shared" si="14"/>
        <v>8553</v>
      </c>
    </row>
    <row r="20" spans="3:15">
      <c r="C20" s="903"/>
      <c r="D20" s="564" t="s">
        <v>3274</v>
      </c>
      <c r="E20" s="565">
        <v>9132</v>
      </c>
      <c r="F20" s="565">
        <v>9132</v>
      </c>
      <c r="G20" s="566">
        <f>GETPIVOTDATA(" HRP1",$B$7,"State","Kayin")</f>
        <v>7144</v>
      </c>
      <c r="H20" s="567">
        <f t="shared" ref="H20" si="17">G20/F20</f>
        <v>0.78230398598335527</v>
      </c>
      <c r="I20" s="567">
        <f t="shared" si="8"/>
        <v>0.21769601401664473</v>
      </c>
      <c r="J20" s="568">
        <f t="shared" si="9"/>
        <v>3214.8</v>
      </c>
      <c r="K20" s="565">
        <f t="shared" si="10"/>
        <v>3929.2000000000003</v>
      </c>
      <c r="L20" s="565">
        <f t="shared" si="11"/>
        <v>2500.3999999999996</v>
      </c>
      <c r="M20" s="565">
        <f t="shared" si="12"/>
        <v>2857.6000000000004</v>
      </c>
      <c r="N20" s="566">
        <f t="shared" si="13"/>
        <v>1786</v>
      </c>
      <c r="O20" s="566">
        <f t="shared" si="14"/>
        <v>1988</v>
      </c>
    </row>
    <row r="21" spans="3:15">
      <c r="C21" s="903"/>
      <c r="D21" s="786" t="s">
        <v>807</v>
      </c>
      <c r="E21" s="787">
        <v>4279</v>
      </c>
      <c r="F21" s="787">
        <v>1000</v>
      </c>
      <c r="G21" s="787"/>
      <c r="H21" s="567">
        <f t="shared" ref="H21" si="18">G21/F21</f>
        <v>0</v>
      </c>
      <c r="I21" s="567">
        <f t="shared" si="8"/>
        <v>1</v>
      </c>
      <c r="J21" s="568">
        <f t="shared" si="9"/>
        <v>0</v>
      </c>
      <c r="K21" s="565">
        <f t="shared" si="10"/>
        <v>0</v>
      </c>
      <c r="L21" s="565">
        <f t="shared" si="11"/>
        <v>0</v>
      </c>
      <c r="M21" s="565">
        <f t="shared" si="12"/>
        <v>0</v>
      </c>
      <c r="N21" s="566">
        <f t="shared" si="13"/>
        <v>0</v>
      </c>
      <c r="O21" s="566">
        <f t="shared" si="14"/>
        <v>1000</v>
      </c>
    </row>
    <row r="22" spans="3:15">
      <c r="C22" s="904"/>
      <c r="D22" s="557" t="s">
        <v>1893</v>
      </c>
      <c r="E22" s="558">
        <f>SUM(E16:E21)</f>
        <v>626893.2345354252</v>
      </c>
      <c r="F22" s="558">
        <f t="shared" ref="F22:G22" si="19">SUM(F16:F21)</f>
        <v>299964.40000000002</v>
      </c>
      <c r="G22" s="558">
        <f t="shared" si="19"/>
        <v>126706</v>
      </c>
      <c r="H22" s="796">
        <f t="shared" si="0"/>
        <v>0.42240345854374717</v>
      </c>
      <c r="I22" s="558">
        <f t="shared" si="8"/>
        <v>0.57759654145625283</v>
      </c>
      <c r="J22" s="558">
        <f t="shared" si="9"/>
        <v>57017.700000000004</v>
      </c>
      <c r="K22" s="558">
        <f t="shared" si="10"/>
        <v>69688.3</v>
      </c>
      <c r="L22" s="558">
        <f t="shared" si="11"/>
        <v>44347.1</v>
      </c>
      <c r="M22" s="558">
        <f t="shared" si="12"/>
        <v>50682.400000000001</v>
      </c>
      <c r="N22" s="558">
        <f t="shared" si="13"/>
        <v>31676.5</v>
      </c>
      <c r="O22" s="558">
        <f t="shared" si="14"/>
        <v>173258.40000000002</v>
      </c>
    </row>
    <row r="23" spans="3:15" ht="21" customHeight="1">
      <c r="C23" s="899" t="s">
        <v>2349</v>
      </c>
      <c r="D23" s="569" t="s">
        <v>2648</v>
      </c>
      <c r="E23" s="570">
        <v>284447.02999999997</v>
      </c>
      <c r="F23" s="570">
        <v>86458</v>
      </c>
      <c r="G23" s="571">
        <f>GETPIVOTDATA(" HRP2",$B$7,"State","Central Rakhine")</f>
        <v>45023</v>
      </c>
      <c r="H23" s="572">
        <f t="shared" si="0"/>
        <v>0.52074995951791625</v>
      </c>
      <c r="I23" s="572">
        <f t="shared" si="1"/>
        <v>0.47925004048208375</v>
      </c>
      <c r="J23" s="573">
        <f t="shared" si="2"/>
        <v>20260.350000000002</v>
      </c>
      <c r="K23" s="570">
        <f t="shared" si="3"/>
        <v>24762.65</v>
      </c>
      <c r="L23" s="570">
        <f t="shared" si="4"/>
        <v>15758.05</v>
      </c>
      <c r="M23" s="570">
        <f t="shared" si="5"/>
        <v>18009.2</v>
      </c>
      <c r="N23" s="574">
        <f t="shared" si="6"/>
        <v>11255.75</v>
      </c>
      <c r="O23" s="574">
        <f t="shared" si="7"/>
        <v>41435</v>
      </c>
    </row>
    <row r="24" spans="3:15" ht="21" customHeight="1">
      <c r="C24" s="900"/>
      <c r="D24" s="575" t="s">
        <v>2647</v>
      </c>
      <c r="E24" s="576">
        <v>227920</v>
      </c>
      <c r="F24" s="576">
        <v>176245</v>
      </c>
      <c r="G24" s="577"/>
      <c r="H24" s="578">
        <f t="shared" si="0"/>
        <v>0</v>
      </c>
      <c r="I24" s="578">
        <f t="shared" ref="I24:I29" si="20">1-H24</f>
        <v>1</v>
      </c>
      <c r="J24" s="579">
        <f t="shared" ref="J24:J29" si="21">G24*0.45</f>
        <v>0</v>
      </c>
      <c r="K24" s="576">
        <f t="shared" ref="K24:K29" si="22">G24*0.55</f>
        <v>0</v>
      </c>
      <c r="L24" s="576">
        <f t="shared" ref="L24:L29" si="23">G24*0.35</f>
        <v>0</v>
      </c>
      <c r="M24" s="576">
        <f t="shared" ref="M24:M29" si="24">G24*0.4</f>
        <v>0</v>
      </c>
      <c r="N24" s="580">
        <f t="shared" ref="N24:N29" si="25">G24*0.25</f>
        <v>0</v>
      </c>
      <c r="O24" s="580">
        <f t="shared" ref="O24:O29" si="26">F24-G24</f>
        <v>176245</v>
      </c>
    </row>
    <row r="25" spans="3:15" ht="21" customHeight="1">
      <c r="C25" s="900"/>
      <c r="D25" s="575" t="s">
        <v>36</v>
      </c>
      <c r="E25" s="576">
        <v>53281.579802514039</v>
      </c>
      <c r="F25" s="576">
        <v>15522.400000000009</v>
      </c>
      <c r="G25" s="662">
        <f>GETPIVOTDATA(" HRP2",$B$7,"State","Kachin")</f>
        <v>1670</v>
      </c>
      <c r="H25" s="578">
        <f t="shared" ref="H25" si="27">G25/F25</f>
        <v>0.10758645570272632</v>
      </c>
      <c r="I25" s="578">
        <f t="shared" si="20"/>
        <v>0.89241354429727371</v>
      </c>
      <c r="J25" s="579">
        <f t="shared" si="21"/>
        <v>751.5</v>
      </c>
      <c r="K25" s="576">
        <f t="shared" si="22"/>
        <v>918.50000000000011</v>
      </c>
      <c r="L25" s="576">
        <f t="shared" si="23"/>
        <v>584.5</v>
      </c>
      <c r="M25" s="576">
        <f t="shared" si="24"/>
        <v>668</v>
      </c>
      <c r="N25" s="580">
        <f t="shared" si="25"/>
        <v>417.5</v>
      </c>
      <c r="O25" s="580">
        <f t="shared" si="26"/>
        <v>13852.400000000009</v>
      </c>
    </row>
    <row r="26" spans="3:15" ht="21" customHeight="1">
      <c r="C26" s="900"/>
      <c r="D26" s="575" t="s">
        <v>698</v>
      </c>
      <c r="E26" s="576">
        <v>47833.624732911274</v>
      </c>
      <c r="F26" s="576">
        <v>11607</v>
      </c>
      <c r="G26" s="662">
        <f>GETPIVOTDATA(" HRP2",$B$7,"State","Shan (North)")</f>
        <v>2394</v>
      </c>
      <c r="H26" s="578">
        <f t="shared" ref="H26" si="28">G26/F26</f>
        <v>0.20625484621349185</v>
      </c>
      <c r="I26" s="578">
        <f t="shared" si="20"/>
        <v>0.79374515378650812</v>
      </c>
      <c r="J26" s="579">
        <f t="shared" si="21"/>
        <v>1077.3</v>
      </c>
      <c r="K26" s="576">
        <f t="shared" si="22"/>
        <v>1316.7</v>
      </c>
      <c r="L26" s="576">
        <f t="shared" si="23"/>
        <v>837.9</v>
      </c>
      <c r="M26" s="576">
        <f t="shared" si="24"/>
        <v>957.6</v>
      </c>
      <c r="N26" s="580">
        <f t="shared" si="25"/>
        <v>598.5</v>
      </c>
      <c r="O26" s="580">
        <f t="shared" si="26"/>
        <v>9213</v>
      </c>
    </row>
    <row r="27" spans="3:15" ht="21" customHeight="1">
      <c r="C27" s="900"/>
      <c r="D27" s="575" t="s">
        <v>3274</v>
      </c>
      <c r="E27" s="576">
        <v>9132</v>
      </c>
      <c r="F27" s="576">
        <v>9132</v>
      </c>
      <c r="G27" s="662">
        <f>GETPIVOTDATA(" HRP2",$B$7,"State","Kayin")</f>
        <v>4602</v>
      </c>
      <c r="H27" s="578">
        <f t="shared" ref="H27" si="29">G27/F27</f>
        <v>0.50394218134034163</v>
      </c>
      <c r="I27" s="578">
        <f t="shared" si="20"/>
        <v>0.49605781865965837</v>
      </c>
      <c r="J27" s="579">
        <f t="shared" si="21"/>
        <v>2070.9</v>
      </c>
      <c r="K27" s="576">
        <f t="shared" si="22"/>
        <v>2531.1000000000004</v>
      </c>
      <c r="L27" s="576">
        <f t="shared" si="23"/>
        <v>1610.6999999999998</v>
      </c>
      <c r="M27" s="576">
        <f t="shared" si="24"/>
        <v>1840.8000000000002</v>
      </c>
      <c r="N27" s="580">
        <f t="shared" si="25"/>
        <v>1150.5</v>
      </c>
      <c r="O27" s="580">
        <f t="shared" si="26"/>
        <v>4530</v>
      </c>
    </row>
    <row r="28" spans="3:15" ht="21" customHeight="1">
      <c r="C28" s="900"/>
      <c r="D28" s="575" t="s">
        <v>807</v>
      </c>
      <c r="E28" s="576">
        <v>4279</v>
      </c>
      <c r="F28" s="576">
        <v>1000</v>
      </c>
      <c r="G28" s="662"/>
      <c r="H28" s="578">
        <f t="shared" ref="H28" si="30">G28/F28</f>
        <v>0</v>
      </c>
      <c r="I28" s="578">
        <f t="shared" si="20"/>
        <v>1</v>
      </c>
      <c r="J28" s="579">
        <f t="shared" si="21"/>
        <v>0</v>
      </c>
      <c r="K28" s="576">
        <f t="shared" si="22"/>
        <v>0</v>
      </c>
      <c r="L28" s="576">
        <f t="shared" si="23"/>
        <v>0</v>
      </c>
      <c r="M28" s="576">
        <f t="shared" si="24"/>
        <v>0</v>
      </c>
      <c r="N28" s="580">
        <f t="shared" si="25"/>
        <v>0</v>
      </c>
      <c r="O28" s="580">
        <f t="shared" si="26"/>
        <v>1000</v>
      </c>
    </row>
    <row r="29" spans="3:15">
      <c r="C29" s="901"/>
      <c r="D29" s="592" t="s">
        <v>1893</v>
      </c>
      <c r="E29" s="593">
        <f>SUM(E23:E28)</f>
        <v>626893.2345354252</v>
      </c>
      <c r="F29" s="593">
        <f t="shared" ref="F29:G29" si="31">SUM(F23:F28)</f>
        <v>299964.40000000002</v>
      </c>
      <c r="G29" s="593">
        <f t="shared" si="31"/>
        <v>53689</v>
      </c>
      <c r="H29" s="594">
        <f t="shared" si="0"/>
        <v>0.17898457283597652</v>
      </c>
      <c r="I29" s="594">
        <f t="shared" si="20"/>
        <v>0.82101542716402354</v>
      </c>
      <c r="J29" s="595">
        <f t="shared" si="21"/>
        <v>24160.05</v>
      </c>
      <c r="K29" s="593">
        <f t="shared" si="22"/>
        <v>29528.95</v>
      </c>
      <c r="L29" s="593">
        <f t="shared" si="23"/>
        <v>18791.149999999998</v>
      </c>
      <c r="M29" s="593">
        <f t="shared" si="24"/>
        <v>21475.600000000002</v>
      </c>
      <c r="N29" s="596">
        <f t="shared" si="25"/>
        <v>13422.25</v>
      </c>
      <c r="O29" s="596">
        <f t="shared" si="26"/>
        <v>246275.40000000002</v>
      </c>
    </row>
    <row r="30" spans="3:15">
      <c r="C30" s="905" t="s">
        <v>2491</v>
      </c>
      <c r="D30" s="581" t="s">
        <v>2648</v>
      </c>
      <c r="E30" s="582">
        <v>284447.02999999997</v>
      </c>
      <c r="F30" s="582">
        <v>86458</v>
      </c>
      <c r="G30" s="583">
        <f>GETPIVOTDATA(" HRP3",$M$7,"Reporting Period","2020_Q1")</f>
        <v>41621</v>
      </c>
      <c r="H30" s="584">
        <f t="shared" si="0"/>
        <v>0.48140137407758682</v>
      </c>
      <c r="I30" s="584">
        <f t="shared" si="1"/>
        <v>0.51859862592241313</v>
      </c>
      <c r="J30" s="585">
        <f t="shared" si="2"/>
        <v>18729.45</v>
      </c>
      <c r="K30" s="582">
        <f t="shared" si="3"/>
        <v>22891.550000000003</v>
      </c>
      <c r="L30" s="582">
        <f t="shared" si="4"/>
        <v>14567.349999999999</v>
      </c>
      <c r="M30" s="582">
        <f t="shared" si="5"/>
        <v>16648.400000000001</v>
      </c>
      <c r="N30" s="586">
        <f t="shared" si="6"/>
        <v>10405.25</v>
      </c>
      <c r="O30" s="586">
        <f t="shared" si="7"/>
        <v>44837</v>
      </c>
    </row>
    <row r="31" spans="3:15">
      <c r="C31" s="906"/>
      <c r="D31" s="581" t="s">
        <v>2647</v>
      </c>
      <c r="E31" s="582">
        <v>227920</v>
      </c>
      <c r="F31" s="582">
        <v>176245</v>
      </c>
      <c r="G31" s="583"/>
      <c r="H31" s="584">
        <f t="shared" si="0"/>
        <v>0</v>
      </c>
      <c r="I31" s="584">
        <f t="shared" ref="I31:I43" si="32">1-H31</f>
        <v>1</v>
      </c>
      <c r="J31" s="585">
        <f t="shared" ref="J31:J40" si="33">G31*0.45</f>
        <v>0</v>
      </c>
      <c r="K31" s="582">
        <f t="shared" ref="K31:K40" si="34">G31*0.55</f>
        <v>0</v>
      </c>
      <c r="L31" s="582">
        <f t="shared" ref="L31:L40" si="35">G31*0.35</f>
        <v>0</v>
      </c>
      <c r="M31" s="582">
        <f t="shared" ref="M31:M40" si="36">G31*0.4</f>
        <v>0</v>
      </c>
      <c r="N31" s="586">
        <f t="shared" ref="N31:N40" si="37">G31*0.25</f>
        <v>0</v>
      </c>
      <c r="O31" s="586">
        <f t="shared" ref="O31:O40" si="38">F31-G31</f>
        <v>176245</v>
      </c>
    </row>
    <row r="32" spans="3:15">
      <c r="C32" s="906"/>
      <c r="D32" s="581" t="s">
        <v>36</v>
      </c>
      <c r="E32" s="582">
        <v>53281.579802514039</v>
      </c>
      <c r="F32" s="582">
        <v>15522.400000000009</v>
      </c>
      <c r="G32" s="663">
        <f>GETPIVOTDATA(" HRP3",$B$7,"State","Kachin")</f>
        <v>331</v>
      </c>
      <c r="H32" s="584">
        <f t="shared" ref="H32" si="39">G32/F32</f>
        <v>2.132402205844456E-2</v>
      </c>
      <c r="I32" s="584">
        <f t="shared" ref="I32" si="40">1-H32</f>
        <v>0.97867597794155547</v>
      </c>
      <c r="J32" s="585">
        <f t="shared" ref="J32" si="41">G32*0.45</f>
        <v>148.95000000000002</v>
      </c>
      <c r="K32" s="582">
        <f t="shared" ref="K32" si="42">G32*0.55</f>
        <v>182.05</v>
      </c>
      <c r="L32" s="582">
        <f t="shared" ref="L32" si="43">G32*0.35</f>
        <v>115.85</v>
      </c>
      <c r="M32" s="582">
        <f t="shared" ref="M32" si="44">G32*0.4</f>
        <v>132.4</v>
      </c>
      <c r="N32" s="586">
        <f t="shared" ref="N32" si="45">G32*0.25</f>
        <v>82.75</v>
      </c>
      <c r="O32" s="586">
        <f t="shared" ref="O32" si="46">F32-G32</f>
        <v>15191.400000000009</v>
      </c>
    </row>
    <row r="33" spans="1:18">
      <c r="C33" s="906"/>
      <c r="D33" s="581" t="s">
        <v>698</v>
      </c>
      <c r="E33" s="582">
        <v>47833.624732911274</v>
      </c>
      <c r="F33" s="582">
        <v>11607</v>
      </c>
      <c r="G33" s="663">
        <f>GETPIVOTDATA(" HRP3",$B$7,"State","Shan (North)")</f>
        <v>1044</v>
      </c>
      <c r="H33" s="584">
        <f t="shared" ref="H33" si="47">G33/F33</f>
        <v>8.9945722408891191E-2</v>
      </c>
      <c r="I33" s="584">
        <f t="shared" ref="I33" si="48">1-H33</f>
        <v>0.9100542775911088</v>
      </c>
      <c r="J33" s="585">
        <f t="shared" si="33"/>
        <v>469.8</v>
      </c>
      <c r="K33" s="582">
        <f t="shared" si="34"/>
        <v>574.20000000000005</v>
      </c>
      <c r="L33" s="582">
        <f t="shared" si="35"/>
        <v>365.4</v>
      </c>
      <c r="M33" s="582">
        <f t="shared" si="36"/>
        <v>417.6</v>
      </c>
      <c r="N33" s="586">
        <f t="shared" si="37"/>
        <v>261</v>
      </c>
      <c r="O33" s="586">
        <f t="shared" si="38"/>
        <v>10563</v>
      </c>
    </row>
    <row r="34" spans="1:18">
      <c r="C34" s="906"/>
      <c r="D34" s="581" t="s">
        <v>3274</v>
      </c>
      <c r="E34" s="582">
        <v>9132</v>
      </c>
      <c r="F34" s="582">
        <v>9132</v>
      </c>
      <c r="G34" s="663">
        <f>GETPIVOTDATA(" HRP3",$B$7,"State","Kayin")</f>
        <v>0</v>
      </c>
      <c r="H34" s="584">
        <f t="shared" ref="H34" si="49">G34/F34</f>
        <v>0</v>
      </c>
      <c r="I34" s="584">
        <f t="shared" ref="I34" si="50">1-H34</f>
        <v>1</v>
      </c>
      <c r="J34" s="585">
        <f t="shared" ref="J34" si="51">G34*0.45</f>
        <v>0</v>
      </c>
      <c r="K34" s="582">
        <f t="shared" ref="K34" si="52">G34*0.55</f>
        <v>0</v>
      </c>
      <c r="L34" s="582">
        <f t="shared" ref="L34" si="53">G34*0.35</f>
        <v>0</v>
      </c>
      <c r="M34" s="582">
        <f t="shared" ref="M34" si="54">G34*0.4</f>
        <v>0</v>
      </c>
      <c r="N34" s="586">
        <f t="shared" ref="N34" si="55">G34*0.25</f>
        <v>0</v>
      </c>
      <c r="O34" s="586">
        <f t="shared" ref="O34" si="56">F34-G34</f>
        <v>9132</v>
      </c>
    </row>
    <row r="35" spans="1:18">
      <c r="C35" s="906"/>
      <c r="D35" s="581" t="s">
        <v>807</v>
      </c>
      <c r="E35" s="582">
        <v>4279</v>
      </c>
      <c r="F35" s="582">
        <v>1000</v>
      </c>
      <c r="G35" s="663"/>
      <c r="H35" s="584">
        <f t="shared" ref="H35" si="57">G35/F35</f>
        <v>0</v>
      </c>
      <c r="I35" s="584">
        <f t="shared" ref="I35" si="58">1-H35</f>
        <v>1</v>
      </c>
      <c r="J35" s="585">
        <f t="shared" ref="J35" si="59">G35*0.45</f>
        <v>0</v>
      </c>
      <c r="K35" s="582">
        <f t="shared" ref="K35" si="60">G35*0.55</f>
        <v>0</v>
      </c>
      <c r="L35" s="582">
        <f t="shared" ref="L35" si="61">G35*0.35</f>
        <v>0</v>
      </c>
      <c r="M35" s="582">
        <f t="shared" ref="M35" si="62">G35*0.4</f>
        <v>0</v>
      </c>
      <c r="N35" s="586">
        <f t="shared" ref="N35" si="63">G35*0.25</f>
        <v>0</v>
      </c>
      <c r="O35" s="586">
        <f t="shared" ref="O35" si="64">F35-G35</f>
        <v>1000</v>
      </c>
    </row>
    <row r="36" spans="1:18">
      <c r="C36" s="907"/>
      <c r="D36" s="597" t="s">
        <v>1893</v>
      </c>
      <c r="E36" s="600">
        <f>SUM(E30:E33)</f>
        <v>613482.2345354252</v>
      </c>
      <c r="F36" s="600">
        <f>SUM(F30:F33)</f>
        <v>289832.40000000002</v>
      </c>
      <c r="G36" s="600">
        <f>SUM(G30:G33)</f>
        <v>42996</v>
      </c>
      <c r="H36" s="598">
        <f t="shared" si="0"/>
        <v>0.14834780376521051</v>
      </c>
      <c r="I36" s="598">
        <f t="shared" si="32"/>
        <v>0.85165219623478949</v>
      </c>
      <c r="J36" s="599">
        <f t="shared" si="33"/>
        <v>19348.2</v>
      </c>
      <c r="K36" s="600">
        <f t="shared" si="34"/>
        <v>23647.800000000003</v>
      </c>
      <c r="L36" s="600">
        <f t="shared" si="35"/>
        <v>15048.599999999999</v>
      </c>
      <c r="M36" s="600">
        <f t="shared" si="36"/>
        <v>17198.400000000001</v>
      </c>
      <c r="N36" s="601">
        <f t="shared" si="37"/>
        <v>10749</v>
      </c>
      <c r="O36" s="601">
        <f t="shared" si="38"/>
        <v>246836.40000000002</v>
      </c>
    </row>
    <row r="37" spans="1:18" ht="31.5" customHeight="1">
      <c r="B37" s="896" t="s">
        <v>2908</v>
      </c>
      <c r="C37" s="908" t="s">
        <v>2650</v>
      </c>
      <c r="D37" s="587" t="s">
        <v>2648</v>
      </c>
      <c r="E37" s="605">
        <v>284447.02999999997</v>
      </c>
      <c r="F37" s="605">
        <v>86458</v>
      </c>
      <c r="G37" s="589">
        <f>GETPIVOTDATA(" # People received regular supply of hygiene items",$B$7,"State","Central Rakhine")</f>
        <v>26321</v>
      </c>
      <c r="H37" s="590">
        <f t="shared" si="0"/>
        <v>0.30443683638298363</v>
      </c>
      <c r="I37" s="590">
        <f t="shared" si="32"/>
        <v>0.69556316361701631</v>
      </c>
      <c r="J37" s="591">
        <f t="shared" si="33"/>
        <v>11844.45</v>
      </c>
      <c r="K37" s="588">
        <f t="shared" si="34"/>
        <v>14476.550000000001</v>
      </c>
      <c r="L37" s="588">
        <f t="shared" si="35"/>
        <v>9212.3499999999985</v>
      </c>
      <c r="M37" s="588">
        <f t="shared" si="36"/>
        <v>10528.400000000001</v>
      </c>
      <c r="N37" s="589">
        <f t="shared" si="37"/>
        <v>6580.25</v>
      </c>
      <c r="O37" s="589">
        <f t="shared" si="38"/>
        <v>60137</v>
      </c>
    </row>
    <row r="38" spans="1:18" ht="31.5" customHeight="1">
      <c r="B38" s="896"/>
      <c r="C38" s="909"/>
      <c r="D38" s="587" t="s">
        <v>2647</v>
      </c>
      <c r="E38" s="605">
        <v>227920</v>
      </c>
      <c r="F38" s="605">
        <v>176245</v>
      </c>
      <c r="G38" s="589"/>
      <c r="H38" s="590">
        <f t="shared" ref="H38" si="65">G38/F38</f>
        <v>0</v>
      </c>
      <c r="I38" s="590">
        <f t="shared" ref="I38" si="66">1-H38</f>
        <v>1</v>
      </c>
      <c r="J38" s="591">
        <f t="shared" ref="J38" si="67">G38*0.45</f>
        <v>0</v>
      </c>
      <c r="K38" s="588">
        <f t="shared" ref="K38" si="68">G38*0.55</f>
        <v>0</v>
      </c>
      <c r="L38" s="588">
        <f t="shared" ref="L38" si="69">G38*0.35</f>
        <v>0</v>
      </c>
      <c r="M38" s="588">
        <f t="shared" ref="M38" si="70">G38*0.4</f>
        <v>0</v>
      </c>
      <c r="N38" s="589">
        <f t="shared" ref="N38" si="71">G38*0.25</f>
        <v>0</v>
      </c>
      <c r="O38" s="589">
        <f t="shared" ref="O38" si="72">F38-G38</f>
        <v>176245</v>
      </c>
    </row>
    <row r="39" spans="1:18">
      <c r="B39" s="896"/>
      <c r="C39" s="909"/>
      <c r="D39" s="587" t="s">
        <v>36</v>
      </c>
      <c r="E39" s="605">
        <v>53281.579802514039</v>
      </c>
      <c r="F39" s="605">
        <v>15522.400000000009</v>
      </c>
      <c r="G39" s="589">
        <f>GETPIVOTDATA(" # People received regular supply of hygiene items",$B$7,"State","Kachin")</f>
        <v>0</v>
      </c>
      <c r="H39" s="590">
        <f t="shared" si="0"/>
        <v>0</v>
      </c>
      <c r="I39" s="590">
        <f t="shared" si="32"/>
        <v>1</v>
      </c>
      <c r="J39" s="591">
        <f t="shared" si="33"/>
        <v>0</v>
      </c>
      <c r="K39" s="588">
        <f t="shared" si="34"/>
        <v>0</v>
      </c>
      <c r="L39" s="588">
        <f t="shared" si="35"/>
        <v>0</v>
      </c>
      <c r="M39" s="588">
        <f t="shared" si="36"/>
        <v>0</v>
      </c>
      <c r="N39" s="589">
        <f t="shared" si="37"/>
        <v>0</v>
      </c>
      <c r="O39" s="589">
        <f t="shared" si="38"/>
        <v>15522.400000000009</v>
      </c>
    </row>
    <row r="40" spans="1:18">
      <c r="B40" s="896"/>
      <c r="C40" s="909"/>
      <c r="D40" s="587" t="s">
        <v>698</v>
      </c>
      <c r="E40" s="605">
        <v>47833.624732911274</v>
      </c>
      <c r="F40" s="605">
        <v>11607</v>
      </c>
      <c r="G40" s="589">
        <f>GETPIVOTDATA(" # People received regular supply of hygiene items",$B$7,"State","Shan (North)")</f>
        <v>1044</v>
      </c>
      <c r="H40" s="590">
        <f t="shared" ref="H40" si="73">G40/F40</f>
        <v>8.9945722408891191E-2</v>
      </c>
      <c r="I40" s="590">
        <f t="shared" ref="I40" si="74">1-H40</f>
        <v>0.9100542775911088</v>
      </c>
      <c r="J40" s="591">
        <f t="shared" si="33"/>
        <v>469.8</v>
      </c>
      <c r="K40" s="588">
        <f t="shared" si="34"/>
        <v>574.20000000000005</v>
      </c>
      <c r="L40" s="588">
        <f t="shared" si="35"/>
        <v>365.4</v>
      </c>
      <c r="M40" s="588">
        <f t="shared" si="36"/>
        <v>417.6</v>
      </c>
      <c r="N40" s="589">
        <f t="shared" si="37"/>
        <v>261</v>
      </c>
      <c r="O40" s="589">
        <f t="shared" si="38"/>
        <v>10563</v>
      </c>
    </row>
    <row r="41" spans="1:18">
      <c r="B41" s="896"/>
      <c r="C41" s="909"/>
      <c r="D41" s="587" t="s">
        <v>3274</v>
      </c>
      <c r="E41" s="605">
        <v>9132</v>
      </c>
      <c r="F41" s="605">
        <v>9132</v>
      </c>
      <c r="G41" s="589">
        <f>GETPIVOTDATA(" # People received regular supply of hygiene items",$B$7,"State","Kayin")</f>
        <v>0</v>
      </c>
      <c r="H41" s="590">
        <f t="shared" ref="H41:H42" si="75">G41/F41</f>
        <v>0</v>
      </c>
      <c r="I41" s="590">
        <f t="shared" ref="I41:I42" si="76">1-H41</f>
        <v>1</v>
      </c>
      <c r="J41" s="591">
        <f t="shared" ref="J41:J42" si="77">G41*0.45</f>
        <v>0</v>
      </c>
      <c r="K41" s="588">
        <f t="shared" ref="K41:K42" si="78">G41*0.55</f>
        <v>0</v>
      </c>
      <c r="L41" s="588">
        <f t="shared" ref="L41:L42" si="79">G41*0.35</f>
        <v>0</v>
      </c>
      <c r="M41" s="588">
        <f t="shared" ref="M41:M42" si="80">G41*0.4</f>
        <v>0</v>
      </c>
      <c r="N41" s="589">
        <f t="shared" ref="N41:N42" si="81">G41*0.25</f>
        <v>0</v>
      </c>
      <c r="O41" s="589">
        <f t="shared" ref="O41:O42" si="82">F41-G41</f>
        <v>9132</v>
      </c>
    </row>
    <row r="42" spans="1:18">
      <c r="B42" s="896"/>
      <c r="C42" s="909"/>
      <c r="D42" s="664" t="s">
        <v>807</v>
      </c>
      <c r="E42" s="665">
        <v>4279</v>
      </c>
      <c r="F42" s="665">
        <v>1000</v>
      </c>
      <c r="G42" s="666"/>
      <c r="H42" s="590">
        <f t="shared" si="75"/>
        <v>0</v>
      </c>
      <c r="I42" s="590">
        <f t="shared" si="76"/>
        <v>1</v>
      </c>
      <c r="J42" s="591">
        <f t="shared" si="77"/>
        <v>0</v>
      </c>
      <c r="K42" s="588">
        <f t="shared" si="78"/>
        <v>0</v>
      </c>
      <c r="L42" s="588">
        <f t="shared" si="79"/>
        <v>0</v>
      </c>
      <c r="M42" s="588">
        <f t="shared" si="80"/>
        <v>0</v>
      </c>
      <c r="N42" s="589">
        <f t="shared" si="81"/>
        <v>0</v>
      </c>
      <c r="O42" s="589">
        <f t="shared" si="82"/>
        <v>1000</v>
      </c>
    </row>
    <row r="43" spans="1:18">
      <c r="B43" s="896"/>
      <c r="C43" s="910"/>
      <c r="D43" s="602" t="s">
        <v>1893</v>
      </c>
      <c r="E43" s="603">
        <f>SUM(E37:E40)</f>
        <v>613482.2345354252</v>
      </c>
      <c r="F43" s="603">
        <f>SUM(F37:F40)</f>
        <v>289832.40000000002</v>
      </c>
      <c r="G43" s="603">
        <f>SUM(G37:G40)</f>
        <v>27365</v>
      </c>
      <c r="H43" s="604">
        <f>G43/F43</f>
        <v>9.441663526921075E-2</v>
      </c>
      <c r="I43" s="604">
        <f t="shared" si="32"/>
        <v>0.90558336473078926</v>
      </c>
      <c r="J43" s="603"/>
      <c r="K43" s="603"/>
      <c r="L43" s="603"/>
      <c r="M43" s="603"/>
      <c r="N43" s="603"/>
      <c r="O43" s="603"/>
    </row>
    <row r="44" spans="1:18">
      <c r="G44" s="60"/>
    </row>
    <row r="45" spans="1:18">
      <c r="G45" s="60"/>
    </row>
    <row r="47" spans="1:18">
      <c r="A47" s="73"/>
      <c r="B47" s="73"/>
      <c r="C47" s="73"/>
      <c r="D47" s="74"/>
      <c r="E47" s="74"/>
      <c r="F47" s="74"/>
      <c r="G47" s="74"/>
      <c r="H47" s="74"/>
      <c r="I47" s="74"/>
      <c r="J47" s="74"/>
      <c r="K47" s="74"/>
      <c r="L47" s="74"/>
      <c r="M47" s="74"/>
      <c r="N47" s="74"/>
      <c r="O47" s="74"/>
      <c r="P47" s="74"/>
      <c r="Q47" s="74"/>
      <c r="R47" s="75"/>
    </row>
    <row r="48" spans="1:18" s="146" customFormat="1"/>
    <row r="50" spans="1:60" ht="23.4">
      <c r="A50" s="385" t="s">
        <v>294</v>
      </c>
      <c r="B50" s="383"/>
      <c r="C50" s="383"/>
      <c r="D50" s="383"/>
      <c r="E50" s="383"/>
      <c r="F50" s="383"/>
      <c r="G50" s="383"/>
      <c r="H50" s="383"/>
      <c r="I50" s="383"/>
      <c r="J50" s="383"/>
      <c r="K50" s="383"/>
      <c r="L50" s="383"/>
      <c r="M50" s="383"/>
      <c r="N50" s="383"/>
      <c r="O50" s="383"/>
      <c r="P50" s="383"/>
      <c r="Q50" s="383"/>
      <c r="R50" s="383"/>
      <c r="S50" s="383"/>
      <c r="T50" s="383"/>
      <c r="U50" s="383"/>
      <c r="V50" s="384"/>
      <c r="W50" s="384"/>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row>
    <row r="52" spans="1:60">
      <c r="B52" s="679"/>
      <c r="C52" s="679"/>
    </row>
    <row r="53" spans="1:60">
      <c r="B53" s="679"/>
      <c r="C53" s="679"/>
    </row>
    <row r="54" spans="1:60">
      <c r="B54" s="679"/>
      <c r="C54" s="679"/>
    </row>
    <row r="55" spans="1:60">
      <c r="B55" s="679"/>
      <c r="C55" s="147" t="s">
        <v>1993</v>
      </c>
      <c r="D55" s="382" t="s">
        <v>794</v>
      </c>
    </row>
    <row r="56" spans="1:60">
      <c r="B56" s="470"/>
      <c r="C56" s="85" t="s">
        <v>1640</v>
      </c>
      <c r="D56" s="86" t="s">
        <v>1915</v>
      </c>
      <c r="E56" s="88" t="s">
        <v>1648</v>
      </c>
      <c r="F56" s="88" t="s">
        <v>1649</v>
      </c>
      <c r="AT56" s="419"/>
      <c r="AU56" s="419"/>
      <c r="AV56" s="419"/>
      <c r="AW56" s="419"/>
      <c r="AX56" s="419"/>
      <c r="AY56" s="419"/>
      <c r="AZ56" s="419"/>
      <c r="BA56" s="419"/>
      <c r="BB56" s="419"/>
      <c r="BC56" s="419"/>
      <c r="BD56" s="419"/>
      <c r="BE56" s="419"/>
      <c r="BF56" s="419"/>
      <c r="BG56" s="419"/>
      <c r="BH56" s="419"/>
    </row>
    <row r="57" spans="1:60" ht="62.4">
      <c r="B57"/>
      <c r="C57" s="84" t="s">
        <v>2509</v>
      </c>
      <c r="D57" s="91">
        <v>262703</v>
      </c>
      <c r="E57" s="91">
        <f>G30+G31</f>
        <v>41621</v>
      </c>
      <c r="F57" s="91">
        <f>D57-E57</f>
        <v>221082</v>
      </c>
      <c r="AT57" s="419"/>
      <c r="AU57" s="419"/>
      <c r="AV57" s="419"/>
      <c r="AW57" s="419"/>
      <c r="AX57" s="419"/>
      <c r="AY57" s="419"/>
      <c r="AZ57" s="419"/>
      <c r="BA57" s="419"/>
      <c r="BB57" s="419"/>
      <c r="BC57" s="419"/>
      <c r="BD57" s="419"/>
      <c r="BE57" s="419"/>
      <c r="BF57" s="419"/>
      <c r="BG57" s="419"/>
      <c r="BH57" s="419"/>
    </row>
    <row r="58" spans="1:60" ht="46.8">
      <c r="B58"/>
      <c r="C58" s="83" t="s">
        <v>2510</v>
      </c>
      <c r="D58" s="90">
        <v>262703</v>
      </c>
      <c r="E58" s="90">
        <f>G23+G24</f>
        <v>45023</v>
      </c>
      <c r="F58" s="90">
        <f>D58-E58</f>
        <v>217680</v>
      </c>
    </row>
    <row r="59" spans="1:60" ht="46.8">
      <c r="B59"/>
      <c r="C59" s="87" t="s">
        <v>2511</v>
      </c>
      <c r="D59" s="89">
        <v>262703</v>
      </c>
      <c r="E59" s="89">
        <f>G16</f>
        <v>113604</v>
      </c>
      <c r="F59" s="89">
        <f>D59-E59</f>
        <v>149099</v>
      </c>
    </row>
    <row r="60" spans="1:60">
      <c r="X60" s="60"/>
    </row>
    <row r="62" spans="1:60">
      <c r="C62"/>
      <c r="D62"/>
      <c r="V62"/>
      <c r="W62"/>
    </row>
    <row r="63" spans="1:60">
      <c r="C63"/>
      <c r="D63"/>
    </row>
    <row r="70" spans="3:4">
      <c r="C70"/>
      <c r="D70"/>
    </row>
    <row r="71" spans="3:4">
      <c r="C71"/>
      <c r="D71"/>
    </row>
    <row r="72" spans="3:4">
      <c r="C72"/>
      <c r="D72"/>
    </row>
    <row r="73" spans="3:4">
      <c r="C73"/>
      <c r="D73"/>
    </row>
  </sheetData>
  <mergeCells count="6">
    <mergeCell ref="B37:B43"/>
    <mergeCell ref="L14:N14"/>
    <mergeCell ref="C23:C29"/>
    <mergeCell ref="C16:C22"/>
    <mergeCell ref="C30:C36"/>
    <mergeCell ref="C37:C43"/>
  </mergeCell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76"/>
  <sheetViews>
    <sheetView showGridLines="0" topLeftCell="A244" zoomScale="85" zoomScaleNormal="85" workbookViewId="0">
      <selection activeCell="L215" sqref="L215"/>
    </sheetView>
  </sheetViews>
  <sheetFormatPr defaultColWidth="9" defaultRowHeight="14.4"/>
  <cols>
    <col min="1" max="1" width="9.59765625" style="114" customWidth="1"/>
    <col min="2" max="2" width="17.5" style="114" customWidth="1"/>
    <col min="3" max="3" width="17.19921875" style="114" customWidth="1"/>
    <col min="4" max="4" width="17.69921875" style="114" customWidth="1"/>
    <col min="5" max="5" width="30.59765625" style="114" bestFit="1" customWidth="1"/>
    <col min="6" max="6" width="17.19921875" style="114" customWidth="1"/>
    <col min="7" max="7" width="12.5" style="114" customWidth="1"/>
    <col min="8" max="8" width="14.5" style="114" customWidth="1"/>
    <col min="9" max="9" width="17.19921875" style="114" customWidth="1"/>
    <col min="10" max="10" width="17.69921875" style="114" customWidth="1"/>
    <col min="11" max="11" width="17.19921875" style="114" customWidth="1"/>
    <col min="12" max="12" width="9.59765625" style="114" customWidth="1"/>
    <col min="13" max="13" width="12.69921875" style="114" customWidth="1"/>
    <col min="14" max="14" width="11.19921875" style="114" customWidth="1"/>
    <col min="15" max="15" width="13.19921875" style="114" customWidth="1"/>
    <col min="16" max="16" width="15.59765625" style="114" customWidth="1"/>
    <col min="17" max="17" width="19.19921875" style="114" bestFit="1" customWidth="1"/>
    <col min="18" max="18" width="18.5" style="114" customWidth="1"/>
    <col min="19" max="19" width="13.09765625" style="114" customWidth="1"/>
    <col min="20" max="20" width="15.19921875" style="114" customWidth="1"/>
    <col min="21" max="21" width="12.09765625" style="114" customWidth="1"/>
    <col min="22" max="22" width="14.19921875" style="114" customWidth="1"/>
    <col min="23" max="23" width="14.69921875" style="114" customWidth="1"/>
    <col min="24" max="24" width="13.69921875" style="114" customWidth="1"/>
    <col min="25" max="26" width="9.59765625" style="114" customWidth="1"/>
    <col min="27" max="16384" width="9" style="114"/>
  </cols>
  <sheetData>
    <row r="1" spans="1:26" s="104" customFormat="1"/>
    <row r="2" spans="1:26" s="127" customFormat="1" ht="18">
      <c r="A2" s="103" t="s">
        <v>1973</v>
      </c>
      <c r="B2" s="103"/>
      <c r="C2" s="103"/>
      <c r="D2" s="103"/>
      <c r="E2" s="103"/>
      <c r="F2" s="103"/>
      <c r="G2" s="103"/>
      <c r="H2" s="103"/>
      <c r="I2" s="103"/>
      <c r="J2" s="103"/>
      <c r="K2" s="103"/>
      <c r="L2" s="103"/>
      <c r="M2" s="103"/>
      <c r="N2" s="103"/>
      <c r="O2" s="103"/>
      <c r="P2" s="103"/>
      <c r="Q2" s="103"/>
      <c r="R2" s="103"/>
      <c r="S2" s="103"/>
      <c r="T2" s="103"/>
      <c r="U2" s="103"/>
      <c r="V2" s="103"/>
      <c r="W2" s="103"/>
      <c r="X2" s="103"/>
      <c r="Y2" s="103"/>
      <c r="Z2" s="103"/>
    </row>
    <row r="3" spans="1:26" s="104" customFormat="1" ht="15.6">
      <c r="C3" s="105"/>
      <c r="H3" s="470"/>
      <c r="I3" s="470"/>
      <c r="J3" s="470"/>
      <c r="K3" s="470"/>
      <c r="L3" s="470"/>
      <c r="M3" s="470"/>
      <c r="R3" s="105"/>
    </row>
    <row r="4" spans="1:26" s="104" customFormat="1" ht="15.6">
      <c r="B4" s="801" t="s">
        <v>18</v>
      </c>
      <c r="C4" s="802" t="s">
        <v>3199</v>
      </c>
      <c r="G4" s="108"/>
      <c r="H4" s="470"/>
      <c r="I4" s="801" t="s">
        <v>18</v>
      </c>
      <c r="J4" s="802" t="s">
        <v>3199</v>
      </c>
      <c r="P4" s="801" t="s">
        <v>18</v>
      </c>
      <c r="Q4" s="802" t="s">
        <v>3199</v>
      </c>
      <c r="V4" s="470"/>
      <c r="W4" s="470"/>
      <c r="X4" s="470"/>
      <c r="Y4" s="470"/>
      <c r="Z4" s="470"/>
    </row>
    <row r="5" spans="1:26" s="104" customFormat="1" ht="15.6">
      <c r="B5" s="801" t="s">
        <v>32</v>
      </c>
      <c r="C5" s="802" t="s">
        <v>32</v>
      </c>
      <c r="G5" s="470"/>
      <c r="H5" s="470"/>
      <c r="I5" s="801" t="s">
        <v>32</v>
      </c>
      <c r="J5" s="802" t="s">
        <v>32</v>
      </c>
      <c r="P5" s="801" t="s">
        <v>32</v>
      </c>
      <c r="Q5" s="802" t="s">
        <v>32</v>
      </c>
      <c r="V5" s="470"/>
      <c r="W5" s="470"/>
      <c r="X5" s="470"/>
      <c r="Y5" s="470"/>
      <c r="Z5" s="470"/>
    </row>
    <row r="6" spans="1:26" s="104" customFormat="1" ht="15.6">
      <c r="B6" s="808" t="s">
        <v>19</v>
      </c>
      <c r="C6" s="802" t="s">
        <v>2648</v>
      </c>
      <c r="G6" s="470"/>
      <c r="H6" s="470"/>
      <c r="I6" s="808" t="s">
        <v>19</v>
      </c>
      <c r="J6" s="802" t="s">
        <v>698</v>
      </c>
      <c r="P6" s="808" t="s">
        <v>19</v>
      </c>
      <c r="Q6" s="802" t="s">
        <v>36</v>
      </c>
      <c r="V6" s="470"/>
      <c r="W6" s="470"/>
      <c r="X6" s="470"/>
      <c r="Y6" s="470"/>
      <c r="Z6" s="470"/>
    </row>
    <row r="7" spans="1:26" s="104" customFormat="1" ht="15.6">
      <c r="B7" s="801" t="s">
        <v>124</v>
      </c>
      <c r="C7" s="802" t="s">
        <v>794</v>
      </c>
      <c r="G7" s="470"/>
      <c r="H7" s="470"/>
      <c r="I7" s="801" t="s">
        <v>124</v>
      </c>
      <c r="J7" s="802" t="s">
        <v>794</v>
      </c>
      <c r="P7" s="801" t="s">
        <v>124</v>
      </c>
      <c r="Q7" s="802" t="s">
        <v>794</v>
      </c>
      <c r="Z7" s="470"/>
    </row>
    <row r="8" spans="1:26" s="104" customFormat="1" ht="15.6">
      <c r="D8" s="142" t="s">
        <v>794</v>
      </c>
      <c r="G8" s="470"/>
      <c r="H8" s="470"/>
      <c r="K8" s="142" t="s">
        <v>794</v>
      </c>
      <c r="R8" s="142" t="s">
        <v>794</v>
      </c>
      <c r="Z8" s="470"/>
    </row>
    <row r="9" spans="1:26" s="109" customFormat="1" ht="15.6">
      <c r="B9" s="803" t="s">
        <v>20</v>
      </c>
      <c r="C9" s="804" t="s">
        <v>1890</v>
      </c>
      <c r="D9" s="807" t="s">
        <v>3218</v>
      </c>
      <c r="E9" s="807" t="s">
        <v>3219</v>
      </c>
      <c r="F9" s="807" t="s">
        <v>3220</v>
      </c>
      <c r="G9" s="470"/>
      <c r="H9" s="470"/>
      <c r="I9" s="803" t="s">
        <v>20</v>
      </c>
      <c r="J9" s="801" t="s">
        <v>2295</v>
      </c>
      <c r="K9" s="804" t="s">
        <v>1890</v>
      </c>
      <c r="L9" s="802" t="s">
        <v>2775</v>
      </c>
      <c r="M9" s="802" t="s">
        <v>2776</v>
      </c>
      <c r="N9" s="802" t="s">
        <v>2777</v>
      </c>
      <c r="O9" s="424"/>
      <c r="P9" s="803" t="s">
        <v>20</v>
      </c>
      <c r="Q9" s="801" t="s">
        <v>2295</v>
      </c>
      <c r="R9" s="804" t="s">
        <v>1890</v>
      </c>
      <c r="S9" s="802" t="s">
        <v>2775</v>
      </c>
      <c r="T9" s="802" t="s">
        <v>2776</v>
      </c>
      <c r="U9" s="802" t="s">
        <v>2777</v>
      </c>
      <c r="V9" s="104"/>
      <c r="W9" s="104"/>
      <c r="X9" s="104"/>
      <c r="Y9" s="104"/>
      <c r="Z9" s="470"/>
    </row>
    <row r="10" spans="1:26" s="109" customFormat="1" ht="15.6">
      <c r="B10" s="805" t="s">
        <v>302</v>
      </c>
      <c r="C10" s="806">
        <v>10093</v>
      </c>
      <c r="D10" s="807">
        <v>0.737441791340533</v>
      </c>
      <c r="E10" s="807">
        <v>0.42851481224611115</v>
      </c>
      <c r="F10" s="807">
        <v>0</v>
      </c>
      <c r="G10" s="470"/>
      <c r="H10" s="470"/>
      <c r="I10" s="802" t="s">
        <v>717</v>
      </c>
      <c r="J10" s="802" t="s">
        <v>3232</v>
      </c>
      <c r="K10" s="806">
        <v>413</v>
      </c>
      <c r="L10" s="807">
        <v>0.58837772397094423</v>
      </c>
      <c r="M10" s="807">
        <v>0.22518159806295401</v>
      </c>
      <c r="N10" s="807">
        <v>0.44794188861985473</v>
      </c>
      <c r="P10" s="802" t="s">
        <v>771</v>
      </c>
      <c r="Q10" s="802" t="s">
        <v>3232</v>
      </c>
      <c r="R10" s="806">
        <v>3741</v>
      </c>
      <c r="S10" s="807">
        <v>1</v>
      </c>
      <c r="T10" s="807">
        <v>1</v>
      </c>
      <c r="U10" s="807">
        <v>1</v>
      </c>
      <c r="V10" s="104"/>
      <c r="W10" s="104"/>
      <c r="X10" s="104"/>
      <c r="Y10" s="104"/>
      <c r="Z10" s="470"/>
    </row>
    <row r="11" spans="1:26" s="104" customFormat="1" ht="15.6">
      <c r="B11" s="805" t="s">
        <v>312</v>
      </c>
      <c r="C11" s="806">
        <v>24963</v>
      </c>
      <c r="D11" s="807">
        <v>1</v>
      </c>
      <c r="E11" s="807">
        <v>0.51311941673677042</v>
      </c>
      <c r="F11" s="807">
        <v>0</v>
      </c>
      <c r="G11" s="470"/>
      <c r="H11" s="470"/>
      <c r="I11" s="802" t="s">
        <v>1253</v>
      </c>
      <c r="J11" s="802" t="s">
        <v>3232</v>
      </c>
      <c r="K11" s="806">
        <v>1342</v>
      </c>
      <c r="L11" s="807">
        <v>0.80625931445603571</v>
      </c>
      <c r="M11" s="807">
        <v>5.9612518628912037E-2</v>
      </c>
      <c r="N11" s="807">
        <v>0.39195230998509689</v>
      </c>
      <c r="P11" s="802" t="s">
        <v>149</v>
      </c>
      <c r="Q11" s="802" t="s">
        <v>2812</v>
      </c>
      <c r="R11" s="806">
        <v>482</v>
      </c>
      <c r="S11" s="807">
        <v>0</v>
      </c>
      <c r="T11" s="807">
        <v>0.37759336099585061</v>
      </c>
      <c r="U11" s="807">
        <v>0.94398340248962653</v>
      </c>
      <c r="Z11" s="470"/>
    </row>
    <row r="12" spans="1:26" s="104" customFormat="1" ht="15.6">
      <c r="B12" s="805" t="s">
        <v>399</v>
      </c>
      <c r="C12" s="806">
        <v>217</v>
      </c>
      <c r="D12" s="807">
        <v>1</v>
      </c>
      <c r="E12" s="807">
        <v>1</v>
      </c>
      <c r="F12" s="807">
        <v>1</v>
      </c>
      <c r="G12" s="470"/>
      <c r="H12" s="470"/>
      <c r="I12" s="802" t="s">
        <v>1255</v>
      </c>
      <c r="J12" s="802" t="s">
        <v>2994</v>
      </c>
      <c r="K12" s="806">
        <v>4171</v>
      </c>
      <c r="L12" s="807">
        <v>0.37089426995924235</v>
      </c>
      <c r="M12" s="807">
        <v>0.80532246463677781</v>
      </c>
      <c r="N12" s="807">
        <v>1</v>
      </c>
      <c r="P12" s="802" t="s">
        <v>174</v>
      </c>
      <c r="Q12" s="802" t="s">
        <v>3232</v>
      </c>
      <c r="R12" s="806">
        <v>2306</v>
      </c>
      <c r="S12" s="807">
        <v>1</v>
      </c>
      <c r="T12" s="807">
        <v>1</v>
      </c>
      <c r="U12" s="807">
        <v>1</v>
      </c>
      <c r="Z12" s="470"/>
    </row>
    <row r="13" spans="1:26" s="104" customFormat="1" ht="15.6">
      <c r="B13" s="805" t="s">
        <v>402</v>
      </c>
      <c r="C13" s="806">
        <v>15380</v>
      </c>
      <c r="D13" s="807">
        <v>1</v>
      </c>
      <c r="E13" s="807">
        <v>0.12483745123537061</v>
      </c>
      <c r="F13" s="807">
        <v>0.27932379713914174</v>
      </c>
      <c r="G13"/>
      <c r="H13" s="470"/>
      <c r="I13" s="802" t="s">
        <v>1639</v>
      </c>
      <c r="J13" s="802"/>
      <c r="K13" s="806">
        <v>5926</v>
      </c>
      <c r="L13" s="807">
        <v>0.48464394195072558</v>
      </c>
      <c r="M13" s="807">
        <v>0.59601754978062771</v>
      </c>
      <c r="N13" s="807">
        <v>0.82382720215997296</v>
      </c>
      <c r="O13"/>
      <c r="P13" s="802" t="s">
        <v>132</v>
      </c>
      <c r="Q13" s="802" t="s">
        <v>2812</v>
      </c>
      <c r="R13" s="806">
        <v>5042</v>
      </c>
      <c r="S13" s="807">
        <v>0.5196350654502182</v>
      </c>
      <c r="T13" s="807">
        <v>0.72828242760809203</v>
      </c>
      <c r="U13" s="807">
        <v>0.93970646568821892</v>
      </c>
      <c r="Z13" s="470"/>
    </row>
    <row r="14" spans="1:26" s="104" customFormat="1" ht="15.6">
      <c r="B14" s="805" t="s">
        <v>295</v>
      </c>
      <c r="C14" s="806">
        <v>90368</v>
      </c>
      <c r="D14" s="807">
        <v>0.70496193342776203</v>
      </c>
      <c r="E14" s="807">
        <v>0.28496813031161472</v>
      </c>
      <c r="F14" s="807">
        <v>0.28558781869688388</v>
      </c>
      <c r="G14"/>
      <c r="H14" s="470"/>
      <c r="I14"/>
      <c r="J14"/>
      <c r="K14"/>
      <c r="L14"/>
      <c r="M14"/>
      <c r="N14"/>
      <c r="O14"/>
      <c r="P14" s="802" t="s">
        <v>1639</v>
      </c>
      <c r="Q14" s="802"/>
      <c r="R14" s="806">
        <v>11571</v>
      </c>
      <c r="S14" s="807">
        <v>0.74902774176821363</v>
      </c>
      <c r="T14" s="807">
        <v>0.85567366692593549</v>
      </c>
      <c r="U14" s="807">
        <v>0.97139400224699679</v>
      </c>
      <c r="Z14" s="470"/>
    </row>
    <row r="15" spans="1:26" s="104" customFormat="1" ht="15.6">
      <c r="B15" s="805" t="s">
        <v>1639</v>
      </c>
      <c r="C15" s="806">
        <v>141021</v>
      </c>
      <c r="D15" s="807">
        <v>0.79214443238950227</v>
      </c>
      <c r="E15" s="807">
        <v>0.31926450670467521</v>
      </c>
      <c r="F15" s="807">
        <v>0.21501053034654413</v>
      </c>
      <c r="G15"/>
      <c r="H15" s="470"/>
      <c r="I15"/>
      <c r="J15"/>
      <c r="K15"/>
      <c r="L15"/>
      <c r="M15"/>
      <c r="N15"/>
      <c r="O15"/>
      <c r="P15"/>
      <c r="Z15" s="470"/>
    </row>
    <row r="16" spans="1:26" s="104" customFormat="1" ht="15.6">
      <c r="B16"/>
      <c r="C16"/>
      <c r="D16"/>
      <c r="E16"/>
      <c r="F16"/>
      <c r="G16"/>
      <c r="H16"/>
      <c r="I16"/>
      <c r="J16"/>
      <c r="K16"/>
      <c r="L16"/>
      <c r="M16"/>
      <c r="N16"/>
      <c r="O16"/>
      <c r="P16"/>
      <c r="Z16"/>
    </row>
    <row r="17" spans="1:26" s="104" customFormat="1" ht="15.6">
      <c r="B17"/>
      <c r="C17"/>
      <c r="D17"/>
      <c r="E17"/>
      <c r="F17"/>
      <c r="G17"/>
      <c r="H17"/>
      <c r="I17"/>
      <c r="J17"/>
      <c r="K17"/>
      <c r="L17"/>
      <c r="M17"/>
      <c r="N17"/>
      <c r="O17"/>
      <c r="P17"/>
      <c r="Z17"/>
    </row>
    <row r="18" spans="1:26" s="104" customFormat="1" ht="15.6">
      <c r="B18"/>
      <c r="C18"/>
      <c r="D18"/>
      <c r="E18"/>
      <c r="F18"/>
      <c r="G18"/>
      <c r="H18"/>
      <c r="I18"/>
      <c r="J18"/>
      <c r="K18"/>
      <c r="L18"/>
      <c r="M18"/>
      <c r="N18"/>
      <c r="O18"/>
      <c r="P18"/>
    </row>
    <row r="19" spans="1:26" s="104" customFormat="1" ht="15.6">
      <c r="B19"/>
      <c r="C19"/>
      <c r="D19"/>
      <c r="E19"/>
      <c r="F19"/>
      <c r="G19"/>
      <c r="H19"/>
      <c r="I19"/>
      <c r="J19"/>
      <c r="K19"/>
      <c r="L19"/>
      <c r="M19"/>
      <c r="N19"/>
      <c r="O19"/>
      <c r="P19"/>
    </row>
    <row r="20" spans="1:26" s="104" customFormat="1" ht="15.6">
      <c r="B20"/>
      <c r="C20"/>
      <c r="D20"/>
      <c r="E20"/>
      <c r="F20"/>
      <c r="G20"/>
      <c r="H20" s="470"/>
      <c r="I20"/>
      <c r="J20"/>
      <c r="K20"/>
      <c r="L20"/>
      <c r="M20"/>
      <c r="N20"/>
      <c r="P20"/>
      <c r="Z20"/>
    </row>
    <row r="21" spans="1:26" s="104" customFormat="1" ht="15.6">
      <c r="B21" s="470"/>
      <c r="C21" s="470"/>
      <c r="D21" s="470"/>
      <c r="E21" s="470"/>
      <c r="F21" s="470"/>
      <c r="G21" s="470"/>
      <c r="H21" s="470"/>
      <c r="I21" s="470"/>
      <c r="J21" s="470"/>
      <c r="K21" s="470"/>
      <c r="L21" s="470"/>
      <c r="M21" s="470"/>
      <c r="N21" s="470"/>
      <c r="P21" s="470"/>
      <c r="Z21" s="470"/>
    </row>
    <row r="22" spans="1:26" s="104" customFormat="1" ht="15.6">
      <c r="B22" s="470"/>
      <c r="C22" s="470"/>
      <c r="D22" s="470"/>
      <c r="E22" s="470"/>
      <c r="F22" s="470"/>
      <c r="G22" s="470"/>
      <c r="H22" s="470"/>
      <c r="I22" s="470"/>
      <c r="J22" s="470"/>
      <c r="K22" s="470"/>
      <c r="L22" s="470"/>
      <c r="M22" s="470"/>
      <c r="N22" s="470"/>
      <c r="P22" s="470"/>
      <c r="Z22" s="470"/>
    </row>
    <row r="23" spans="1:26" s="104" customFormat="1" ht="15.6">
      <c r="B23" s="470"/>
      <c r="C23" s="470"/>
      <c r="D23" s="470"/>
      <c r="E23" s="470"/>
      <c r="F23" s="470"/>
      <c r="G23" s="470"/>
      <c r="H23" s="470"/>
      <c r="I23" s="470"/>
      <c r="J23" s="470"/>
      <c r="K23" s="470"/>
      <c r="L23" s="470"/>
      <c r="M23" s="470"/>
      <c r="N23" s="470"/>
      <c r="P23" s="470"/>
      <c r="Z23" s="470"/>
    </row>
    <row r="24" spans="1:26" s="104" customFormat="1" ht="15.6">
      <c r="B24" s="470"/>
      <c r="C24" s="470"/>
      <c r="D24" s="470"/>
      <c r="E24" s="470"/>
      <c r="F24" s="470"/>
      <c r="G24" s="470"/>
      <c r="H24" s="470"/>
      <c r="I24" s="470"/>
      <c r="J24" s="470"/>
      <c r="K24" s="470"/>
      <c r="L24" s="470"/>
      <c r="M24" s="470"/>
      <c r="N24" s="470"/>
      <c r="P24" s="470"/>
      <c r="Z24" s="470"/>
    </row>
    <row r="25" spans="1:26" s="104" customFormat="1" ht="15.6">
      <c r="B25"/>
      <c r="C25"/>
      <c r="D25"/>
      <c r="E25"/>
      <c r="F25"/>
      <c r="G25"/>
      <c r="H25" s="470"/>
      <c r="I25"/>
      <c r="J25"/>
      <c r="K25"/>
      <c r="L25"/>
      <c r="M25"/>
      <c r="N25"/>
      <c r="Z25"/>
    </row>
    <row r="26" spans="1:26" ht="18">
      <c r="A26" s="466"/>
      <c r="B26" s="467"/>
      <c r="C26" s="467"/>
      <c r="D26" s="467"/>
      <c r="E26" s="467"/>
      <c r="F26" s="467"/>
      <c r="G26" s="467"/>
      <c r="H26" s="468"/>
      <c r="I26"/>
      <c r="J26"/>
      <c r="K26"/>
      <c r="L26"/>
      <c r="M26"/>
      <c r="N26"/>
      <c r="O26" s="467"/>
      <c r="P26" s="467"/>
      <c r="Q26" s="467"/>
      <c r="R26" s="467"/>
      <c r="S26" s="467"/>
      <c r="T26" s="467"/>
      <c r="U26" s="467"/>
      <c r="V26" s="467"/>
      <c r="W26" s="467"/>
      <c r="X26" s="467"/>
      <c r="Y26" s="467"/>
      <c r="Z26" s="467"/>
    </row>
    <row r="27" spans="1:26" s="104" customFormat="1" ht="18">
      <c r="A27" s="137" t="s">
        <v>1982</v>
      </c>
      <c r="B27" s="112"/>
      <c r="C27" s="112"/>
      <c r="D27" s="112"/>
      <c r="E27" s="112"/>
      <c r="F27" s="112"/>
      <c r="G27" s="112"/>
      <c r="H27" s="465"/>
      <c r="I27" s="112"/>
      <c r="J27" s="112"/>
      <c r="K27" s="112"/>
      <c r="L27" s="112"/>
      <c r="M27" s="112"/>
      <c r="N27" s="112"/>
      <c r="O27" s="112"/>
      <c r="P27" s="112"/>
      <c r="Q27" s="112"/>
      <c r="R27" s="112"/>
      <c r="S27" s="112"/>
      <c r="T27" s="112"/>
      <c r="U27" s="112"/>
      <c r="V27" s="112"/>
      <c r="W27" s="112"/>
      <c r="X27" s="112"/>
      <c r="Y27" s="112"/>
      <c r="Z27" s="112"/>
    </row>
    <row r="28" spans="1:26" s="104" customFormat="1" ht="15.6">
      <c r="I28"/>
      <c r="J28"/>
      <c r="K28"/>
      <c r="L28"/>
      <c r="M28"/>
      <c r="N28"/>
    </row>
    <row r="29" spans="1:26" s="104" customFormat="1" ht="15.6">
      <c r="I29"/>
      <c r="J29"/>
      <c r="K29"/>
      <c r="L29"/>
      <c r="M29"/>
      <c r="N29"/>
    </row>
    <row r="30" spans="1:26" s="104" customFormat="1" ht="15.6">
      <c r="I30"/>
      <c r="J30" s="801" t="s">
        <v>18</v>
      </c>
      <c r="K30" s="802" t="s">
        <v>3199</v>
      </c>
      <c r="L30"/>
      <c r="M30"/>
      <c r="N30"/>
    </row>
    <row r="31" spans="1:26" s="104" customFormat="1" ht="15.6">
      <c r="B31" s="801" t="s">
        <v>18</v>
      </c>
      <c r="C31" s="802" t="s">
        <v>3199</v>
      </c>
      <c r="I31"/>
      <c r="J31" s="808" t="s">
        <v>19</v>
      </c>
      <c r="K31" s="802" t="s">
        <v>2648</v>
      </c>
      <c r="L31"/>
      <c r="M31"/>
      <c r="N31"/>
    </row>
    <row r="32" spans="1:26" s="104" customFormat="1" ht="15.6">
      <c r="B32" s="808" t="s">
        <v>19</v>
      </c>
      <c r="C32" s="802" t="s">
        <v>2648</v>
      </c>
      <c r="I32"/>
      <c r="J32" s="801" t="s">
        <v>32</v>
      </c>
      <c r="K32" s="802" t="s">
        <v>32</v>
      </c>
      <c r="L32"/>
      <c r="M32"/>
      <c r="N32"/>
    </row>
    <row r="33" spans="2:18" s="104" customFormat="1" ht="15.6">
      <c r="B33" s="801" t="s">
        <v>32</v>
      </c>
      <c r="C33" s="802" t="s">
        <v>32</v>
      </c>
      <c r="I33"/>
      <c r="L33"/>
      <c r="M33"/>
    </row>
    <row r="34" spans="2:18" s="104" customFormat="1" ht="15.6">
      <c r="I34"/>
      <c r="J34" s="801" t="s">
        <v>1888</v>
      </c>
      <c r="K34" s="802"/>
      <c r="L34"/>
      <c r="M34" s="121" t="s">
        <v>3223</v>
      </c>
      <c r="N34" s="761">
        <f>GETPIVOTDATA("Sum of Total PoP ",$J$34)</f>
        <v>141021</v>
      </c>
    </row>
    <row r="35" spans="2:18" s="104" customFormat="1" ht="15.6">
      <c r="B35" s="811" t="s">
        <v>3228</v>
      </c>
      <c r="C35" s="811" t="s">
        <v>3229</v>
      </c>
      <c r="D35" s="811" t="s">
        <v>3230</v>
      </c>
      <c r="I35"/>
      <c r="J35" s="805" t="s">
        <v>3222</v>
      </c>
      <c r="K35" s="806">
        <v>91210</v>
      </c>
      <c r="L35" s="481"/>
      <c r="M35" s="122" t="s">
        <v>3225</v>
      </c>
      <c r="N35" s="762">
        <f>GETPIVOTDATA("Sum of # people with equitable and continuous access to sufficient quantity of safe drinking water",$J$34)</f>
        <v>97870</v>
      </c>
      <c r="O35" s="423"/>
      <c r="P35" s="423"/>
      <c r="Q35" s="423"/>
      <c r="R35" s="423"/>
    </row>
    <row r="36" spans="2:18" s="104" customFormat="1" ht="15.6">
      <c r="B36" s="812">
        <v>921</v>
      </c>
      <c r="C36" s="812">
        <v>6831</v>
      </c>
      <c r="D36" s="812">
        <v>194</v>
      </c>
      <c r="I36"/>
      <c r="J36" s="805" t="s">
        <v>3224</v>
      </c>
      <c r="K36" s="806">
        <v>97870</v>
      </c>
      <c r="L36"/>
      <c r="M36" s="121" t="s">
        <v>3227</v>
      </c>
      <c r="N36" s="761">
        <f>GETPIVOTDATA("Sum of #People access to unimproved water sources",$J$34)</f>
        <v>91210</v>
      </c>
    </row>
    <row r="37" spans="2:18" s="104" customFormat="1" ht="15.6">
      <c r="B37"/>
      <c r="C37"/>
      <c r="I37"/>
      <c r="J37" s="805" t="s">
        <v>2806</v>
      </c>
      <c r="K37" s="806">
        <v>141021</v>
      </c>
      <c r="L37"/>
      <c r="M37" s="760" t="s">
        <v>3226</v>
      </c>
      <c r="N37" s="110">
        <f>N34-(N35+N36)</f>
        <v>-48059</v>
      </c>
    </row>
    <row r="38" spans="2:18" s="104" customFormat="1" ht="15.6">
      <c r="B38"/>
      <c r="C38"/>
      <c r="I38"/>
      <c r="J38"/>
      <c r="K38"/>
      <c r="L38"/>
      <c r="M38"/>
      <c r="P38"/>
      <c r="Q38"/>
      <c r="R38"/>
    </row>
    <row r="39" spans="2:18" s="104" customFormat="1" ht="15.6">
      <c r="D39" s="104">
        <f>195*250</f>
        <v>48750</v>
      </c>
      <c r="F39" s="111"/>
      <c r="G39" s="111"/>
      <c r="H39" s="111"/>
      <c r="I39"/>
      <c r="J39"/>
      <c r="K39"/>
      <c r="L39"/>
      <c r="M39" s="122"/>
      <c r="N39" s="762"/>
    </row>
    <row r="40" spans="2:18" s="104" customFormat="1" ht="15.6">
      <c r="B40" s="801" t="s">
        <v>18</v>
      </c>
      <c r="C40" s="802" t="s">
        <v>3199</v>
      </c>
      <c r="D40" s="756">
        <f>GETPIVOTDATA(" # Functioning Tube wells/boreholes/hand_pumps",$B$35)*250</f>
        <v>1707750</v>
      </c>
      <c r="F40" s="111"/>
      <c r="G40" s="111"/>
      <c r="H40" s="111"/>
      <c r="I40"/>
      <c r="J40"/>
      <c r="K40"/>
      <c r="L40"/>
      <c r="M40"/>
    </row>
    <row r="41" spans="2:18" s="104" customFormat="1" ht="15.6">
      <c r="B41" s="808" t="s">
        <v>19</v>
      </c>
      <c r="C41" s="802" t="s">
        <v>2648</v>
      </c>
      <c r="I41"/>
      <c r="J41"/>
      <c r="K41"/>
      <c r="L41"/>
      <c r="M41"/>
    </row>
    <row r="42" spans="2:18" s="104" customFormat="1">
      <c r="B42" s="801" t="s">
        <v>32</v>
      </c>
      <c r="C42" s="802" t="s">
        <v>32</v>
      </c>
    </row>
    <row r="43" spans="2:18" s="104" customFormat="1"/>
    <row r="44" spans="2:18" s="104" customFormat="1" ht="15.6">
      <c r="B44" s="802" t="s">
        <v>3231</v>
      </c>
      <c r="C44"/>
      <c r="D44"/>
      <c r="E44" s="423"/>
      <c r="F44" s="612"/>
      <c r="G44" s="612"/>
      <c r="H44" s="612"/>
      <c r="I44" s="423"/>
      <c r="J44" s="612"/>
      <c r="K44" s="612"/>
      <c r="L44" s="612"/>
      <c r="M44" s="423"/>
      <c r="N44" s="423"/>
      <c r="O44" s="423"/>
      <c r="P44" s="423"/>
      <c r="Q44" s="423"/>
      <c r="R44" s="423"/>
    </row>
    <row r="45" spans="2:18" ht="15.6">
      <c r="B45" s="806">
        <v>9670</v>
      </c>
      <c r="C45"/>
      <c r="D45"/>
      <c r="E45" s="117"/>
      <c r="F45" s="117"/>
      <c r="G45" s="118"/>
    </row>
    <row r="46" spans="2:18">
      <c r="B46" s="115"/>
      <c r="C46" s="116"/>
      <c r="D46" s="116"/>
      <c r="E46" s="117"/>
      <c r="F46" s="117"/>
      <c r="G46" s="118"/>
    </row>
    <row r="47" spans="2:18" ht="15.6">
      <c r="B47"/>
      <c r="C47"/>
      <c r="D47"/>
      <c r="E47"/>
      <c r="F47" s="117"/>
      <c r="G47" s="118"/>
      <c r="M47"/>
      <c r="N47"/>
      <c r="O47"/>
    </row>
    <row r="48" spans="2:18" ht="15.6">
      <c r="B48"/>
      <c r="C48"/>
      <c r="D48"/>
      <c r="E48"/>
      <c r="F48" s="117"/>
      <c r="G48" s="118"/>
      <c r="M48"/>
      <c r="N48"/>
      <c r="O48"/>
    </row>
    <row r="49" spans="2:15" ht="15.6">
      <c r="B49" s="801" t="s">
        <v>18</v>
      </c>
      <c r="C49" s="802" t="s">
        <v>3199</v>
      </c>
      <c r="D49" s="116"/>
      <c r="E49"/>
      <c r="F49" s="117"/>
      <c r="G49" s="118"/>
      <c r="M49"/>
      <c r="N49"/>
      <c r="O49"/>
    </row>
    <row r="50" spans="2:15" ht="15.6">
      <c r="B50" s="801" t="s">
        <v>32</v>
      </c>
      <c r="C50" s="802" t="s">
        <v>32</v>
      </c>
      <c r="D50" s="111"/>
      <c r="E50"/>
      <c r="F50" s="117"/>
      <c r="G50" s="118"/>
      <c r="M50"/>
      <c r="N50"/>
      <c r="O50"/>
    </row>
    <row r="51" spans="2:15" ht="15.6">
      <c r="B51" s="815" t="s">
        <v>19</v>
      </c>
      <c r="C51" s="802" t="s">
        <v>2648</v>
      </c>
      <c r="D51" s="111"/>
      <c r="E51"/>
      <c r="F51" s="117"/>
      <c r="G51" s="118"/>
      <c r="M51"/>
      <c r="N51"/>
      <c r="O51"/>
    </row>
    <row r="52" spans="2:15" ht="15.6">
      <c r="B52" s="801" t="s">
        <v>124</v>
      </c>
      <c r="C52" s="802" t="s">
        <v>794</v>
      </c>
      <c r="D52" s="111"/>
      <c r="E52"/>
      <c r="F52" s="117"/>
      <c r="G52" s="118"/>
      <c r="M52"/>
      <c r="N52"/>
      <c r="O52"/>
    </row>
    <row r="53" spans="2:15" ht="15.6">
      <c r="B53" s="420" t="s">
        <v>294</v>
      </c>
      <c r="C53" s="111"/>
      <c r="D53" s="111"/>
      <c r="E53"/>
      <c r="F53" s="117"/>
      <c r="G53" s="118"/>
    </row>
    <row r="54" spans="2:15" ht="15.6">
      <c r="B54" s="814" t="s">
        <v>19</v>
      </c>
      <c r="C54" s="802" t="s">
        <v>3217</v>
      </c>
      <c r="D54" s="802" t="s">
        <v>3209</v>
      </c>
      <c r="E54"/>
      <c r="F54" s="117"/>
      <c r="G54" s="118"/>
      <c r="M54"/>
      <c r="N54"/>
      <c r="O54"/>
    </row>
    <row r="55" spans="2:15" ht="15.6">
      <c r="B55" s="805" t="s">
        <v>302</v>
      </c>
      <c r="C55" s="807">
        <v>0.737441791340533</v>
      </c>
      <c r="D55" s="807">
        <v>0.262558208659467</v>
      </c>
      <c r="E55"/>
      <c r="F55" s="117"/>
      <c r="G55" s="118"/>
      <c r="M55"/>
      <c r="N55"/>
      <c r="O55"/>
    </row>
    <row r="56" spans="2:15" ht="15.6">
      <c r="B56" s="805" t="s">
        <v>312</v>
      </c>
      <c r="C56" s="807">
        <v>1</v>
      </c>
      <c r="D56" s="807">
        <v>0</v>
      </c>
      <c r="E56" s="117"/>
      <c r="F56" s="117"/>
      <c r="G56" s="118"/>
      <c r="M56"/>
      <c r="N56"/>
      <c r="O56"/>
    </row>
    <row r="57" spans="2:15">
      <c r="B57" s="805" t="s">
        <v>399</v>
      </c>
      <c r="C57" s="807">
        <v>1</v>
      </c>
      <c r="D57" s="807">
        <v>0</v>
      </c>
      <c r="E57" s="117"/>
      <c r="F57" s="117"/>
      <c r="G57" s="118"/>
    </row>
    <row r="58" spans="2:15">
      <c r="B58" s="805" t="s">
        <v>402</v>
      </c>
      <c r="C58" s="807">
        <v>1</v>
      </c>
      <c r="D58" s="807">
        <v>0</v>
      </c>
      <c r="E58" s="117"/>
      <c r="F58" s="117"/>
      <c r="G58" s="118"/>
    </row>
    <row r="59" spans="2:15">
      <c r="B59" s="805" t="s">
        <v>295</v>
      </c>
      <c r="C59" s="807">
        <v>0.70496193342776203</v>
      </c>
      <c r="D59" s="807">
        <v>0.29503806657223797</v>
      </c>
      <c r="E59" s="117"/>
      <c r="F59" s="117"/>
      <c r="G59" s="118"/>
    </row>
    <row r="60" spans="2:15" ht="15.6">
      <c r="B60"/>
      <c r="C60"/>
      <c r="D60"/>
      <c r="E60" s="117"/>
      <c r="F60" s="117"/>
      <c r="G60" s="118"/>
    </row>
    <row r="61" spans="2:15" ht="15.6">
      <c r="B61"/>
      <c r="C61"/>
      <c r="D61"/>
      <c r="E61" s="117"/>
      <c r="F61" s="117"/>
      <c r="G61" s="118"/>
    </row>
    <row r="62" spans="2:15" ht="15.6">
      <c r="B62"/>
      <c r="C62"/>
      <c r="D62"/>
      <c r="E62" s="117"/>
      <c r="F62" s="117"/>
      <c r="G62" s="118"/>
    </row>
    <row r="63" spans="2:15" ht="15.6">
      <c r="B63"/>
      <c r="C63"/>
      <c r="D63"/>
      <c r="E63" s="117"/>
      <c r="F63" s="117"/>
      <c r="G63" s="118"/>
    </row>
    <row r="64" spans="2:15" ht="15.6">
      <c r="B64" s="470"/>
      <c r="C64" s="470"/>
      <c r="D64" s="470"/>
      <c r="E64" s="117"/>
      <c r="F64" s="117"/>
      <c r="G64" s="118"/>
    </row>
    <row r="65" spans="1:26" ht="15.6">
      <c r="B65" s="470"/>
      <c r="C65" s="470"/>
      <c r="D65" s="470"/>
      <c r="E65" s="117"/>
      <c r="F65" s="117"/>
      <c r="G65" s="118"/>
      <c r="K65"/>
      <c r="L65"/>
      <c r="M65"/>
    </row>
    <row r="66" spans="1:26" ht="15.6">
      <c r="B66" s="115"/>
      <c r="C66" s="116"/>
      <c r="D66" s="116"/>
      <c r="E66" s="117"/>
      <c r="F66" s="117"/>
      <c r="G66" s="118"/>
      <c r="K66"/>
      <c r="L66"/>
      <c r="M66"/>
      <c r="T66"/>
      <c r="U66"/>
    </row>
    <row r="67" spans="1:26" ht="15.6">
      <c r="B67" s="115"/>
      <c r="C67" s="116"/>
      <c r="D67" s="116"/>
      <c r="E67" s="117"/>
      <c r="F67" s="117"/>
      <c r="G67" s="118"/>
      <c r="T67"/>
      <c r="U67"/>
    </row>
    <row r="68" spans="1:26" s="126" customFormat="1" ht="18">
      <c r="A68" s="102" t="s">
        <v>1983</v>
      </c>
      <c r="B68" s="102"/>
      <c r="C68" s="123"/>
      <c r="D68" s="124"/>
      <c r="E68" s="124"/>
      <c r="F68" s="124"/>
      <c r="G68" s="125"/>
      <c r="H68" s="102"/>
      <c r="I68" s="102"/>
      <c r="J68" s="102"/>
      <c r="K68" s="102"/>
      <c r="L68" s="102"/>
      <c r="M68" s="102"/>
      <c r="N68" s="102"/>
      <c r="O68" s="102"/>
      <c r="P68" s="102"/>
      <c r="Q68" s="102"/>
      <c r="R68" s="102"/>
      <c r="S68" s="102"/>
      <c r="T68" s="102"/>
      <c r="U68" s="102"/>
      <c r="V68" s="102"/>
      <c r="W68" s="102"/>
      <c r="X68" s="102"/>
      <c r="Y68" s="102"/>
      <c r="Z68" s="102"/>
    </row>
    <row r="69" spans="1:26" s="104" customFormat="1">
      <c r="C69" s="106"/>
      <c r="D69" s="107"/>
      <c r="E69" s="107"/>
      <c r="F69" s="107"/>
      <c r="G69" s="108"/>
    </row>
    <row r="70" spans="1:26" s="104" customFormat="1" ht="15.6">
      <c r="F70" s="107"/>
      <c r="G70" s="108"/>
      <c r="L70"/>
    </row>
    <row r="71" spans="1:26" s="104" customFormat="1" ht="15.6">
      <c r="B71" s="801" t="s">
        <v>18</v>
      </c>
      <c r="C71" s="802" t="s">
        <v>3199</v>
      </c>
      <c r="D71" s="470"/>
      <c r="E71" s="107"/>
      <c r="H71" s="801" t="s">
        <v>18</v>
      </c>
      <c r="I71" s="802" t="s">
        <v>3199</v>
      </c>
    </row>
    <row r="72" spans="1:26" s="104" customFormat="1" ht="15.6">
      <c r="B72" s="816" t="s">
        <v>19</v>
      </c>
      <c r="C72" s="802" t="s">
        <v>2648</v>
      </c>
      <c r="D72" s="470"/>
      <c r="H72" s="816" t="s">
        <v>19</v>
      </c>
      <c r="I72" s="802" t="s">
        <v>2648</v>
      </c>
      <c r="K72"/>
      <c r="Q72" s="801" t="s">
        <v>18</v>
      </c>
      <c r="R72" s="802" t="s">
        <v>3199</v>
      </c>
    </row>
    <row r="73" spans="1:26" s="104" customFormat="1" ht="15.6">
      <c r="B73" s="801" t="s">
        <v>32</v>
      </c>
      <c r="C73" s="802" t="s">
        <v>32</v>
      </c>
      <c r="D73" s="470"/>
      <c r="H73" s="801" t="s">
        <v>32</v>
      </c>
      <c r="I73" s="802" t="s">
        <v>32</v>
      </c>
      <c r="Q73" s="816" t="s">
        <v>19</v>
      </c>
      <c r="R73" s="802" t="s">
        <v>2648</v>
      </c>
    </row>
    <row r="74" spans="1:26" s="109" customFormat="1" ht="15.6">
      <c r="B74" s="104"/>
      <c r="C74" s="104"/>
      <c r="D74" s="470"/>
      <c r="E74" s="104"/>
      <c r="F74" s="111"/>
      <c r="G74" s="111"/>
      <c r="H74" s="801" t="s">
        <v>124</v>
      </c>
      <c r="I74" s="802" t="s">
        <v>794</v>
      </c>
      <c r="J74" s="104"/>
      <c r="K74" s="104"/>
      <c r="M74" s="104"/>
      <c r="Q74" s="801" t="s">
        <v>32</v>
      </c>
      <c r="R74" s="802" t="s">
        <v>32</v>
      </c>
      <c r="S74" s="104"/>
      <c r="T74" s="104"/>
      <c r="U74" s="104"/>
      <c r="V74" s="104"/>
      <c r="W74" s="104"/>
      <c r="Y74" s="104"/>
    </row>
    <row r="75" spans="1:26" s="104" customFormat="1" ht="15.6">
      <c r="B75" s="802"/>
      <c r="C75" s="801" t="s">
        <v>1887</v>
      </c>
      <c r="D75" s="470"/>
      <c r="E75"/>
      <c r="F75"/>
      <c r="G75"/>
      <c r="H75" s="801" t="s">
        <v>2898</v>
      </c>
      <c r="I75" s="802" t="s">
        <v>40</v>
      </c>
      <c r="L75"/>
      <c r="M75"/>
    </row>
    <row r="76" spans="1:26" s="104" customFormat="1" ht="15.6">
      <c r="B76" s="801" t="s">
        <v>1888</v>
      </c>
      <c r="C76" s="802" t="s">
        <v>1914</v>
      </c>
      <c r="D76" s="470"/>
      <c r="E76"/>
      <c r="F76"/>
      <c r="G76"/>
      <c r="J76" s="109"/>
      <c r="K76" s="109"/>
      <c r="L76"/>
      <c r="M76" s="481"/>
      <c r="N76" s="423"/>
      <c r="O76" s="423"/>
      <c r="P76" s="423"/>
      <c r="Q76" s="801" t="s">
        <v>1888</v>
      </c>
      <c r="R76" s="802"/>
      <c r="S76" s="423"/>
      <c r="T76" s="423"/>
      <c r="U76" s="423"/>
      <c r="V76" s="423"/>
      <c r="W76" s="423"/>
      <c r="X76" s="423"/>
      <c r="Y76" s="423"/>
      <c r="Z76" s="423"/>
    </row>
    <row r="77" spans="1:26" s="104" customFormat="1" ht="15.6">
      <c r="B77" s="805" t="s">
        <v>1913</v>
      </c>
      <c r="C77" s="806">
        <v>23513</v>
      </c>
      <c r="D77" s="470"/>
      <c r="E77"/>
      <c r="F77"/>
      <c r="G77"/>
      <c r="H77" s="802"/>
      <c r="I77" s="801" t="s">
        <v>1887</v>
      </c>
      <c r="J77" s="802"/>
      <c r="K77" s="802"/>
      <c r="L77"/>
      <c r="M77"/>
      <c r="Q77" s="805" t="s">
        <v>2806</v>
      </c>
      <c r="R77" s="806">
        <v>141021</v>
      </c>
      <c r="S77" s="423"/>
      <c r="T77" s="745"/>
      <c r="U77" s="746" t="s">
        <v>3208</v>
      </c>
      <c r="V77" s="749" t="s">
        <v>3209</v>
      </c>
      <c r="W77" s="423"/>
      <c r="X77" s="423"/>
      <c r="Y77" s="423"/>
      <c r="Z77" s="423"/>
    </row>
    <row r="78" spans="1:26" s="104" customFormat="1" ht="15.6">
      <c r="B78" s="805" t="s">
        <v>2914</v>
      </c>
      <c r="C78" s="806">
        <v>10898</v>
      </c>
      <c r="D78" s="470"/>
      <c r="E78"/>
      <c r="F78"/>
      <c r="G78"/>
      <c r="H78" s="802"/>
      <c r="I78" s="802" t="s">
        <v>126</v>
      </c>
      <c r="J78" s="802" t="s">
        <v>40</v>
      </c>
      <c r="K78" s="802" t="s">
        <v>130</v>
      </c>
      <c r="L78"/>
      <c r="M78"/>
      <c r="Q78" s="805" t="s">
        <v>3207</v>
      </c>
      <c r="R78" s="806">
        <v>45023</v>
      </c>
      <c r="T78" s="747" t="s">
        <v>3207</v>
      </c>
      <c r="U78" s="748">
        <f>GETPIVOTDATA("Sum of HRP2",$Q$76)</f>
        <v>45023</v>
      </c>
      <c r="V78" s="110">
        <f>GETPIVOTDATA("Sum of Total PoP ",$Q$76)-U78</f>
        <v>95998</v>
      </c>
    </row>
    <row r="79" spans="1:26" s="104" customFormat="1" ht="15.6">
      <c r="C79" s="470"/>
      <c r="D79" s="470"/>
      <c r="E79"/>
      <c r="F79"/>
      <c r="G79"/>
      <c r="H79" s="802" t="s">
        <v>2915</v>
      </c>
      <c r="I79" s="806">
        <v>16</v>
      </c>
      <c r="J79" s="806">
        <v>7</v>
      </c>
      <c r="K79" s="806">
        <v>16</v>
      </c>
      <c r="L79"/>
      <c r="M79"/>
      <c r="Q79"/>
      <c r="R79"/>
    </row>
    <row r="80" spans="1:26" s="104" customFormat="1" ht="15.6">
      <c r="C80"/>
      <c r="D80"/>
      <c r="E80"/>
      <c r="F80"/>
      <c r="G80"/>
      <c r="K80"/>
      <c r="L80"/>
      <c r="M80"/>
      <c r="Q80" s="111"/>
      <c r="S80"/>
      <c r="T80"/>
      <c r="U80"/>
    </row>
    <row r="81" spans="1:21" s="104" customFormat="1" ht="16.2" thickBot="1">
      <c r="B81" s="111"/>
      <c r="C81"/>
      <c r="D81"/>
      <c r="E81"/>
      <c r="F81"/>
      <c r="G81"/>
      <c r="K81"/>
      <c r="L81"/>
      <c r="M81"/>
      <c r="Q81" s="111"/>
      <c r="S81"/>
      <c r="T81"/>
      <c r="U81"/>
    </row>
    <row r="82" spans="1:21" s="104" customFormat="1" ht="15.6">
      <c r="B82" s="128" t="s">
        <v>294</v>
      </c>
      <c r="C82" s="129" t="s">
        <v>1914</v>
      </c>
      <c r="D82"/>
      <c r="E82"/>
      <c r="F82"/>
      <c r="J82"/>
      <c r="K82"/>
      <c r="L82"/>
      <c r="P82" s="111"/>
      <c r="R82"/>
      <c r="S82"/>
      <c r="T82"/>
    </row>
    <row r="83" spans="1:21" s="104" customFormat="1" ht="15.6">
      <c r="B83" s="130" t="s">
        <v>3210</v>
      </c>
      <c r="C83" s="131">
        <f>GETPIVOTDATA("Sum of #_of_sanitary_fly-proof_HH_latrines",$B$75,"Location Type","# in villages (6:1)")</f>
        <v>10898</v>
      </c>
      <c r="D83"/>
      <c r="E83"/>
      <c r="F83"/>
      <c r="I83" s="106"/>
      <c r="J83"/>
      <c r="K83"/>
      <c r="L83"/>
      <c r="P83" s="111"/>
      <c r="Q83" s="111"/>
      <c r="R83"/>
      <c r="S83"/>
      <c r="T83"/>
    </row>
    <row r="84" spans="1:21" s="104" customFormat="1" ht="15.6">
      <c r="B84" s="130" t="s">
        <v>3211</v>
      </c>
      <c r="C84" s="131">
        <f>C85-C83</f>
        <v>12615</v>
      </c>
      <c r="D84" s="108"/>
      <c r="E84" s="111"/>
      <c r="F84" s="111"/>
      <c r="H84"/>
      <c r="I84"/>
      <c r="R84" s="111"/>
    </row>
    <row r="85" spans="1:21" s="104" customFormat="1" ht="16.2" thickBot="1">
      <c r="A85" s="426" t="s">
        <v>2654</v>
      </c>
      <c r="B85" s="132" t="s">
        <v>1913</v>
      </c>
      <c r="C85" s="428">
        <f>GETPIVOTDATA("# latrines (target)",$B$75,"Location Type","# in villages (6:1)")</f>
        <v>23513</v>
      </c>
      <c r="D85" s="470"/>
      <c r="E85" s="470"/>
      <c r="F85" s="470"/>
      <c r="H85" s="801" t="s">
        <v>18</v>
      </c>
      <c r="I85" s="802" t="s">
        <v>3199</v>
      </c>
      <c r="N85" s="111"/>
      <c r="O85" s="110"/>
    </row>
    <row r="86" spans="1:21" s="104" customFormat="1" ht="15.6">
      <c r="B86" s="470"/>
      <c r="C86" s="470"/>
      <c r="D86" s="470"/>
      <c r="E86" s="470"/>
      <c r="F86" s="470"/>
      <c r="H86" s="816" t="s">
        <v>19</v>
      </c>
      <c r="I86" s="802" t="s">
        <v>2648</v>
      </c>
      <c r="N86" s="111"/>
      <c r="O86" s="110"/>
    </row>
    <row r="87" spans="1:21" s="104" customFormat="1" ht="15.6">
      <c r="D87" s="470"/>
      <c r="E87" s="470"/>
      <c r="F87" s="470"/>
      <c r="G87" s="111"/>
      <c r="H87" s="801" t="s">
        <v>32</v>
      </c>
      <c r="I87" s="802" t="s">
        <v>32</v>
      </c>
    </row>
    <row r="88" spans="1:21" s="104" customFormat="1" ht="15.6">
      <c r="B88" s="470"/>
      <c r="C88" s="470"/>
      <c r="D88" s="470"/>
      <c r="E88" s="470"/>
      <c r="F88" s="470"/>
      <c r="G88" s="470"/>
      <c r="H88" s="801" t="s">
        <v>124</v>
      </c>
      <c r="I88" s="802" t="s">
        <v>794</v>
      </c>
    </row>
    <row r="89" spans="1:21" s="104" customFormat="1" ht="15.6">
      <c r="B89" s="470"/>
      <c r="C89" s="470"/>
      <c r="D89" s="470"/>
      <c r="E89" s="470"/>
      <c r="F89" s="470"/>
      <c r="G89" s="470"/>
      <c r="J89" s="109"/>
    </row>
    <row r="90" spans="1:21" s="104" customFormat="1" ht="15.6">
      <c r="B90" s="470"/>
      <c r="C90" s="470"/>
      <c r="D90" s="470"/>
      <c r="E90" s="470"/>
      <c r="F90" s="470"/>
      <c r="G90" s="470"/>
      <c r="H90" s="802"/>
      <c r="I90" s="801" t="s">
        <v>1887</v>
      </c>
      <c r="J90" s="802"/>
      <c r="K90" s="423"/>
      <c r="L90" s="423"/>
      <c r="M90" s="423"/>
      <c r="N90" s="423"/>
      <c r="O90" s="423"/>
      <c r="P90" s="423"/>
      <c r="Q90" s="612"/>
      <c r="R90" s="612"/>
      <c r="S90" s="423"/>
      <c r="T90" s="423"/>
      <c r="U90" s="423"/>
    </row>
    <row r="91" spans="1:21" s="104" customFormat="1" ht="15.6">
      <c r="B91" s="470"/>
      <c r="C91" s="470"/>
      <c r="D91" s="470"/>
      <c r="E91" s="470"/>
      <c r="F91" s="470"/>
      <c r="G91" s="470"/>
      <c r="H91" s="802"/>
      <c r="I91" s="802" t="s">
        <v>126</v>
      </c>
      <c r="J91" s="802" t="s">
        <v>40</v>
      </c>
      <c r="K91" s="133"/>
      <c r="L91" s="134"/>
      <c r="M91" s="134"/>
      <c r="Q91" s="111"/>
      <c r="R91" s="111"/>
    </row>
    <row r="92" spans="1:21" s="104" customFormat="1" ht="15.6">
      <c r="B92" s="470"/>
      <c r="C92" s="470"/>
      <c r="D92" s="470"/>
      <c r="E92" s="470"/>
      <c r="F92" s="470"/>
      <c r="G92" s="470"/>
      <c r="H92" s="802" t="s">
        <v>2916</v>
      </c>
      <c r="I92" s="806">
        <v>87</v>
      </c>
      <c r="J92" s="806">
        <v>39</v>
      </c>
      <c r="K92" s="133"/>
      <c r="L92" s="134"/>
      <c r="M92" s="134"/>
      <c r="Q92" s="111"/>
      <c r="R92" s="111"/>
      <c r="S92" s="133"/>
      <c r="T92" s="134"/>
      <c r="U92" s="134"/>
    </row>
    <row r="93" spans="1:21" s="104" customFormat="1">
      <c r="B93" s="108"/>
      <c r="C93" s="108"/>
      <c r="D93" s="108"/>
      <c r="E93" s="108"/>
      <c r="F93" s="108"/>
      <c r="G93" s="108"/>
    </row>
    <row r="94" spans="1:21" s="104" customFormat="1">
      <c r="B94" s="108"/>
      <c r="C94" s="108"/>
      <c r="D94" s="108"/>
      <c r="E94" s="108"/>
      <c r="F94" s="108"/>
      <c r="G94" s="108"/>
    </row>
    <row r="95" spans="1:21" s="104" customFormat="1">
      <c r="B95" s="133"/>
      <c r="C95" s="134"/>
      <c r="D95" s="134"/>
      <c r="E95" s="134"/>
      <c r="F95" s="134"/>
      <c r="K95" s="607" t="s">
        <v>2915</v>
      </c>
    </row>
    <row r="96" spans="1:21" s="104" customFormat="1">
      <c r="H96" s="607"/>
      <c r="I96" s="611" t="s">
        <v>2917</v>
      </c>
      <c r="J96" s="611" t="s">
        <v>2927</v>
      </c>
      <c r="K96" s="611" t="s">
        <v>2928</v>
      </c>
      <c r="L96" s="611" t="s">
        <v>130</v>
      </c>
    </row>
    <row r="97" spans="2:24" s="104" customFormat="1">
      <c r="B97" s="801" t="s">
        <v>18</v>
      </c>
      <c r="C97" s="802" t="s">
        <v>3199</v>
      </c>
      <c r="D97" s="116"/>
      <c r="H97" s="607" t="s">
        <v>2898</v>
      </c>
      <c r="I97" s="611">
        <f>GETPIVOTDATA("Village with School",$H$90,"Village with School","No")</f>
        <v>87</v>
      </c>
      <c r="J97" s="611">
        <f>GETPIVOTDATA("Availability_of_drainage_in_school_compound_(Yes_or_No)",$H$77,"Availability_of_drainage_in_school_compound_(Yes_or_No)","No")</f>
        <v>16</v>
      </c>
      <c r="K97" s="611">
        <f>GETPIVOTDATA("Availability_of_drainage_in_school_compound_(Yes_or_No)",$H$77,"Availability_of_drainage_in_school_compound_(Yes_or_No)","Yes")</f>
        <v>7</v>
      </c>
      <c r="L97" s="611">
        <f>GETPIVOTDATA("Availability_of_drainage_in_school_compound_(Yes_or_No)",$H$77,"Availability_of_drainage_in_school_compound_(Yes_or_No)","NA")</f>
        <v>16</v>
      </c>
    </row>
    <row r="98" spans="2:24" s="104" customFormat="1">
      <c r="B98" s="801" t="s">
        <v>32</v>
      </c>
      <c r="C98" s="802" t="s">
        <v>32</v>
      </c>
      <c r="D98" s="111"/>
    </row>
    <row r="99" spans="2:24" s="104" customFormat="1">
      <c r="B99" s="817" t="s">
        <v>19</v>
      </c>
      <c r="C99" s="802" t="s">
        <v>1638</v>
      </c>
      <c r="D99" s="111"/>
    </row>
    <row r="100" spans="2:24" s="104" customFormat="1">
      <c r="B100" s="801" t="s">
        <v>124</v>
      </c>
      <c r="C100" s="802" t="s">
        <v>794</v>
      </c>
      <c r="D100" s="111"/>
    </row>
    <row r="101" spans="2:24" s="104" customFormat="1">
      <c r="B101" s="425"/>
      <c r="C101" s="111"/>
      <c r="D101" s="111"/>
    </row>
    <row r="102" spans="2:24" s="104" customFormat="1">
      <c r="B102" s="814" t="s">
        <v>19</v>
      </c>
      <c r="C102" s="802" t="s">
        <v>2779</v>
      </c>
      <c r="D102" s="802" t="s">
        <v>2780</v>
      </c>
    </row>
    <row r="103" spans="2:24" s="104" customFormat="1">
      <c r="B103" s="805" t="s">
        <v>302</v>
      </c>
      <c r="C103" s="807">
        <v>0.42851481224611115</v>
      </c>
      <c r="D103" s="807">
        <v>0.5714851877538889</v>
      </c>
    </row>
    <row r="104" spans="2:24" s="104" customFormat="1">
      <c r="B104" s="805" t="s">
        <v>312</v>
      </c>
      <c r="C104" s="807">
        <v>0.51311941673677042</v>
      </c>
      <c r="D104" s="807">
        <v>0.48688058326322958</v>
      </c>
    </row>
    <row r="105" spans="2:24" s="104" customFormat="1" ht="15.6">
      <c r="B105" s="805" t="s">
        <v>399</v>
      </c>
      <c r="C105" s="807">
        <v>1</v>
      </c>
      <c r="D105" s="807">
        <v>0</v>
      </c>
      <c r="L105"/>
      <c r="M105"/>
      <c r="N105"/>
    </row>
    <row r="106" spans="2:24" s="104" customFormat="1" ht="15.6">
      <c r="B106" s="805" t="s">
        <v>149</v>
      </c>
      <c r="C106" s="807">
        <v>0.62240663900414939</v>
      </c>
      <c r="D106" s="807">
        <v>0.37759336099585061</v>
      </c>
      <c r="L106"/>
      <c r="M106"/>
      <c r="N106"/>
    </row>
    <row r="107" spans="2:24" s="104" customFormat="1" ht="15.6">
      <c r="B107" s="805" t="s">
        <v>402</v>
      </c>
      <c r="C107" s="807">
        <v>0.12483745123537061</v>
      </c>
      <c r="D107" s="807">
        <v>0.8751625487646294</v>
      </c>
      <c r="L107"/>
      <c r="M107"/>
      <c r="N107"/>
    </row>
    <row r="108" spans="2:24" s="104" customFormat="1" ht="15.6">
      <c r="B108" s="805" t="s">
        <v>295</v>
      </c>
      <c r="C108" s="807">
        <v>0.28496813031161472</v>
      </c>
      <c r="D108" s="807">
        <v>0.71503186968838528</v>
      </c>
      <c r="L108"/>
      <c r="M108"/>
      <c r="N108"/>
      <c r="V108"/>
      <c r="W108"/>
      <c r="X108"/>
    </row>
    <row r="109" spans="2:24" s="104" customFormat="1" ht="15.6">
      <c r="B109" s="805" t="s">
        <v>174</v>
      </c>
      <c r="C109" s="807">
        <v>0</v>
      </c>
      <c r="D109" s="807">
        <v>1</v>
      </c>
      <c r="L109"/>
      <c r="M109"/>
      <c r="N109"/>
      <c r="V109"/>
      <c r="W109"/>
      <c r="X109"/>
    </row>
    <row r="110" spans="2:24" s="104" customFormat="1" ht="15.6">
      <c r="B110" s="805" t="s">
        <v>132</v>
      </c>
      <c r="C110" s="807">
        <v>0.27171757239190797</v>
      </c>
      <c r="D110" s="807">
        <v>0.72828242760809203</v>
      </c>
      <c r="L110"/>
      <c r="M110"/>
      <c r="N110"/>
      <c r="V110"/>
      <c r="W110"/>
      <c r="X110"/>
    </row>
    <row r="111" spans="2:24" s="104" customFormat="1" ht="15.6">
      <c r="B111" s="805" t="s">
        <v>771</v>
      </c>
      <c r="C111" s="807">
        <v>0</v>
      </c>
      <c r="D111" s="807">
        <v>1</v>
      </c>
      <c r="L111"/>
      <c r="M111"/>
      <c r="N111"/>
    </row>
    <row r="112" spans="2:24" s="104" customFormat="1" ht="15.6">
      <c r="B112"/>
      <c r="C112"/>
      <c r="D112"/>
      <c r="L112" s="470"/>
      <c r="M112" s="470"/>
      <c r="N112" s="470"/>
    </row>
    <row r="113" spans="2:26" s="104" customFormat="1" ht="15.6">
      <c r="B113"/>
      <c r="C113"/>
      <c r="D113"/>
      <c r="L113" s="470"/>
      <c r="M113" s="470"/>
      <c r="N113" s="470"/>
    </row>
    <row r="114" spans="2:26" s="104" customFormat="1" ht="15.6">
      <c r="B114" s="680"/>
      <c r="C114" s="681"/>
      <c r="D114" s="681"/>
      <c r="L114" s="470"/>
      <c r="M114" s="470"/>
      <c r="N114" s="470"/>
    </row>
    <row r="115" spans="2:26" s="104" customFormat="1" ht="15.6">
      <c r="B115" s="680"/>
      <c r="C115" s="681"/>
      <c r="D115" s="681"/>
      <c r="L115" s="470"/>
      <c r="M115" s="470"/>
      <c r="N115" s="470"/>
    </row>
    <row r="116" spans="2:26" s="104" customFormat="1" ht="15.6">
      <c r="L116"/>
      <c r="M116"/>
      <c r="N116"/>
    </row>
    <row r="117" spans="2:26" s="104" customFormat="1" ht="15.6">
      <c r="B117"/>
      <c r="C117"/>
      <c r="D117"/>
      <c r="L117"/>
      <c r="M117" s="801" t="s">
        <v>18</v>
      </c>
      <c r="N117" s="802" t="s">
        <v>3199</v>
      </c>
    </row>
    <row r="118" spans="2:26" s="104" customFormat="1" ht="15.6">
      <c r="B118" s="801" t="s">
        <v>18</v>
      </c>
      <c r="C118" s="802" t="s">
        <v>3199</v>
      </c>
      <c r="J118"/>
      <c r="K118"/>
      <c r="L118"/>
      <c r="M118" s="816" t="s">
        <v>19</v>
      </c>
      <c r="N118" s="802" t="s">
        <v>2648</v>
      </c>
      <c r="S118"/>
      <c r="T118"/>
      <c r="U118"/>
    </row>
    <row r="119" spans="2:26" s="104" customFormat="1" ht="15.6">
      <c r="B119" s="816" t="s">
        <v>19</v>
      </c>
      <c r="C119" s="802" t="s">
        <v>2648</v>
      </c>
      <c r="J119"/>
      <c r="K119"/>
      <c r="L119"/>
      <c r="M119" s="801" t="s">
        <v>32</v>
      </c>
      <c r="N119" s="802" t="s">
        <v>32</v>
      </c>
      <c r="S119"/>
      <c r="T119"/>
      <c r="U119"/>
    </row>
    <row r="120" spans="2:26" s="104" customFormat="1" ht="15.6">
      <c r="B120" s="801" t="s">
        <v>32</v>
      </c>
      <c r="C120" s="802" t="s">
        <v>32</v>
      </c>
      <c r="J120"/>
      <c r="K120"/>
      <c r="L120"/>
      <c r="M120" s="801" t="s">
        <v>124</v>
      </c>
      <c r="N120" s="802" t="s">
        <v>794</v>
      </c>
      <c r="S120"/>
      <c r="T120"/>
      <c r="U120"/>
    </row>
    <row r="121" spans="2:26" s="104" customFormat="1" ht="15.6">
      <c r="B121" s="801" t="s">
        <v>124</v>
      </c>
      <c r="C121" s="802" t="s">
        <v>794</v>
      </c>
      <c r="J121"/>
      <c r="K121"/>
      <c r="L121"/>
      <c r="S121"/>
      <c r="T121"/>
      <c r="U121"/>
    </row>
    <row r="122" spans="2:26" s="104" customFormat="1" ht="15.6">
      <c r="D122" s="109"/>
      <c r="E122" s="608" t="s">
        <v>2921</v>
      </c>
      <c r="F122" s="609">
        <f>GETPIVOTDATA("Sum of #of students in school",$B$123)</f>
        <v>6915</v>
      </c>
      <c r="J122"/>
      <c r="K122"/>
      <c r="L122"/>
      <c r="M122" s="801" t="s">
        <v>1888</v>
      </c>
      <c r="N122" s="802"/>
      <c r="O122" s="423"/>
      <c r="P122" s="745" t="s">
        <v>3205</v>
      </c>
      <c r="Q122" s="746" t="s">
        <v>40</v>
      </c>
      <c r="R122" s="749" t="s">
        <v>126</v>
      </c>
      <c r="S122" s="481"/>
      <c r="T122" s="481"/>
      <c r="U122" s="481"/>
      <c r="V122" s="423"/>
      <c r="W122" s="423"/>
      <c r="X122" s="423"/>
      <c r="Y122" s="423"/>
      <c r="Z122" s="423"/>
    </row>
    <row r="123" spans="2:26" s="104" customFormat="1" ht="15.6">
      <c r="B123" s="801" t="s">
        <v>1888</v>
      </c>
      <c r="C123" s="802"/>
      <c r="D123"/>
      <c r="E123" s="610" t="s">
        <v>1648</v>
      </c>
      <c r="F123" s="611">
        <f>GETPIVOTDATA("Sum of #_of_Functioning_latrines_in_school",$B$123)</f>
        <v>97</v>
      </c>
      <c r="G123" s="423"/>
      <c r="H123" s="423"/>
      <c r="I123" s="423"/>
      <c r="J123" s="481"/>
      <c r="K123" s="481"/>
      <c r="L123" s="481"/>
      <c r="M123" s="805" t="s">
        <v>3203</v>
      </c>
      <c r="N123" s="806">
        <v>466</v>
      </c>
      <c r="O123" s="423"/>
      <c r="P123" s="747" t="s">
        <v>3206</v>
      </c>
      <c r="Q123" s="748">
        <f>GETPIVOTDATA("Sum of #_of_PWD_with_adapted_sanitation_option_at_HH_level_",$M$122)</f>
        <v>254</v>
      </c>
      <c r="R123" s="750">
        <f>GETPIVOTDATA("Sum of #_of_PWD_at_village",$M$122)-Q123</f>
        <v>212</v>
      </c>
      <c r="S123" s="481"/>
      <c r="T123" s="481"/>
      <c r="U123" s="481"/>
      <c r="V123" s="423"/>
      <c r="W123" s="423"/>
      <c r="X123" s="423"/>
      <c r="Y123" s="423"/>
      <c r="Z123" s="423"/>
    </row>
    <row r="124" spans="2:26" s="104" customFormat="1" ht="15.6">
      <c r="B124" s="805" t="s">
        <v>2918</v>
      </c>
      <c r="C124" s="806">
        <v>6915</v>
      </c>
      <c r="D124"/>
      <c r="E124" s="610" t="s">
        <v>2920</v>
      </c>
      <c r="F124" s="611">
        <f>F122/50</f>
        <v>138.30000000000001</v>
      </c>
      <c r="J124"/>
      <c r="K124"/>
      <c r="L124"/>
      <c r="M124" s="805" t="s">
        <v>3204</v>
      </c>
      <c r="N124" s="806">
        <v>254</v>
      </c>
      <c r="Q124" s="110"/>
      <c r="S124"/>
      <c r="T124"/>
    </row>
    <row r="125" spans="2:26" s="104" customFormat="1" ht="15.6">
      <c r="B125" s="805" t="s">
        <v>2919</v>
      </c>
      <c r="C125" s="806">
        <v>97</v>
      </c>
      <c r="D125"/>
      <c r="E125" s="610" t="s">
        <v>1649</v>
      </c>
      <c r="F125" s="611">
        <f>F124-F123</f>
        <v>41.300000000000011</v>
      </c>
      <c r="S125"/>
      <c r="T125"/>
    </row>
    <row r="126" spans="2:26" s="104" customFormat="1" ht="15.6">
      <c r="B126" s="613"/>
      <c r="C126" s="614"/>
      <c r="D126" s="614"/>
      <c r="S126" s="470"/>
      <c r="T126" s="470"/>
    </row>
    <row r="127" spans="2:26" s="104" customFormat="1" ht="15.6">
      <c r="B127" s="613"/>
      <c r="C127" s="614"/>
      <c r="D127" s="614"/>
      <c r="F127" s="744">
        <f>F123/F124</f>
        <v>0.70137382501807655</v>
      </c>
      <c r="S127" s="470"/>
      <c r="T127" s="470"/>
    </row>
    <row r="128" spans="2:26" s="104" customFormat="1" ht="15.6">
      <c r="B128" s="613"/>
      <c r="C128" s="614"/>
      <c r="D128" s="614"/>
      <c r="S128" s="470"/>
      <c r="T128" s="470"/>
    </row>
    <row r="129" spans="1:26" s="104" customFormat="1" ht="15.6">
      <c r="B129" s="613"/>
      <c r="C129" s="614"/>
      <c r="D129" s="614"/>
      <c r="S129" s="470"/>
      <c r="T129" s="470"/>
    </row>
    <row r="130" spans="1:26" s="104" customFormat="1" ht="18">
      <c r="A130" s="138" t="s">
        <v>1984</v>
      </c>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s="104" customFormat="1" ht="15.6">
      <c r="S131"/>
      <c r="T131"/>
    </row>
    <row r="132" spans="1:26" s="104" customFormat="1">
      <c r="B132" s="801" t="s">
        <v>18</v>
      </c>
      <c r="C132" s="802" t="s">
        <v>3199</v>
      </c>
      <c r="K132" s="801" t="s">
        <v>18</v>
      </c>
      <c r="L132" s="802" t="s">
        <v>3199</v>
      </c>
    </row>
    <row r="133" spans="1:26" s="104" customFormat="1">
      <c r="B133" s="801" t="s">
        <v>19</v>
      </c>
      <c r="C133" s="802" t="s">
        <v>1638</v>
      </c>
      <c r="D133" s="111"/>
      <c r="E133" s="617" t="s">
        <v>2806</v>
      </c>
      <c r="F133" s="630" t="s">
        <v>2929</v>
      </c>
      <c r="K133" s="801" t="s">
        <v>19</v>
      </c>
      <c r="L133" s="802" t="s">
        <v>1638</v>
      </c>
    </row>
    <row r="134" spans="1:26" s="104" customFormat="1">
      <c r="B134" s="801" t="s">
        <v>32</v>
      </c>
      <c r="C134" s="802" t="s">
        <v>32</v>
      </c>
      <c r="E134" s="618">
        <f>GETPIVOTDATA("Sum of Total PoP ",$B$137)</f>
        <v>152592</v>
      </c>
      <c r="F134" s="104">
        <f>GETPIVOTDATA("Men",$B$137)+GETPIVOTDATA("Women",$B$137)+GETPIVOTDATA("Boys",$B$137)+GETPIVOTDATA("Girls",$B$137)</f>
        <v>24817</v>
      </c>
      <c r="K134" s="801" t="s">
        <v>32</v>
      </c>
      <c r="L134" s="802" t="s">
        <v>32</v>
      </c>
      <c r="M134" s="108"/>
    </row>
    <row r="135" spans="1:26" s="104" customFormat="1">
      <c r="B135" s="801" t="s">
        <v>124</v>
      </c>
      <c r="C135" s="802" t="s">
        <v>794</v>
      </c>
      <c r="D135" s="111"/>
      <c r="K135" s="801" t="s">
        <v>124</v>
      </c>
      <c r="L135" s="802" t="s">
        <v>794</v>
      </c>
    </row>
    <row r="136" spans="1:26" s="104" customFormat="1">
      <c r="E136" s="617" t="s">
        <v>2930</v>
      </c>
      <c r="F136" s="617" t="s">
        <v>2900</v>
      </c>
      <c r="G136" s="617" t="s">
        <v>2901</v>
      </c>
      <c r="H136" s="617" t="s">
        <v>2902</v>
      </c>
      <c r="I136" s="615" t="s">
        <v>2903</v>
      </c>
    </row>
    <row r="137" spans="1:26" s="104" customFormat="1" ht="15.6">
      <c r="B137" s="801" t="s">
        <v>1888</v>
      </c>
      <c r="C137" s="802"/>
      <c r="D137"/>
      <c r="E137" s="618">
        <f>E134-F134</f>
        <v>127775</v>
      </c>
      <c r="F137" s="618">
        <f>GETPIVOTDATA("Men",$B$137)</f>
        <v>7173</v>
      </c>
      <c r="G137" s="618">
        <f>GETPIVOTDATA("Women",$B$137)</f>
        <v>8633</v>
      </c>
      <c r="H137" s="618">
        <f>GETPIVOTDATA("Boys",$B$137)</f>
        <v>4570</v>
      </c>
      <c r="I137" s="616">
        <f>GETPIVOTDATA("Girls",$B$137)</f>
        <v>4441</v>
      </c>
      <c r="K137" s="801" t="s">
        <v>1888</v>
      </c>
      <c r="L137" s="802"/>
      <c r="M137" s="423"/>
      <c r="N137" s="423"/>
      <c r="O137" s="423"/>
      <c r="P137" s="423"/>
      <c r="Q137" s="423"/>
      <c r="R137" s="423"/>
    </row>
    <row r="138" spans="1:26" s="104" customFormat="1" ht="15.6">
      <c r="B138" s="805" t="s">
        <v>2806</v>
      </c>
      <c r="C138" s="810">
        <v>152592</v>
      </c>
      <c r="D138"/>
      <c r="E138"/>
      <c r="F138"/>
      <c r="G138"/>
      <c r="K138" s="805" t="s">
        <v>2931</v>
      </c>
      <c r="L138" s="810">
        <v>681</v>
      </c>
    </row>
    <row r="139" spans="1:26" s="104" customFormat="1" ht="15.6">
      <c r="B139" s="805" t="s">
        <v>2900</v>
      </c>
      <c r="C139" s="810">
        <v>7173</v>
      </c>
      <c r="D139"/>
      <c r="E139"/>
      <c r="F139"/>
      <c r="G139"/>
      <c r="K139" s="805" t="s">
        <v>2923</v>
      </c>
      <c r="L139" s="810">
        <v>9</v>
      </c>
    </row>
    <row r="140" spans="1:26" s="104" customFormat="1" ht="15.6">
      <c r="B140" s="805" t="s">
        <v>2901</v>
      </c>
      <c r="C140" s="810">
        <v>8633</v>
      </c>
      <c r="D140"/>
      <c r="E140"/>
      <c r="F140"/>
      <c r="G140"/>
    </row>
    <row r="141" spans="1:26" s="104" customFormat="1" ht="15.6">
      <c r="B141" s="805" t="s">
        <v>2902</v>
      </c>
      <c r="C141" s="810">
        <v>4570</v>
      </c>
      <c r="D141"/>
      <c r="E141"/>
      <c r="F141"/>
      <c r="G141"/>
    </row>
    <row r="142" spans="1:26" s="104" customFormat="1" ht="15.6">
      <c r="B142" s="805" t="s">
        <v>2903</v>
      </c>
      <c r="C142" s="810">
        <v>4441</v>
      </c>
      <c r="D142"/>
      <c r="E142"/>
      <c r="F142"/>
      <c r="G142"/>
      <c r="K142" s="801" t="s">
        <v>18</v>
      </c>
      <c r="L142" s="802" t="s">
        <v>3199</v>
      </c>
      <c r="Q142" s="113"/>
      <c r="R142" s="113"/>
    </row>
    <row r="143" spans="1:26" s="104" customFormat="1">
      <c r="B143" s="111"/>
      <c r="C143" s="111"/>
      <c r="D143" s="111"/>
      <c r="K143" s="801" t="s">
        <v>19</v>
      </c>
      <c r="L143" s="802" t="s">
        <v>1638</v>
      </c>
      <c r="N143" s="752" t="s">
        <v>2806</v>
      </c>
      <c r="O143" s="753">
        <f>GETPIVOTDATA("Sum of Total PoP ",$K$147)</f>
        <v>152592</v>
      </c>
      <c r="P143" s="104">
        <f>O143*30%</f>
        <v>45777.599999999999</v>
      </c>
    </row>
    <row r="144" spans="1:26" s="104" customFormat="1">
      <c r="B144" s="801" t="s">
        <v>18</v>
      </c>
      <c r="C144" s="802" t="s">
        <v>3199</v>
      </c>
      <c r="D144" s="111"/>
      <c r="K144" s="801" t="s">
        <v>32</v>
      </c>
      <c r="L144" s="802" t="s">
        <v>32</v>
      </c>
    </row>
    <row r="145" spans="2:18" s="104" customFormat="1">
      <c r="B145" s="801" t="s">
        <v>19</v>
      </c>
      <c r="C145" s="802" t="s">
        <v>1638</v>
      </c>
      <c r="D145" s="111"/>
      <c r="K145" s="801" t="s">
        <v>124</v>
      </c>
      <c r="L145" s="802" t="s">
        <v>794</v>
      </c>
      <c r="O145" s="759" t="s">
        <v>3217</v>
      </c>
      <c r="P145" s="759" t="s">
        <v>3209</v>
      </c>
    </row>
    <row r="146" spans="2:18" s="104" customFormat="1">
      <c r="B146" s="801" t="s">
        <v>32</v>
      </c>
      <c r="C146" s="802" t="s">
        <v>32</v>
      </c>
      <c r="D146" s="111"/>
      <c r="N146" s="752" t="s">
        <v>3215</v>
      </c>
      <c r="O146" s="755">
        <f>GETPIVOTDATA("Sum of # People with access to soap",$K$147)</f>
        <v>26321</v>
      </c>
      <c r="P146" s="756">
        <f>$O$143-O146</f>
        <v>126271</v>
      </c>
    </row>
    <row r="147" spans="2:18" s="104" customFormat="1">
      <c r="B147" s="801" t="s">
        <v>124</v>
      </c>
      <c r="C147" s="802" t="s">
        <v>794</v>
      </c>
      <c r="I147" s="116"/>
      <c r="J147" s="116"/>
      <c r="K147" s="801" t="s">
        <v>1888</v>
      </c>
      <c r="L147" s="802"/>
      <c r="M147" s="751"/>
      <c r="N147" s="754" t="s">
        <v>3216</v>
      </c>
      <c r="O147" s="757">
        <f>GETPIVOTDATA("Sum of # People with access to Sanity Pads",$K$147)</f>
        <v>1099</v>
      </c>
      <c r="P147" s="756">
        <f>P143-O147</f>
        <v>44678.6</v>
      </c>
      <c r="Q147" s="751"/>
      <c r="R147" s="751"/>
    </row>
    <row r="148" spans="2:18" s="104" customFormat="1">
      <c r="I148" s="116"/>
      <c r="J148" s="116"/>
      <c r="K148" s="805" t="s">
        <v>2806</v>
      </c>
      <c r="L148" s="810">
        <v>152592</v>
      </c>
      <c r="M148" s="116"/>
      <c r="N148" s="752" t="s">
        <v>2897</v>
      </c>
      <c r="O148" s="758">
        <f>F134</f>
        <v>24817</v>
      </c>
      <c r="P148" s="756">
        <f>$O$143-O148</f>
        <v>127775</v>
      </c>
      <c r="Q148" s="116"/>
      <c r="R148" s="116"/>
    </row>
    <row r="149" spans="2:18" s="104" customFormat="1" ht="15.6">
      <c r="B149" s="801" t="s">
        <v>1888</v>
      </c>
      <c r="C149" s="802"/>
      <c r="D149" s="481"/>
      <c r="E149" s="423"/>
      <c r="F149" s="423"/>
      <c r="G149" s="423"/>
      <c r="H149" s="423"/>
      <c r="I149" s="423"/>
      <c r="J149" s="423"/>
      <c r="K149" s="805" t="s">
        <v>3213</v>
      </c>
      <c r="L149" s="810">
        <v>26321</v>
      </c>
      <c r="M149" s="481"/>
      <c r="N149" s="423"/>
      <c r="O149" s="423"/>
      <c r="P149" s="423"/>
      <c r="Q149" s="423"/>
      <c r="R149" s="423"/>
    </row>
    <row r="150" spans="2:18" s="104" customFormat="1" ht="15.6">
      <c r="B150" s="805" t="s">
        <v>2902</v>
      </c>
      <c r="C150" s="810">
        <v>3627</v>
      </c>
      <c r="D150"/>
      <c r="K150" s="805" t="s">
        <v>3214</v>
      </c>
      <c r="L150" s="810">
        <v>1099</v>
      </c>
      <c r="M150"/>
    </row>
    <row r="151" spans="2:18" s="104" customFormat="1" ht="15.6">
      <c r="B151" s="805" t="s">
        <v>2903</v>
      </c>
      <c r="C151" s="810">
        <v>3673</v>
      </c>
      <c r="D151"/>
      <c r="K151"/>
      <c r="L151"/>
      <c r="M151"/>
    </row>
    <row r="152" spans="2:18" s="104" customFormat="1" ht="15.6">
      <c r="B152"/>
      <c r="C152"/>
      <c r="D152"/>
      <c r="K152"/>
      <c r="L152"/>
      <c r="M152"/>
    </row>
    <row r="153" spans="2:18" s="104" customFormat="1" ht="15.6">
      <c r="B153"/>
      <c r="C153"/>
      <c r="D153"/>
      <c r="K153"/>
      <c r="L153"/>
      <c r="M153"/>
    </row>
    <row r="154" spans="2:18" s="104" customFormat="1" ht="15.6">
      <c r="B154"/>
      <c r="C154"/>
      <c r="D154"/>
      <c r="K154"/>
      <c r="L154"/>
      <c r="M154"/>
    </row>
    <row r="155" spans="2:18" s="104" customFormat="1" ht="15.6">
      <c r="B155"/>
      <c r="C155"/>
      <c r="D155"/>
      <c r="K155"/>
      <c r="L155"/>
      <c r="M155"/>
    </row>
    <row r="156" spans="2:18" s="104" customFormat="1" ht="15.6">
      <c r="B156"/>
      <c r="C156"/>
      <c r="D156"/>
      <c r="K156"/>
      <c r="L156"/>
      <c r="M156"/>
    </row>
    <row r="157" spans="2:18" s="104" customFormat="1" ht="15.6">
      <c r="B157"/>
      <c r="C157"/>
      <c r="D157"/>
      <c r="K157"/>
      <c r="L157"/>
      <c r="M157"/>
    </row>
    <row r="158" spans="2:18" s="104" customFormat="1" ht="15.6">
      <c r="B158"/>
      <c r="C158"/>
      <c r="D158"/>
      <c r="K158"/>
      <c r="L158"/>
      <c r="M158"/>
    </row>
    <row r="159" spans="2:18" s="104" customFormat="1" ht="15.6">
      <c r="B159"/>
      <c r="C159"/>
      <c r="D159"/>
    </row>
    <row r="160" spans="2:18" s="104" customFormat="1">
      <c r="B160" s="111"/>
      <c r="C160" s="111"/>
      <c r="D160" s="111"/>
    </row>
    <row r="161" spans="1:25" s="104" customFormat="1" ht="15.6">
      <c r="A161" s="470"/>
      <c r="B161" s="801" t="s">
        <v>18</v>
      </c>
      <c r="C161" s="802" t="s">
        <v>3199</v>
      </c>
      <c r="D161" s="116"/>
      <c r="E161" s="470"/>
    </row>
    <row r="162" spans="1:25" s="104" customFormat="1" ht="15.6">
      <c r="A162" s="470"/>
      <c r="B162" s="801" t="s">
        <v>32</v>
      </c>
      <c r="C162" s="802" t="s">
        <v>32</v>
      </c>
      <c r="D162" s="111"/>
      <c r="E162" s="470"/>
      <c r="T162"/>
    </row>
    <row r="163" spans="1:25" s="104" customFormat="1" ht="15.6">
      <c r="A163" s="470"/>
      <c r="B163" s="817" t="s">
        <v>19</v>
      </c>
      <c r="C163" s="833" t="s">
        <v>2648</v>
      </c>
      <c r="D163" s="111"/>
      <c r="E163" s="470"/>
    </row>
    <row r="164" spans="1:25" s="104" customFormat="1" ht="15.6">
      <c r="A164" s="470"/>
      <c r="B164" s="801" t="s">
        <v>124</v>
      </c>
      <c r="C164" s="802" t="s">
        <v>794</v>
      </c>
      <c r="D164" s="111"/>
      <c r="E164" s="470"/>
    </row>
    <row r="165" spans="1:25" s="104" customFormat="1" ht="15.6">
      <c r="A165" s="470"/>
      <c r="B165" s="434" t="s">
        <v>294</v>
      </c>
      <c r="C165" s="111"/>
      <c r="D165" s="111"/>
      <c r="E165" s="470"/>
    </row>
    <row r="166" spans="1:25" s="104" customFormat="1" ht="15.6">
      <c r="A166" s="470"/>
      <c r="B166" s="814" t="s">
        <v>19</v>
      </c>
      <c r="C166" s="802" t="s">
        <v>2781</v>
      </c>
      <c r="D166" s="802" t="s">
        <v>2778</v>
      </c>
      <c r="E166" s="470"/>
    </row>
    <row r="167" spans="1:25" s="104" customFormat="1" ht="15.6">
      <c r="A167" s="470"/>
      <c r="B167" s="805" t="s">
        <v>302</v>
      </c>
      <c r="C167" s="807">
        <v>0</v>
      </c>
      <c r="D167" s="807">
        <v>1</v>
      </c>
      <c r="E167" s="470"/>
    </row>
    <row r="168" spans="1:25" s="104" customFormat="1" ht="15.6">
      <c r="A168" s="470"/>
      <c r="B168" s="805" t="s">
        <v>312</v>
      </c>
      <c r="C168" s="807">
        <v>0</v>
      </c>
      <c r="D168" s="807">
        <v>1</v>
      </c>
      <c r="E168" s="470"/>
      <c r="T168"/>
    </row>
    <row r="169" spans="1:25" s="104" customFormat="1" ht="15.6">
      <c r="A169" s="470"/>
      <c r="B169" s="805" t="s">
        <v>399</v>
      </c>
      <c r="C169" s="807">
        <v>1</v>
      </c>
      <c r="D169" s="807">
        <v>0</v>
      </c>
      <c r="E169" s="470"/>
      <c r="K169"/>
      <c r="L169"/>
      <c r="M169"/>
      <c r="T169"/>
    </row>
    <row r="170" spans="1:25" s="104" customFormat="1" ht="15.6">
      <c r="A170" s="470"/>
      <c r="B170" s="805" t="s">
        <v>402</v>
      </c>
      <c r="C170" s="807">
        <v>0.27932379713914174</v>
      </c>
      <c r="D170" s="807">
        <v>0.72067620286085821</v>
      </c>
      <c r="E170" s="470"/>
      <c r="K170"/>
      <c r="L170"/>
      <c r="M170"/>
      <c r="T170"/>
    </row>
    <row r="171" spans="1:25" s="104" customFormat="1" ht="15.6">
      <c r="A171" s="470"/>
      <c r="B171" s="805" t="s">
        <v>295</v>
      </c>
      <c r="C171" s="807">
        <v>0.28558781869688388</v>
      </c>
      <c r="D171" s="807">
        <v>0.71441218130311612</v>
      </c>
      <c r="E171" s="470"/>
      <c r="K171"/>
      <c r="L171"/>
      <c r="M171"/>
      <c r="T171"/>
    </row>
    <row r="172" spans="1:25" s="104" customFormat="1" ht="15.6">
      <c r="A172" s="470"/>
      <c r="B172"/>
      <c r="C172"/>
      <c r="D172"/>
      <c r="E172" s="470"/>
      <c r="K172"/>
      <c r="L172"/>
      <c r="M172"/>
      <c r="T172"/>
    </row>
    <row r="173" spans="1:25" s="104" customFormat="1" ht="15.6">
      <c r="A173" s="470"/>
      <c r="B173"/>
      <c r="C173"/>
      <c r="D173"/>
      <c r="E173" s="470"/>
      <c r="K173"/>
      <c r="L173"/>
      <c r="M173"/>
      <c r="T173"/>
      <c r="W173"/>
      <c r="X173"/>
      <c r="Y173"/>
    </row>
    <row r="174" spans="1:25" s="104" customFormat="1" ht="15.6">
      <c r="B174"/>
      <c r="C174"/>
      <c r="D174"/>
      <c r="K174"/>
      <c r="L174"/>
      <c r="M174"/>
      <c r="T174"/>
      <c r="U174"/>
      <c r="V174"/>
      <c r="W174"/>
      <c r="X174"/>
      <c r="Y174"/>
    </row>
    <row r="175" spans="1:25" s="104" customFormat="1" ht="15.6">
      <c r="B175"/>
      <c r="C175"/>
      <c r="D175"/>
      <c r="K175"/>
      <c r="L175"/>
      <c r="M175"/>
      <c r="U175"/>
      <c r="V175"/>
      <c r="W175"/>
      <c r="X175"/>
      <c r="Y175"/>
    </row>
    <row r="176" spans="1:25" s="104" customFormat="1" ht="15.6">
      <c r="B176"/>
      <c r="C176"/>
      <c r="D176"/>
      <c r="K176"/>
      <c r="L176"/>
      <c r="M176"/>
      <c r="U176"/>
      <c r="V176"/>
      <c r="W176"/>
      <c r="X176"/>
      <c r="Y176"/>
    </row>
    <row r="177" spans="1:26" s="104" customFormat="1" ht="15.6">
      <c r="B177" s="111"/>
      <c r="C177" s="111"/>
      <c r="D177" s="111"/>
      <c r="K177"/>
      <c r="L177"/>
      <c r="M177"/>
      <c r="U177"/>
      <c r="V177"/>
      <c r="W177"/>
    </row>
    <row r="178" spans="1:26" s="104" customFormat="1" ht="15.6">
      <c r="B178" s="111"/>
      <c r="C178" s="111"/>
      <c r="D178" s="111"/>
      <c r="K178"/>
      <c r="L178"/>
      <c r="M178"/>
      <c r="U178"/>
      <c r="V178"/>
      <c r="W178"/>
    </row>
    <row r="179" spans="1:26" s="104" customFormat="1" ht="15.6">
      <c r="B179" s="111"/>
      <c r="C179" s="111"/>
      <c r="D179" s="111"/>
      <c r="K179" s="460"/>
      <c r="L179" s="461"/>
      <c r="M179" s="461"/>
      <c r="U179" s="393"/>
      <c r="V179" s="393"/>
      <c r="W179" s="393"/>
    </row>
    <row r="180" spans="1:26" s="104" customFormat="1" ht="15.6">
      <c r="B180" s="111"/>
      <c r="C180" s="111"/>
      <c r="D180" s="111"/>
      <c r="K180" s="460"/>
      <c r="L180" s="461"/>
      <c r="M180" s="461"/>
      <c r="U180" s="393"/>
      <c r="V180" s="393"/>
      <c r="W180" s="393"/>
    </row>
    <row r="181" spans="1:26" s="104" customFormat="1" ht="15.6">
      <c r="B181" s="111"/>
      <c r="C181" s="111"/>
      <c r="D181" s="111"/>
      <c r="K181" s="460"/>
      <c r="L181" s="461"/>
      <c r="M181" s="461"/>
      <c r="U181" s="393"/>
      <c r="V181" s="393"/>
      <c r="W181" s="393"/>
    </row>
    <row r="182" spans="1:26" s="104" customFormat="1" ht="15.6">
      <c r="B182" s="111"/>
      <c r="C182" s="111"/>
      <c r="D182" s="111"/>
      <c r="K182" s="460"/>
      <c r="L182" s="461"/>
      <c r="M182" s="461"/>
      <c r="U182" s="393"/>
      <c r="V182" s="393"/>
      <c r="W182" s="393"/>
    </row>
    <row r="183" spans="1:26" s="104" customFormat="1" ht="18">
      <c r="A183" s="139" t="s">
        <v>1648</v>
      </c>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row>
    <row r="184" spans="1:26" s="104" customFormat="1">
      <c r="B184" s="111"/>
      <c r="C184" s="111"/>
      <c r="D184" s="111"/>
    </row>
    <row r="185" spans="1:26" s="104" customFormat="1">
      <c r="B185" s="111"/>
      <c r="C185" s="111"/>
      <c r="D185" s="111"/>
    </row>
    <row r="186" spans="1:26" s="104" customFormat="1">
      <c r="H186" s="801" t="s">
        <v>18</v>
      </c>
      <c r="I186" s="802" t="s">
        <v>3199</v>
      </c>
    </row>
    <row r="187" spans="1:26" s="104" customFormat="1">
      <c r="H187" s="833" t="s">
        <v>19</v>
      </c>
      <c r="I187" s="802" t="s">
        <v>2648</v>
      </c>
    </row>
    <row r="188" spans="1:26" s="104" customFormat="1"/>
    <row r="189" spans="1:26" s="104" customFormat="1" ht="15.6">
      <c r="H189" s="801" t="s">
        <v>2904</v>
      </c>
      <c r="I189" s="801" t="s">
        <v>1887</v>
      </c>
      <c r="J189"/>
    </row>
    <row r="190" spans="1:26" s="104" customFormat="1" ht="15.6">
      <c r="H190" s="801" t="s">
        <v>1637</v>
      </c>
      <c r="I190" s="802" t="s">
        <v>32</v>
      </c>
      <c r="J190"/>
    </row>
    <row r="191" spans="1:26" s="104" customFormat="1" ht="15.6">
      <c r="H191" s="805" t="s">
        <v>794</v>
      </c>
      <c r="I191" s="810">
        <v>126</v>
      </c>
      <c r="J191"/>
    </row>
    <row r="192" spans="1:26" s="104" customFormat="1" ht="15.6">
      <c r="H192"/>
      <c r="I192"/>
      <c r="J192"/>
    </row>
    <row r="193" spans="1:26" s="104" customFormat="1" ht="15.6">
      <c r="H193"/>
      <c r="I193"/>
      <c r="J193"/>
    </row>
    <row r="194" spans="1:26" s="104" customFormat="1" ht="15.6">
      <c r="C194"/>
      <c r="D194"/>
      <c r="E194"/>
      <c r="H194"/>
      <c r="I194"/>
      <c r="J194"/>
    </row>
    <row r="195" spans="1:26" s="104" customFormat="1" ht="15.6">
      <c r="H195"/>
      <c r="I195"/>
      <c r="J195"/>
    </row>
    <row r="196" spans="1:26" s="104" customFormat="1"/>
    <row r="197" spans="1:26" s="104" customFormat="1"/>
    <row r="198" spans="1:26" s="104" customFormat="1"/>
    <row r="199" spans="1:26" s="104" customFormat="1"/>
    <row r="200" spans="1:26" s="104" customFormat="1"/>
    <row r="201" spans="1:26" s="104" customFormat="1"/>
    <row r="202" spans="1:26" s="104" customFormat="1"/>
    <row r="203" spans="1:26" s="104" customFormat="1"/>
    <row r="204" spans="1:26" s="104" customFormat="1"/>
    <row r="205" spans="1:26" s="104" customFormat="1"/>
    <row r="206" spans="1:26" s="104" customFormat="1"/>
    <row r="207" spans="1:26" s="104" customFormat="1" ht="18">
      <c r="A207" s="140" t="s">
        <v>1985</v>
      </c>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row>
    <row r="208" spans="1:26" s="104" customFormat="1"/>
    <row r="209" spans="3:12" s="104" customFormat="1"/>
    <row r="210" spans="3:12" s="104" customFormat="1" ht="15.6">
      <c r="C210"/>
      <c r="D210"/>
    </row>
    <row r="211" spans="3:12" s="104" customFormat="1">
      <c r="C211" s="801" t="s">
        <v>18</v>
      </c>
      <c r="D211" s="802" t="s">
        <v>3199</v>
      </c>
    </row>
    <row r="212" spans="3:12" s="104" customFormat="1"/>
    <row r="213" spans="3:12" s="104" customFormat="1" ht="15.6">
      <c r="C213" s="801" t="s">
        <v>19</v>
      </c>
      <c r="D213" s="801" t="s">
        <v>20</v>
      </c>
      <c r="E213" s="801" t="s">
        <v>27</v>
      </c>
      <c r="F213" s="802" t="s">
        <v>1916</v>
      </c>
      <c r="G213" s="802" t="s">
        <v>1917</v>
      </c>
      <c r="H213" s="802" t="s">
        <v>1918</v>
      </c>
      <c r="I213" s="802" t="s">
        <v>1919</v>
      </c>
      <c r="J213" s="802" t="s">
        <v>1920</v>
      </c>
      <c r="K213"/>
      <c r="L213"/>
    </row>
    <row r="214" spans="3:12" s="104" customFormat="1" ht="15.6">
      <c r="C214" s="802" t="s">
        <v>36</v>
      </c>
      <c r="D214" s="802" t="s">
        <v>149</v>
      </c>
      <c r="E214" s="802" t="s">
        <v>794</v>
      </c>
      <c r="F214" s="806">
        <v>97</v>
      </c>
      <c r="G214" s="806">
        <v>482</v>
      </c>
      <c r="H214" s="807">
        <v>0</v>
      </c>
      <c r="I214" s="807">
        <v>0.37759336099585061</v>
      </c>
      <c r="J214" s="807">
        <v>0.94398340248962653</v>
      </c>
      <c r="K214"/>
      <c r="L214"/>
    </row>
    <row r="215" spans="3:12" s="104" customFormat="1" ht="15.6">
      <c r="C215" s="802"/>
      <c r="D215" s="802" t="s">
        <v>174</v>
      </c>
      <c r="E215" s="802" t="s">
        <v>794</v>
      </c>
      <c r="F215" s="806">
        <v>380</v>
      </c>
      <c r="G215" s="806">
        <v>2306</v>
      </c>
      <c r="H215" s="807">
        <v>1</v>
      </c>
      <c r="I215" s="807">
        <v>1</v>
      </c>
      <c r="J215" s="807">
        <v>1</v>
      </c>
      <c r="K215"/>
      <c r="L215"/>
    </row>
    <row r="216" spans="3:12" s="104" customFormat="1" ht="15.6">
      <c r="C216" s="802"/>
      <c r="D216" s="802" t="s">
        <v>132</v>
      </c>
      <c r="E216" s="802" t="s">
        <v>794</v>
      </c>
      <c r="F216" s="806">
        <v>1146</v>
      </c>
      <c r="G216" s="806">
        <v>5042</v>
      </c>
      <c r="H216" s="807">
        <v>0.5</v>
      </c>
      <c r="I216" s="807">
        <v>0.65422620944185372</v>
      </c>
      <c r="J216" s="807">
        <v>0.92925179658118984</v>
      </c>
      <c r="K216"/>
      <c r="L216"/>
    </row>
    <row r="217" spans="3:12" s="104" customFormat="1" ht="15.6">
      <c r="C217" s="802"/>
      <c r="D217" s="802" t="s">
        <v>771</v>
      </c>
      <c r="E217" s="802" t="s">
        <v>794</v>
      </c>
      <c r="F217" s="806">
        <v>624</v>
      </c>
      <c r="G217" s="806">
        <v>3741</v>
      </c>
      <c r="H217" s="807">
        <v>1</v>
      </c>
      <c r="I217" s="807">
        <v>1</v>
      </c>
      <c r="J217" s="807">
        <v>1</v>
      </c>
      <c r="K217"/>
      <c r="L217"/>
    </row>
    <row r="218" spans="3:12" s="104" customFormat="1" ht="15.6">
      <c r="C218" s="802" t="s">
        <v>3198</v>
      </c>
      <c r="D218" s="802"/>
      <c r="E218" s="802"/>
      <c r="F218" s="806">
        <v>2247</v>
      </c>
      <c r="G218" s="806">
        <v>11571</v>
      </c>
      <c r="H218" s="807">
        <v>0.77551020408163263</v>
      </c>
      <c r="I218" s="807">
        <v>0.84616566428230455</v>
      </c>
      <c r="J218" s="807">
        <v>0.969979986410478</v>
      </c>
      <c r="K218"/>
      <c r="L218"/>
    </row>
    <row r="219" spans="3:12" s="104" customFormat="1" ht="15.6">
      <c r="C219" s="802" t="s">
        <v>698</v>
      </c>
      <c r="D219" s="802" t="s">
        <v>717</v>
      </c>
      <c r="E219" s="802" t="s">
        <v>794</v>
      </c>
      <c r="F219" s="806">
        <v>68</v>
      </c>
      <c r="G219" s="806">
        <v>413</v>
      </c>
      <c r="H219" s="807">
        <v>0.66666666666666663</v>
      </c>
      <c r="I219" s="807">
        <v>0.29664769133459834</v>
      </c>
      <c r="J219" s="807">
        <v>0.45062475385772083</v>
      </c>
      <c r="K219"/>
      <c r="L219"/>
    </row>
    <row r="220" spans="3:12" s="104" customFormat="1" ht="15.6">
      <c r="C220" s="802"/>
      <c r="D220" s="802" t="s">
        <v>1253</v>
      </c>
      <c r="E220" s="802" t="s">
        <v>794</v>
      </c>
      <c r="F220" s="806">
        <v>262</v>
      </c>
      <c r="G220" s="806">
        <v>1342</v>
      </c>
      <c r="H220" s="807">
        <v>0.83333333333333337</v>
      </c>
      <c r="I220" s="807">
        <v>5.1282051282051287E-2</v>
      </c>
      <c r="J220" s="807">
        <v>0.35403117563461645</v>
      </c>
      <c r="K220"/>
      <c r="L220"/>
    </row>
    <row r="221" spans="3:12" s="104" customFormat="1" ht="15.6">
      <c r="C221" s="802"/>
      <c r="D221" s="802" t="s">
        <v>1255</v>
      </c>
      <c r="E221" s="802" t="s">
        <v>794</v>
      </c>
      <c r="F221" s="806">
        <v>777</v>
      </c>
      <c r="G221" s="806">
        <v>4171</v>
      </c>
      <c r="H221" s="807">
        <v>0.75</v>
      </c>
      <c r="I221" s="807">
        <v>0.86723823486861851</v>
      </c>
      <c r="J221" s="807">
        <v>1</v>
      </c>
      <c r="K221"/>
      <c r="L221"/>
    </row>
    <row r="222" spans="3:12" s="104" customFormat="1" ht="15.6">
      <c r="C222" s="802" t="s">
        <v>3124</v>
      </c>
      <c r="D222" s="802"/>
      <c r="E222" s="802"/>
      <c r="F222" s="806">
        <v>1107</v>
      </c>
      <c r="G222" s="806">
        <v>5926</v>
      </c>
      <c r="H222" s="807">
        <v>0.76923076923076927</v>
      </c>
      <c r="I222" s="807">
        <v>0.35896833239773662</v>
      </c>
      <c r="J222" s="807">
        <v>0.57508163964468162</v>
      </c>
      <c r="K222"/>
      <c r="L222"/>
    </row>
    <row r="223" spans="3:12" s="104" customFormat="1" ht="15.6">
      <c r="C223" s="802" t="s">
        <v>2648</v>
      </c>
      <c r="D223" s="802" t="s">
        <v>302</v>
      </c>
      <c r="E223" s="802" t="s">
        <v>794</v>
      </c>
      <c r="F223" s="806">
        <v>2246</v>
      </c>
      <c r="G223" s="806">
        <v>10093</v>
      </c>
      <c r="H223" s="807">
        <v>0.2492659637136255</v>
      </c>
      <c r="I223" s="807">
        <v>0.60586821735010921</v>
      </c>
      <c r="J223" s="807">
        <v>1</v>
      </c>
      <c r="K223"/>
      <c r="L223"/>
    </row>
    <row r="224" spans="3:12" s="104" customFormat="1" ht="15.6">
      <c r="C224" s="802"/>
      <c r="D224" s="802" t="s">
        <v>312</v>
      </c>
      <c r="E224" s="802" t="s">
        <v>794</v>
      </c>
      <c r="F224" s="806">
        <v>4598</v>
      </c>
      <c r="G224" s="806">
        <v>22441</v>
      </c>
      <c r="H224" s="807">
        <v>0</v>
      </c>
      <c r="I224" s="807">
        <v>0.30927975142972974</v>
      </c>
      <c r="J224" s="807">
        <v>1</v>
      </c>
      <c r="K224"/>
      <c r="L224"/>
    </row>
    <row r="225" spans="3:12" s="104" customFormat="1" ht="15.6">
      <c r="C225" s="802"/>
      <c r="D225" s="802"/>
      <c r="E225" s="802" t="s">
        <v>879</v>
      </c>
      <c r="F225" s="806">
        <v>533</v>
      </c>
      <c r="G225" s="806">
        <v>2522</v>
      </c>
      <c r="H225" s="807">
        <v>0</v>
      </c>
      <c r="I225" s="807">
        <v>0.47013439522150324</v>
      </c>
      <c r="J225" s="807">
        <v>1</v>
      </c>
      <c r="K225"/>
      <c r="L225"/>
    </row>
    <row r="226" spans="3:12" s="104" customFormat="1" ht="15.6">
      <c r="C226" s="802"/>
      <c r="D226" s="802" t="s">
        <v>399</v>
      </c>
      <c r="E226" s="802" t="s">
        <v>817</v>
      </c>
      <c r="F226" s="806">
        <v>40</v>
      </c>
      <c r="G226" s="806">
        <v>217</v>
      </c>
      <c r="H226" s="807">
        <v>0</v>
      </c>
      <c r="I226" s="807">
        <v>0</v>
      </c>
      <c r="J226" s="807">
        <v>0</v>
      </c>
      <c r="K226"/>
      <c r="L226"/>
    </row>
    <row r="227" spans="3:12" s="104" customFormat="1">
      <c r="C227" s="802"/>
      <c r="D227" s="802" t="s">
        <v>402</v>
      </c>
      <c r="E227" s="802" t="s">
        <v>794</v>
      </c>
      <c r="F227" s="806">
        <v>3533</v>
      </c>
      <c r="G227" s="806">
        <v>15380</v>
      </c>
      <c r="H227" s="807">
        <v>0</v>
      </c>
      <c r="I227" s="807">
        <v>0.89601209861171049</v>
      </c>
      <c r="J227" s="807">
        <v>0.87122385994560114</v>
      </c>
      <c r="K227" s="464"/>
      <c r="L227" s="464"/>
    </row>
    <row r="228" spans="3:12" s="104" customFormat="1">
      <c r="C228" s="802"/>
      <c r="D228" s="802" t="s">
        <v>295</v>
      </c>
      <c r="E228" s="802" t="s">
        <v>794</v>
      </c>
      <c r="F228" s="806">
        <v>16246</v>
      </c>
      <c r="G228" s="806">
        <v>85760</v>
      </c>
      <c r="H228" s="807">
        <v>0.36842105263157893</v>
      </c>
      <c r="I228" s="807">
        <v>0.62936022167149941</v>
      </c>
      <c r="J228" s="807">
        <v>0.65197129943227083</v>
      </c>
      <c r="K228" s="464"/>
      <c r="L228" s="464"/>
    </row>
    <row r="229" spans="3:12" s="104" customFormat="1">
      <c r="C229" s="802"/>
      <c r="D229" s="802"/>
      <c r="E229" s="802" t="s">
        <v>817</v>
      </c>
      <c r="F229" s="806">
        <v>892</v>
      </c>
      <c r="G229" s="806">
        <v>4608</v>
      </c>
      <c r="H229" s="807">
        <v>1</v>
      </c>
      <c r="I229" s="807">
        <v>1</v>
      </c>
      <c r="J229" s="807">
        <v>0.60848168261832924</v>
      </c>
      <c r="K229" s="464"/>
      <c r="L229" s="464"/>
    </row>
    <row r="230" spans="3:12" s="104" customFormat="1">
      <c r="C230" s="802" t="s">
        <v>2649</v>
      </c>
      <c r="D230" s="802"/>
      <c r="E230" s="802"/>
      <c r="F230" s="806">
        <v>28088</v>
      </c>
      <c r="G230" s="806">
        <v>141021</v>
      </c>
      <c r="H230" s="807">
        <v>0.23006551920173024</v>
      </c>
      <c r="I230" s="807">
        <v>0.57895884388599628</v>
      </c>
      <c r="J230" s="807">
        <v>0.80788432410596178</v>
      </c>
      <c r="K230" s="464"/>
      <c r="L230" s="464"/>
    </row>
    <row r="231" spans="3:12" s="104" customFormat="1">
      <c r="C231" s="802" t="s">
        <v>3274</v>
      </c>
      <c r="D231" s="802" t="s">
        <v>3275</v>
      </c>
      <c r="E231" s="802" t="s">
        <v>794</v>
      </c>
      <c r="F231" s="806">
        <v>1398</v>
      </c>
      <c r="G231" s="806">
        <v>7593</v>
      </c>
      <c r="H231" s="807">
        <v>0.05</v>
      </c>
      <c r="I231" s="807">
        <v>0.38325296161126043</v>
      </c>
      <c r="J231" s="807">
        <v>1</v>
      </c>
      <c r="K231" s="464"/>
      <c r="L231" s="464"/>
    </row>
    <row r="232" spans="3:12" s="104" customFormat="1">
      <c r="C232" s="802" t="s">
        <v>3292</v>
      </c>
      <c r="D232" s="802"/>
      <c r="E232" s="802"/>
      <c r="F232" s="806">
        <v>1398</v>
      </c>
      <c r="G232" s="806">
        <v>7593</v>
      </c>
      <c r="H232" s="807">
        <v>0.05</v>
      </c>
      <c r="I232" s="807">
        <v>0.38325296161126043</v>
      </c>
      <c r="J232" s="807">
        <v>1</v>
      </c>
      <c r="K232" s="464"/>
      <c r="L232" s="464"/>
    </row>
    <row r="233" spans="3:12" s="104" customFormat="1" ht="15.6">
      <c r="C233"/>
      <c r="D233"/>
      <c r="E233"/>
      <c r="F233"/>
      <c r="G233"/>
      <c r="H233"/>
      <c r="I233"/>
      <c r="J233"/>
      <c r="K233" s="464"/>
      <c r="L233" s="464"/>
    </row>
    <row r="234" spans="3:12" s="104" customFormat="1" ht="15.6">
      <c r="C234"/>
      <c r="D234"/>
      <c r="E234"/>
      <c r="F234"/>
      <c r="G234"/>
      <c r="H234"/>
      <c r="I234"/>
      <c r="J234"/>
      <c r="K234" s="464"/>
      <c r="L234" s="464"/>
    </row>
    <row r="235" spans="3:12" s="104" customFormat="1">
      <c r="C235" s="740"/>
      <c r="D235" s="740"/>
      <c r="E235" s="740"/>
      <c r="F235" s="741"/>
      <c r="G235" s="741"/>
      <c r="H235" s="742"/>
      <c r="I235" s="742"/>
      <c r="J235" s="742"/>
      <c r="K235" s="464"/>
      <c r="L235" s="464"/>
    </row>
    <row r="236" spans="3:12" s="104" customFormat="1">
      <c r="C236" s="740"/>
      <c r="D236" s="740"/>
      <c r="E236" s="740"/>
      <c r="F236" s="741"/>
      <c r="G236" s="741"/>
      <c r="H236" s="742"/>
      <c r="I236" s="742"/>
      <c r="J236" s="742"/>
      <c r="K236" s="464"/>
      <c r="L236" s="464"/>
    </row>
    <row r="237" spans="3:12" s="104" customFormat="1">
      <c r="C237" s="740"/>
      <c r="D237" s="740"/>
      <c r="E237" s="740"/>
      <c r="F237" s="741"/>
      <c r="G237" s="741"/>
      <c r="H237" s="742"/>
      <c r="I237" s="742"/>
      <c r="J237" s="742"/>
      <c r="K237" s="464"/>
      <c r="L237" s="464"/>
    </row>
    <row r="238" spans="3:12" s="104" customFormat="1">
      <c r="C238" s="740"/>
      <c r="D238" s="740"/>
      <c r="E238" s="740"/>
      <c r="F238" s="741"/>
      <c r="G238" s="741"/>
      <c r="H238" s="742"/>
      <c r="I238" s="742"/>
      <c r="J238" s="742"/>
      <c r="K238" s="464"/>
      <c r="L238" s="464"/>
    </row>
    <row r="239" spans="3:12" s="104" customFormat="1">
      <c r="C239" s="740"/>
      <c r="D239" s="740"/>
      <c r="E239" s="740"/>
      <c r="F239" s="741"/>
      <c r="G239" s="741"/>
      <c r="H239" s="742"/>
      <c r="I239" s="742"/>
      <c r="J239" s="742"/>
      <c r="K239" s="464"/>
      <c r="L239" s="464"/>
    </row>
    <row r="240" spans="3:12" s="104" customFormat="1">
      <c r="C240" s="740"/>
      <c r="D240" s="740"/>
      <c r="E240" s="740"/>
      <c r="F240" s="741"/>
      <c r="G240" s="741"/>
      <c r="H240" s="742"/>
      <c r="I240" s="742"/>
      <c r="J240" s="742"/>
      <c r="K240" s="464"/>
      <c r="L240" s="464"/>
    </row>
    <row r="241" spans="1:25" s="104" customFormat="1">
      <c r="C241" s="740"/>
      <c r="D241" s="740"/>
      <c r="E241" s="740"/>
      <c r="F241" s="741"/>
      <c r="G241" s="741"/>
      <c r="H241" s="742"/>
      <c r="I241" s="742"/>
      <c r="J241" s="742"/>
      <c r="K241" s="464"/>
      <c r="L241" s="464"/>
    </row>
    <row r="242" spans="1:25" s="104" customFormat="1">
      <c r="C242" s="740"/>
      <c r="D242" s="740"/>
      <c r="E242" s="740"/>
      <c r="F242" s="741"/>
      <c r="G242" s="741"/>
      <c r="H242" s="742"/>
      <c r="I242" s="742"/>
      <c r="J242" s="742"/>
      <c r="K242" s="464"/>
      <c r="L242" s="464"/>
    </row>
    <row r="243" spans="1:25" s="104" customFormat="1">
      <c r="C243" s="740"/>
      <c r="D243" s="740"/>
      <c r="E243" s="740"/>
      <c r="F243" s="741"/>
      <c r="G243" s="741"/>
      <c r="H243" s="742"/>
      <c r="I243" s="742"/>
      <c r="J243" s="742"/>
      <c r="K243" s="464"/>
      <c r="L243" s="464"/>
    </row>
    <row r="244" spans="1:25" s="104" customFormat="1">
      <c r="C244" s="740"/>
      <c r="D244" s="740"/>
      <c r="E244" s="740"/>
      <c r="F244" s="741"/>
      <c r="G244" s="741"/>
      <c r="H244" s="742"/>
      <c r="I244" s="742"/>
      <c r="J244" s="742"/>
      <c r="K244" s="464"/>
      <c r="L244" s="464"/>
    </row>
    <row r="245" spans="1:25" s="104" customFormat="1">
      <c r="C245" s="740"/>
      <c r="D245" s="740"/>
      <c r="E245" s="740"/>
      <c r="F245" s="741"/>
      <c r="G245" s="741"/>
      <c r="H245" s="742"/>
      <c r="I245" s="742"/>
      <c r="J245" s="742"/>
      <c r="K245" s="464"/>
      <c r="L245" s="464"/>
    </row>
    <row r="246" spans="1:25" s="104" customFormat="1" ht="18">
      <c r="A246" s="141" t="s">
        <v>1921</v>
      </c>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row>
    <row r="247" spans="1:25" s="104" customFormat="1">
      <c r="C247" s="111"/>
      <c r="D247" s="111"/>
      <c r="E247" s="111"/>
      <c r="F247" s="111"/>
      <c r="G247" s="111"/>
      <c r="H247" s="111"/>
      <c r="I247" s="111"/>
      <c r="J247" s="111"/>
      <c r="K247" s="111"/>
    </row>
    <row r="248" spans="1:25" s="104" customFormat="1">
      <c r="C248" s="111"/>
      <c r="D248" s="111"/>
      <c r="E248" s="111"/>
      <c r="F248" s="111"/>
      <c r="G248" s="111"/>
      <c r="H248" s="111"/>
      <c r="I248" s="111"/>
      <c r="J248" s="111"/>
      <c r="K248" s="111"/>
    </row>
    <row r="249" spans="1:25" s="104" customFormat="1">
      <c r="C249" s="111"/>
      <c r="D249" s="111"/>
      <c r="E249" s="111"/>
      <c r="F249" s="111"/>
      <c r="G249" s="111"/>
      <c r="H249" s="111"/>
      <c r="I249" s="111"/>
      <c r="J249" s="111"/>
      <c r="K249" s="111"/>
    </row>
    <row r="250" spans="1:25" s="104" customFormat="1">
      <c r="C250" s="801" t="s">
        <v>18</v>
      </c>
      <c r="D250" s="802" t="s">
        <v>3199</v>
      </c>
      <c r="F250" s="111"/>
      <c r="G250" s="111"/>
      <c r="H250" s="111"/>
      <c r="I250" s="111"/>
      <c r="J250" s="111"/>
      <c r="K250" s="111"/>
    </row>
    <row r="251" spans="1:25" s="104" customFormat="1">
      <c r="C251" s="801" t="s">
        <v>32</v>
      </c>
      <c r="D251" s="802" t="s">
        <v>32</v>
      </c>
      <c r="F251" s="111"/>
      <c r="G251" s="111"/>
      <c r="H251" s="111"/>
      <c r="I251" s="111"/>
      <c r="J251" s="111"/>
      <c r="K251" s="111"/>
    </row>
    <row r="252" spans="1:25" s="104" customFormat="1">
      <c r="C252" s="462"/>
      <c r="F252" s="111"/>
      <c r="G252" s="111"/>
      <c r="H252" s="111"/>
      <c r="I252" s="111"/>
      <c r="J252" s="111"/>
      <c r="K252" s="111"/>
    </row>
    <row r="253" spans="1:25" s="109" customFormat="1" ht="15.6">
      <c r="C253" s="802" t="s">
        <v>2923</v>
      </c>
      <c r="D253" s="802" t="s">
        <v>2919</v>
      </c>
      <c r="E253" s="802" t="s">
        <v>2924</v>
      </c>
      <c r="F253"/>
      <c r="G253"/>
      <c r="H253"/>
      <c r="I253"/>
      <c r="J253" s="439"/>
      <c r="K253" s="439"/>
    </row>
    <row r="254" spans="1:25" s="104" customFormat="1" ht="15.6">
      <c r="C254" s="806">
        <v>10</v>
      </c>
      <c r="D254" s="806">
        <v>121</v>
      </c>
      <c r="E254" s="806">
        <v>20</v>
      </c>
      <c r="F254"/>
      <c r="G254"/>
      <c r="H254"/>
      <c r="I254"/>
      <c r="J254" s="111"/>
      <c r="K254" s="111"/>
    </row>
    <row r="255" spans="1:25" s="104" customFormat="1" ht="15.6">
      <c r="C255"/>
      <c r="D255"/>
      <c r="E255"/>
      <c r="F255"/>
      <c r="G255"/>
      <c r="H255"/>
      <c r="I255"/>
      <c r="J255" s="111"/>
      <c r="K255" s="111"/>
    </row>
    <row r="256" spans="1:25" s="104" customFormat="1" ht="15.6">
      <c r="C256"/>
      <c r="D256"/>
      <c r="E256"/>
      <c r="F256"/>
      <c r="G256"/>
      <c r="H256"/>
      <c r="I256"/>
      <c r="J256" s="111"/>
      <c r="K256" s="111"/>
    </row>
    <row r="257" spans="3:11" s="104" customFormat="1" ht="15.6">
      <c r="C257"/>
      <c r="D257"/>
      <c r="E257"/>
      <c r="F257"/>
      <c r="G257"/>
      <c r="H257"/>
      <c r="I257"/>
      <c r="J257" s="111"/>
      <c r="K257" s="111"/>
    </row>
    <row r="258" spans="3:11" s="104" customFormat="1" ht="15" thickBot="1">
      <c r="C258" s="463"/>
      <c r="D258" s="111"/>
      <c r="E258" s="111"/>
      <c r="F258" s="111"/>
      <c r="G258" s="111"/>
      <c r="H258" s="111"/>
      <c r="I258" s="111"/>
      <c r="J258" s="111"/>
      <c r="K258" s="111"/>
    </row>
    <row r="259" spans="3:11" s="440" customFormat="1" ht="41.25" customHeight="1" thickBot="1">
      <c r="C259" s="441" t="s">
        <v>19</v>
      </c>
      <c r="D259" s="437" t="s">
        <v>2284</v>
      </c>
      <c r="E259" s="437" t="s">
        <v>2922</v>
      </c>
      <c r="F259" s="437" t="s">
        <v>2666</v>
      </c>
      <c r="G259" s="438" t="s">
        <v>2925</v>
      </c>
      <c r="H259" s="438" t="s">
        <v>3212</v>
      </c>
      <c r="I259" s="442"/>
      <c r="J259" s="442"/>
      <c r="K259" s="442"/>
    </row>
    <row r="260" spans="3:11" s="104" customFormat="1">
      <c r="C260" s="121"/>
      <c r="D260" s="159"/>
      <c r="E260" s="159"/>
      <c r="F260" s="159"/>
      <c r="G260" s="159"/>
      <c r="H260" s="159"/>
      <c r="I260" s="111"/>
      <c r="J260" s="111"/>
      <c r="K260" s="111"/>
    </row>
    <row r="261" spans="3:11" s="104" customFormat="1">
      <c r="C261" s="122" t="s">
        <v>294</v>
      </c>
      <c r="D261" s="159" t="e">
        <f>GETPIVOTDATA(" # of hand washing stations with soap in TLS",$C$253,"State","Central Rakhine")</f>
        <v>#REF!</v>
      </c>
      <c r="E261" s="160">
        <f>GETPIVOTDATA("Sum of #_of_functional_handwashing_facilities_at_school",$C$253)</f>
        <v>10</v>
      </c>
      <c r="F261" s="160" t="e">
        <f>GETPIVOTDATA(" #_Hygiene Promotion activities (sessions) in TLS?",$C$253,"State","Central Rakhine")</f>
        <v>#REF!</v>
      </c>
      <c r="G261" s="161">
        <f>GETPIVOTDATA("Sum of #_of_Functioning_latrines_in_school",$C$253)</f>
        <v>121</v>
      </c>
      <c r="H261" s="161">
        <f>GETPIVOTDATA("Sum of #_Functioning_water_points_at_school",$C$253)</f>
        <v>20</v>
      </c>
      <c r="I261" s="111"/>
      <c r="J261" s="111"/>
      <c r="K261" s="111"/>
    </row>
    <row r="262" spans="3:11" s="104" customFormat="1">
      <c r="C262" s="121" t="s">
        <v>698</v>
      </c>
      <c r="D262" s="159" t="e">
        <f>GETPIVOTDATA(" # of hand washing stations with soap in TLS",$C$253,"State","Shan (North)")</f>
        <v>#REF!</v>
      </c>
      <c r="E262" s="159" t="e">
        <f>GETPIVOTDATA(" #_Constructed/Existing hand washing stations at TLS",$C$253,"State","Shan (North)")</f>
        <v>#REF!</v>
      </c>
      <c r="F262" s="159" t="e">
        <f>GETPIVOTDATA(" #_Hygiene Promotion activities (sessions) in TLS?",$C$253,"State","Shan (North)")</f>
        <v>#REF!</v>
      </c>
      <c r="G262" s="159" t="e">
        <f>GETPIVOTDATA(" #_Constructed/Existing latrines in TLS",$C$253,"State","Shan (North)")</f>
        <v>#REF!</v>
      </c>
      <c r="H262" s="159" t="e">
        <f>GETPIVOTDATA(" #_of water points in TLS and CFS ",$C$253,"State","Shan (North)")</f>
        <v>#REF!</v>
      </c>
      <c r="I262" s="111"/>
      <c r="J262" s="111"/>
      <c r="K262" s="111"/>
    </row>
    <row r="263" spans="3:11" s="104" customFormat="1">
      <c r="C263" s="111"/>
      <c r="D263" s="111"/>
      <c r="E263" s="111"/>
      <c r="F263" s="111"/>
      <c r="G263" s="111"/>
      <c r="H263" s="111"/>
      <c r="I263" s="111"/>
      <c r="J263" s="111"/>
      <c r="K263" s="111"/>
    </row>
    <row r="264" spans="3:11" s="104" customFormat="1">
      <c r="C264" s="111"/>
      <c r="D264" s="111"/>
      <c r="E264" s="111"/>
      <c r="F264" s="111"/>
      <c r="G264" s="111"/>
      <c r="H264" s="111"/>
      <c r="I264" s="111"/>
      <c r="J264" s="111"/>
      <c r="K264" s="111"/>
    </row>
    <row r="265" spans="3:11" s="104" customFormat="1">
      <c r="C265" s="111"/>
      <c r="D265" s="111"/>
      <c r="E265" s="111"/>
      <c r="F265" s="111"/>
      <c r="G265" s="111"/>
      <c r="H265" s="111"/>
      <c r="I265" s="111"/>
      <c r="J265" s="111"/>
      <c r="K265" s="111"/>
    </row>
    <row r="266" spans="3:11" s="104" customFormat="1">
      <c r="C266" s="111"/>
      <c r="D266" s="111"/>
      <c r="E266" s="111"/>
      <c r="F266" s="111"/>
      <c r="G266" s="111"/>
      <c r="H266" s="111"/>
      <c r="I266" s="111"/>
      <c r="J266" s="111"/>
      <c r="K266" s="111"/>
    </row>
    <row r="267" spans="3:11" s="104" customFormat="1">
      <c r="C267" s="111"/>
      <c r="D267" s="111"/>
      <c r="E267" s="111"/>
      <c r="F267" s="111"/>
      <c r="G267" s="111"/>
      <c r="H267" s="111"/>
      <c r="I267" s="111"/>
      <c r="J267" s="111"/>
      <c r="K267" s="111"/>
    </row>
    <row r="268" spans="3:11" s="104" customFormat="1">
      <c r="C268" s="111"/>
      <c r="D268" s="111"/>
      <c r="E268" s="111"/>
      <c r="F268" s="111"/>
      <c r="G268" s="111"/>
      <c r="H268" s="111"/>
      <c r="I268" s="111"/>
      <c r="J268" s="111"/>
      <c r="K268" s="111"/>
    </row>
    <row r="269" spans="3:11" s="104" customFormat="1">
      <c r="C269" s="111"/>
      <c r="D269" s="111"/>
      <c r="E269" s="111"/>
      <c r="F269" s="111"/>
      <c r="G269" s="111"/>
      <c r="H269" s="111"/>
      <c r="I269" s="111"/>
      <c r="J269" s="111"/>
      <c r="K269" s="111"/>
    </row>
    <row r="270" spans="3:11" s="104" customFormat="1">
      <c r="C270" s="111"/>
      <c r="D270" s="111"/>
      <c r="E270" s="111"/>
      <c r="F270" s="111"/>
      <c r="G270" s="111"/>
      <c r="H270" s="111"/>
      <c r="I270" s="111"/>
      <c r="J270" s="111"/>
      <c r="K270" s="111"/>
    </row>
    <row r="271" spans="3:11" s="104" customFormat="1">
      <c r="C271" s="111"/>
      <c r="D271" s="111"/>
      <c r="E271" s="111"/>
      <c r="F271" s="111"/>
      <c r="G271" s="111"/>
      <c r="H271" s="111"/>
      <c r="I271" s="111"/>
      <c r="J271" s="111"/>
      <c r="K271" s="111"/>
    </row>
    <row r="272" spans="3:11" s="104" customFormat="1">
      <c r="C272" s="111"/>
      <c r="D272" s="111"/>
      <c r="E272" s="111"/>
      <c r="F272" s="111"/>
      <c r="G272" s="111"/>
      <c r="H272" s="111"/>
      <c r="I272" s="111"/>
      <c r="J272" s="111"/>
      <c r="K272" s="111"/>
    </row>
    <row r="273" spans="3:17" s="104" customFormat="1">
      <c r="C273" s="111"/>
      <c r="D273" s="111"/>
      <c r="E273" s="111"/>
      <c r="F273" s="111"/>
      <c r="G273" s="111"/>
      <c r="H273" s="111"/>
      <c r="I273" s="111"/>
      <c r="J273" s="111"/>
      <c r="K273" s="111"/>
    </row>
    <row r="274" spans="3:17" s="104" customFormat="1">
      <c r="C274" s="111"/>
      <c r="D274" s="111"/>
      <c r="E274" s="111"/>
      <c r="F274" s="111"/>
      <c r="G274" s="111"/>
      <c r="H274" s="111"/>
      <c r="I274" s="111"/>
      <c r="J274" s="111"/>
      <c r="K274" s="111"/>
    </row>
    <row r="275" spans="3:17" s="104" customFormat="1">
      <c r="C275" s="111"/>
      <c r="D275" s="111"/>
      <c r="E275" s="111"/>
      <c r="F275" s="111"/>
      <c r="G275" s="111"/>
      <c r="H275" s="111"/>
      <c r="I275" s="111"/>
      <c r="J275" s="111"/>
      <c r="K275" s="111"/>
    </row>
    <row r="276" spans="3:17" s="104" customFormat="1">
      <c r="C276" s="111"/>
      <c r="D276" s="111"/>
      <c r="E276" s="111"/>
      <c r="F276" s="111"/>
      <c r="G276" s="111"/>
      <c r="H276" s="111"/>
      <c r="I276" s="111"/>
      <c r="J276" s="111"/>
      <c r="K276" s="111"/>
    </row>
    <row r="277" spans="3:17" s="104" customFormat="1">
      <c r="C277" s="111"/>
      <c r="D277" s="111"/>
      <c r="E277" s="111"/>
      <c r="F277" s="111"/>
      <c r="G277" s="111"/>
      <c r="H277" s="111"/>
      <c r="I277" s="111"/>
      <c r="J277" s="111"/>
      <c r="K277" s="111"/>
    </row>
    <row r="278" spans="3:17" s="104" customFormat="1">
      <c r="C278" s="111"/>
      <c r="D278" s="111"/>
      <c r="E278" s="111"/>
      <c r="F278" s="111"/>
      <c r="G278" s="111"/>
      <c r="H278" s="111"/>
      <c r="I278" s="111"/>
      <c r="J278" s="111"/>
      <c r="K278" s="111"/>
    </row>
    <row r="279" spans="3:17" s="104" customFormat="1">
      <c r="C279" s="111"/>
      <c r="D279" s="111"/>
      <c r="E279" s="111"/>
      <c r="F279" s="111"/>
      <c r="G279" s="111"/>
      <c r="H279" s="111"/>
      <c r="I279" s="111"/>
      <c r="J279" s="111"/>
      <c r="K279" s="111"/>
    </row>
    <row r="280" spans="3:17" s="104" customFormat="1">
      <c r="C280" s="801" t="s">
        <v>18</v>
      </c>
      <c r="D280" s="802" t="s">
        <v>3199</v>
      </c>
      <c r="E280" s="111"/>
      <c r="F280" s="111"/>
      <c r="G280" s="111"/>
      <c r="H280" s="111"/>
      <c r="I280" s="111"/>
      <c r="J280" s="111"/>
      <c r="K280" s="111"/>
    </row>
    <row r="281" spans="3:17" s="104" customFormat="1">
      <c r="C281" s="801" t="s">
        <v>19</v>
      </c>
      <c r="D281" s="802" t="s">
        <v>1638</v>
      </c>
      <c r="E281" s="111"/>
      <c r="F281" s="111"/>
      <c r="G281" s="111"/>
      <c r="H281" s="111"/>
      <c r="I281" s="111"/>
      <c r="J281" s="111"/>
      <c r="K281" s="111"/>
    </row>
    <row r="282" spans="3:17" s="104" customFormat="1">
      <c r="C282" s="801" t="s">
        <v>32</v>
      </c>
      <c r="D282" s="802" t="s">
        <v>32</v>
      </c>
      <c r="F282" s="111"/>
      <c r="G282" s="111"/>
      <c r="H282" s="111"/>
      <c r="I282" s="111"/>
      <c r="J282" s="111"/>
      <c r="K282" s="111"/>
      <c r="L282" s="457"/>
      <c r="Q282" s="457"/>
    </row>
    <row r="283" spans="3:17" s="104" customFormat="1">
      <c r="C283" s="801" t="s">
        <v>124</v>
      </c>
      <c r="D283" s="802" t="s">
        <v>794</v>
      </c>
      <c r="F283" s="111"/>
      <c r="G283" s="111"/>
      <c r="H283" s="111"/>
      <c r="I283" s="111"/>
      <c r="J283" s="111"/>
      <c r="K283" s="111"/>
    </row>
    <row r="284" spans="3:17" s="104" customFormat="1">
      <c r="F284" s="111"/>
      <c r="G284" s="111"/>
      <c r="H284" s="111"/>
      <c r="I284" s="111"/>
      <c r="J284" s="111"/>
      <c r="K284" s="111"/>
    </row>
    <row r="285" spans="3:17" s="104" customFormat="1" ht="15.6">
      <c r="C285" s="801" t="s">
        <v>19</v>
      </c>
      <c r="D285" s="802" t="s">
        <v>2916</v>
      </c>
      <c r="E285"/>
      <c r="F285"/>
      <c r="G285"/>
      <c r="H285"/>
      <c r="I285" s="111"/>
      <c r="J285" s="111"/>
      <c r="K285" s="111"/>
    </row>
    <row r="286" spans="3:17" s="104" customFormat="1" ht="15.6">
      <c r="C286" s="805" t="s">
        <v>40</v>
      </c>
      <c r="D286" s="806">
        <v>39</v>
      </c>
      <c r="E286"/>
      <c r="F286"/>
      <c r="G286"/>
      <c r="H286"/>
      <c r="I286" s="111"/>
      <c r="J286" s="111"/>
      <c r="K286" s="111"/>
    </row>
    <row r="287" spans="3:17" s="104" customFormat="1" ht="15.6">
      <c r="C287" s="805" t="s">
        <v>126</v>
      </c>
      <c r="D287" s="806">
        <v>136</v>
      </c>
      <c r="E287"/>
      <c r="F287"/>
      <c r="G287"/>
      <c r="H287"/>
      <c r="I287" s="111"/>
      <c r="J287" s="111"/>
      <c r="K287" s="111"/>
    </row>
    <row r="288" spans="3:17" s="104" customFormat="1" ht="15.6">
      <c r="C288"/>
      <c r="D288"/>
      <c r="E288"/>
      <c r="F288"/>
      <c r="G288"/>
      <c r="H288"/>
      <c r="I288" s="111"/>
      <c r="J288" s="111"/>
      <c r="K288" s="111"/>
    </row>
    <row r="289" spans="2:11" s="104" customFormat="1" ht="15.6">
      <c r="C289"/>
      <c r="D289"/>
      <c r="E289"/>
      <c r="F289"/>
      <c r="G289" s="111"/>
      <c r="H289" s="111"/>
      <c r="I289" s="111"/>
      <c r="J289" s="111"/>
      <c r="K289" s="111"/>
    </row>
    <row r="290" spans="2:11" s="104" customFormat="1">
      <c r="B290" s="111"/>
      <c r="C290" s="111"/>
      <c r="D290" s="111"/>
      <c r="E290" s="111"/>
      <c r="F290" s="111"/>
      <c r="G290" s="111"/>
      <c r="H290" s="111"/>
      <c r="I290" s="111"/>
      <c r="J290" s="111"/>
      <c r="K290" s="111"/>
    </row>
    <row r="291" spans="2:11" s="104" customFormat="1">
      <c r="B291" s="111"/>
      <c r="C291" s="111"/>
      <c r="D291" s="111"/>
      <c r="E291" s="111"/>
      <c r="F291" s="111"/>
      <c r="G291" s="111"/>
      <c r="H291" s="111"/>
      <c r="I291" s="111"/>
      <c r="J291" s="111"/>
      <c r="K291" s="111"/>
    </row>
    <row r="292" spans="2:11" s="104" customFormat="1">
      <c r="B292" s="111"/>
      <c r="C292" s="111"/>
      <c r="D292" s="111"/>
      <c r="E292" s="111"/>
      <c r="F292" s="111"/>
      <c r="G292" s="111"/>
      <c r="H292" s="111"/>
      <c r="I292" s="111"/>
      <c r="J292" s="111"/>
      <c r="K292" s="111"/>
    </row>
    <row r="293" spans="2:11" s="104" customFormat="1">
      <c r="B293" s="111"/>
      <c r="C293" s="111"/>
      <c r="D293" s="111"/>
      <c r="E293" s="111"/>
      <c r="F293" s="111"/>
      <c r="G293" s="111"/>
      <c r="H293" s="111"/>
      <c r="I293" s="111"/>
      <c r="J293" s="111"/>
      <c r="K293" s="111"/>
    </row>
    <row r="294" spans="2:11" s="104" customFormat="1">
      <c r="B294" s="111"/>
      <c r="C294" s="111"/>
      <c r="D294" s="111"/>
      <c r="E294" s="111"/>
      <c r="F294" s="111"/>
      <c r="G294" s="111"/>
      <c r="H294" s="111"/>
      <c r="I294" s="111"/>
      <c r="J294" s="111"/>
      <c r="K294" s="111"/>
    </row>
    <row r="295" spans="2:11" s="104" customFormat="1">
      <c r="B295" s="111"/>
      <c r="C295" s="111"/>
      <c r="D295" s="111"/>
      <c r="E295" s="111"/>
      <c r="F295" s="111"/>
      <c r="G295" s="111"/>
      <c r="H295" s="111"/>
      <c r="I295" s="111"/>
      <c r="J295" s="111"/>
      <c r="K295" s="111"/>
    </row>
    <row r="296" spans="2:11" s="104" customFormat="1">
      <c r="B296" s="111"/>
      <c r="C296" s="111"/>
      <c r="D296" s="111"/>
      <c r="E296" s="111"/>
      <c r="F296" s="111"/>
      <c r="G296" s="111"/>
      <c r="H296" s="111"/>
      <c r="I296" s="111"/>
      <c r="J296" s="111"/>
      <c r="K296" s="111"/>
    </row>
    <row r="297" spans="2:11" s="104" customFormat="1">
      <c r="B297" s="111"/>
      <c r="C297" s="111"/>
      <c r="D297" s="111"/>
      <c r="E297" s="111"/>
      <c r="F297" s="111"/>
      <c r="G297" s="111"/>
      <c r="H297" s="111"/>
      <c r="I297" s="111"/>
      <c r="J297" s="111"/>
      <c r="K297" s="111"/>
    </row>
    <row r="298" spans="2:11" s="104" customFormat="1">
      <c r="B298" s="111"/>
      <c r="C298" s="111"/>
      <c r="D298" s="111"/>
      <c r="E298" s="111"/>
      <c r="F298" s="111"/>
      <c r="G298" s="111"/>
      <c r="H298" s="111"/>
      <c r="I298" s="111"/>
      <c r="J298" s="111"/>
      <c r="K298" s="111"/>
    </row>
    <row r="299" spans="2:11" s="104" customFormat="1">
      <c r="C299" s="111"/>
      <c r="D299" s="111"/>
      <c r="E299" s="111"/>
      <c r="F299" s="111"/>
      <c r="G299" s="111"/>
      <c r="H299" s="111"/>
      <c r="I299" s="111"/>
      <c r="J299" s="111"/>
      <c r="K299" s="111"/>
    </row>
    <row r="300" spans="2:11" s="104" customFormat="1">
      <c r="C300" s="111"/>
      <c r="D300" s="111"/>
      <c r="E300" s="111"/>
      <c r="F300" s="111"/>
      <c r="G300" s="111"/>
      <c r="H300" s="111"/>
      <c r="I300" s="111"/>
      <c r="J300" s="111"/>
      <c r="K300" s="111"/>
    </row>
    <row r="301" spans="2:11" s="104" customFormat="1">
      <c r="C301" s="111"/>
      <c r="D301" s="111"/>
      <c r="E301" s="111"/>
      <c r="F301" s="111"/>
      <c r="G301" s="111"/>
      <c r="H301" s="111"/>
      <c r="I301" s="111"/>
      <c r="J301" s="111"/>
      <c r="K301" s="111"/>
    </row>
    <row r="302" spans="2:11" s="104" customFormat="1">
      <c r="C302" s="111"/>
      <c r="D302" s="111"/>
      <c r="E302" s="111"/>
      <c r="F302" s="111"/>
      <c r="G302" s="111"/>
      <c r="H302" s="111"/>
      <c r="I302" s="111"/>
      <c r="J302" s="111"/>
      <c r="K302" s="111"/>
    </row>
    <row r="303" spans="2:11" s="104" customFormat="1">
      <c r="C303" s="111"/>
      <c r="D303" s="111"/>
      <c r="E303" s="111"/>
      <c r="F303" s="111"/>
      <c r="G303" s="111"/>
      <c r="H303" s="111"/>
      <c r="I303" s="111"/>
      <c r="J303" s="111"/>
      <c r="K303" s="111"/>
    </row>
    <row r="304" spans="2:11" s="104" customFormat="1">
      <c r="C304" s="111"/>
      <c r="D304" s="111"/>
      <c r="E304" s="111"/>
      <c r="F304" s="111"/>
      <c r="G304" s="111"/>
      <c r="H304" s="111"/>
      <c r="I304" s="111"/>
      <c r="J304" s="111"/>
      <c r="K304" s="111"/>
    </row>
    <row r="305" spans="3:11" s="104" customFormat="1">
      <c r="C305" s="111"/>
      <c r="D305" s="111"/>
      <c r="E305" s="111"/>
      <c r="F305" s="111"/>
      <c r="G305" s="111"/>
      <c r="H305" s="111"/>
      <c r="I305" s="111"/>
      <c r="J305" s="111"/>
      <c r="K305" s="111"/>
    </row>
    <row r="306" spans="3:11" s="104" customFormat="1">
      <c r="C306" s="111"/>
      <c r="D306" s="111"/>
      <c r="E306" s="111"/>
      <c r="F306" s="111"/>
      <c r="G306" s="111"/>
      <c r="H306" s="111"/>
      <c r="I306" s="111"/>
      <c r="J306" s="111"/>
      <c r="K306" s="111"/>
    </row>
    <row r="307" spans="3:11" s="104" customFormat="1">
      <c r="C307" s="111"/>
      <c r="D307" s="111"/>
      <c r="E307" s="111"/>
      <c r="F307" s="111"/>
      <c r="G307" s="111"/>
      <c r="H307" s="111"/>
      <c r="I307" s="111"/>
      <c r="J307" s="111"/>
      <c r="K307" s="111"/>
    </row>
    <row r="308" spans="3:11" s="104" customFormat="1">
      <c r="C308" s="111"/>
      <c r="D308" s="111"/>
      <c r="E308" s="111"/>
      <c r="F308" s="111"/>
      <c r="G308" s="111"/>
      <c r="H308" s="111"/>
      <c r="I308" s="111"/>
      <c r="J308" s="111"/>
      <c r="K308" s="111"/>
    </row>
    <row r="309" spans="3:11" s="104" customFormat="1">
      <c r="C309" s="111"/>
      <c r="D309" s="111"/>
      <c r="E309" s="111"/>
      <c r="F309" s="111"/>
      <c r="G309" s="111"/>
      <c r="H309" s="111"/>
      <c r="I309" s="111"/>
      <c r="J309" s="111"/>
      <c r="K309" s="111"/>
    </row>
    <row r="310" spans="3:11" s="104" customFormat="1">
      <c r="C310" s="111"/>
      <c r="D310" s="111"/>
      <c r="E310" s="111"/>
      <c r="F310" s="111"/>
      <c r="G310" s="111"/>
      <c r="H310" s="111"/>
      <c r="I310" s="111"/>
      <c r="J310" s="111"/>
      <c r="K310" s="111"/>
    </row>
    <row r="311" spans="3:11" s="104" customFormat="1">
      <c r="C311" s="111"/>
      <c r="D311" s="111"/>
      <c r="E311" s="111"/>
      <c r="F311" s="111"/>
      <c r="G311" s="111"/>
      <c r="H311" s="111"/>
      <c r="I311" s="111"/>
      <c r="J311" s="111"/>
      <c r="K311" s="111"/>
    </row>
    <row r="312" spans="3:11" s="104" customFormat="1">
      <c r="C312" s="111"/>
      <c r="D312" s="111"/>
      <c r="E312" s="111"/>
      <c r="F312" s="111"/>
      <c r="G312" s="111"/>
      <c r="H312" s="111"/>
      <c r="I312" s="111"/>
      <c r="J312" s="111"/>
      <c r="K312" s="111"/>
    </row>
    <row r="313" spans="3:11" s="104" customFormat="1">
      <c r="C313" s="111"/>
      <c r="D313" s="111"/>
      <c r="E313" s="111"/>
      <c r="F313" s="111"/>
      <c r="G313" s="111"/>
      <c r="H313" s="111"/>
      <c r="I313" s="111"/>
      <c r="J313" s="111"/>
      <c r="K313" s="111"/>
    </row>
    <row r="314" spans="3:11" s="104" customFormat="1">
      <c r="C314" s="111"/>
      <c r="D314" s="111"/>
      <c r="E314" s="111"/>
      <c r="F314" s="111"/>
      <c r="G314" s="111"/>
      <c r="H314" s="111"/>
      <c r="I314" s="111"/>
      <c r="J314" s="111"/>
      <c r="K314" s="111"/>
    </row>
    <row r="315" spans="3:11" s="104" customFormat="1">
      <c r="C315" s="111"/>
      <c r="D315" s="111"/>
      <c r="E315" s="111"/>
      <c r="F315" s="111"/>
      <c r="G315" s="111"/>
      <c r="H315" s="111"/>
      <c r="I315" s="111"/>
      <c r="J315" s="111"/>
      <c r="K315" s="111"/>
    </row>
    <row r="316" spans="3:11" s="104" customFormat="1">
      <c r="C316" s="111"/>
      <c r="D316" s="111"/>
      <c r="E316" s="111"/>
      <c r="F316" s="111"/>
      <c r="G316" s="111"/>
      <c r="H316" s="111"/>
      <c r="I316" s="111"/>
      <c r="J316" s="111"/>
      <c r="K316" s="111"/>
    </row>
    <row r="317" spans="3:11" s="104" customFormat="1">
      <c r="C317" s="111"/>
      <c r="D317" s="111"/>
      <c r="E317" s="111"/>
      <c r="F317" s="111"/>
      <c r="G317" s="111"/>
      <c r="H317" s="111"/>
      <c r="I317" s="111"/>
      <c r="J317" s="111"/>
      <c r="K317" s="111"/>
    </row>
    <row r="318" spans="3:11" s="104" customFormat="1">
      <c r="C318" s="111"/>
      <c r="D318" s="111"/>
      <c r="E318" s="111"/>
      <c r="F318" s="111"/>
      <c r="G318" s="111"/>
      <c r="H318" s="111"/>
      <c r="I318" s="111"/>
      <c r="J318" s="111"/>
      <c r="K318" s="111"/>
    </row>
    <row r="319" spans="3:11" s="104" customFormat="1">
      <c r="C319" s="111"/>
      <c r="D319" s="111"/>
      <c r="E319" s="111"/>
      <c r="F319" s="111"/>
      <c r="G319" s="111"/>
      <c r="H319" s="111"/>
      <c r="I319" s="111"/>
      <c r="J319" s="111"/>
      <c r="K319" s="111"/>
    </row>
    <row r="320" spans="3:11" s="104" customFormat="1">
      <c r="C320" s="111"/>
      <c r="D320" s="111"/>
      <c r="E320" s="111"/>
      <c r="F320" s="111"/>
      <c r="G320" s="111"/>
      <c r="H320" s="111"/>
      <c r="I320" s="111"/>
      <c r="J320" s="111"/>
      <c r="K320" s="111"/>
    </row>
    <row r="321" spans="3:11" s="104" customFormat="1">
      <c r="C321" s="111"/>
      <c r="D321" s="111"/>
      <c r="E321" s="111"/>
      <c r="F321" s="111"/>
      <c r="G321" s="111"/>
      <c r="H321" s="111"/>
      <c r="I321" s="111"/>
      <c r="J321" s="111"/>
      <c r="K321" s="111"/>
    </row>
    <row r="322" spans="3:11" s="104" customFormat="1">
      <c r="C322" s="111"/>
      <c r="D322" s="111"/>
      <c r="E322" s="111"/>
      <c r="F322" s="111"/>
      <c r="G322" s="111"/>
      <c r="H322" s="111"/>
      <c r="I322" s="111"/>
      <c r="J322" s="111"/>
      <c r="K322" s="111"/>
    </row>
    <row r="323" spans="3:11" s="104" customFormat="1">
      <c r="C323" s="111"/>
      <c r="D323" s="111"/>
      <c r="E323" s="111"/>
      <c r="F323" s="111"/>
      <c r="G323" s="111"/>
      <c r="H323" s="111"/>
      <c r="I323" s="111"/>
      <c r="J323" s="111"/>
      <c r="K323" s="111"/>
    </row>
    <row r="324" spans="3:11" s="104" customFormat="1"/>
    <row r="325" spans="3:11" s="104" customFormat="1"/>
    <row r="326" spans="3:11" s="104" customFormat="1"/>
    <row r="327" spans="3:11" s="104" customFormat="1"/>
    <row r="328" spans="3:11" s="104" customFormat="1"/>
    <row r="329" spans="3:11" s="104" customFormat="1"/>
    <row r="330" spans="3:11" s="104" customFormat="1"/>
    <row r="331" spans="3:11" s="104" customFormat="1"/>
    <row r="332" spans="3:11" s="104" customFormat="1"/>
    <row r="333" spans="3:11" s="104" customFormat="1"/>
    <row r="334" spans="3:11" s="104" customFormat="1"/>
    <row r="335" spans="3:11" s="104" customFormat="1"/>
    <row r="336" spans="3:11" s="104" customFormat="1"/>
    <row r="337" s="104" customFormat="1"/>
    <row r="338" s="104" customFormat="1"/>
    <row r="339" s="104" customFormat="1"/>
    <row r="340" s="104" customFormat="1"/>
    <row r="341" s="104" customFormat="1"/>
    <row r="342" s="104" customFormat="1"/>
    <row r="343" s="104" customFormat="1"/>
    <row r="344" s="104" customFormat="1"/>
    <row r="345" s="104" customFormat="1"/>
    <row r="346" s="104" customFormat="1"/>
    <row r="347" s="104" customFormat="1"/>
    <row r="348" s="104" customFormat="1"/>
    <row r="349" s="104" customFormat="1"/>
    <row r="350" s="104" customFormat="1"/>
    <row r="351" s="104" customFormat="1"/>
    <row r="352" s="104" customFormat="1"/>
    <row r="353" s="104" customFormat="1"/>
    <row r="354" s="104" customFormat="1"/>
    <row r="355" s="104" customFormat="1"/>
    <row r="356" s="104" customFormat="1"/>
    <row r="357" s="104" customFormat="1"/>
    <row r="358" s="104" customFormat="1"/>
    <row r="359" s="104" customFormat="1"/>
    <row r="360" s="104" customFormat="1"/>
    <row r="361" s="104" customFormat="1"/>
    <row r="362" s="104" customFormat="1"/>
    <row r="363" s="104" customFormat="1"/>
    <row r="364" s="104" customFormat="1"/>
    <row r="365" s="104" customFormat="1"/>
    <row r="366" s="104" customFormat="1"/>
    <row r="367" s="104" customFormat="1"/>
    <row r="368" s="104" customFormat="1"/>
    <row r="369" s="104" customFormat="1"/>
    <row r="370" s="104" customFormat="1"/>
    <row r="371" s="104" customFormat="1"/>
    <row r="372" s="104" customFormat="1"/>
    <row r="373" s="104" customFormat="1"/>
    <row r="374" s="104" customFormat="1"/>
    <row r="375" s="104" customFormat="1"/>
    <row r="376" s="104" customFormat="1"/>
  </sheetData>
  <conditionalFormatting pivot="1" sqref="L10:N13">
    <cfRule type="iconSet" priority="3">
      <iconSet reverse="1">
        <cfvo type="percent" val="0"/>
        <cfvo type="num" val="0" gte="0"/>
        <cfvo type="num" val="0.3"/>
      </iconSet>
    </cfRule>
  </conditionalFormatting>
  <conditionalFormatting pivot="1" sqref="S10:U14">
    <cfRule type="iconSet" priority="1">
      <iconSet reverse="1">
        <cfvo type="percent" val="0"/>
        <cfvo type="num" val="0" gte="0"/>
        <cfvo type="num" val="0.3"/>
      </iconSet>
    </cfRule>
  </conditionalFormatting>
  <pageMargins left="0.7" right="0.7" top="0.75" bottom="0.75" header="0.3" footer="0.3"/>
  <pageSetup orientation="portrait" r:id="rId24"/>
  <drawing r:id="rId25"/>
  <extLst>
    <ext xmlns:x14="http://schemas.microsoft.com/office/spreadsheetml/2009/9/main" uri="{A8765BA9-456A-4dab-B4F3-ACF838C121DE}">
      <x14:slicerList>
        <x14:slicer r:id="rId26"/>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7:G193"/>
  <sheetViews>
    <sheetView showGridLines="0" zoomScale="80" zoomScaleNormal="80" workbookViewId="0">
      <selection activeCell="B90" sqref="B90"/>
    </sheetView>
  </sheetViews>
  <sheetFormatPr defaultColWidth="9" defaultRowHeight="15.6"/>
  <cols>
    <col min="1" max="1" width="31.69921875" style="58" bestFit="1" customWidth="1"/>
    <col min="2" max="2" width="20.5" style="58" bestFit="1" customWidth="1"/>
    <col min="3" max="3" width="10.296875" style="58" bestFit="1" customWidth="1"/>
    <col min="4" max="4" width="65.69921875" style="58" hidden="1" customWidth="1"/>
    <col min="5" max="5" width="73.69921875" style="58" hidden="1" customWidth="1"/>
    <col min="6" max="6" width="86" style="58" hidden="1" customWidth="1"/>
    <col min="7" max="7" width="11" style="58" customWidth="1"/>
    <col min="8" max="16384" width="9" style="58"/>
  </cols>
  <sheetData>
    <row r="27" spans="1:7" hidden="1">
      <c r="A27" s="797" t="s">
        <v>18</v>
      </c>
      <c r="B27" s="798" t="s">
        <v>3271</v>
      </c>
    </row>
    <row r="28" spans="1:7" hidden="1"/>
    <row r="29" spans="1:7" s="94" customFormat="1" ht="31.2" hidden="1">
      <c r="A29" s="834" t="s">
        <v>19</v>
      </c>
      <c r="B29" s="834" t="s">
        <v>20</v>
      </c>
      <c r="C29" s="824" t="s">
        <v>1927</v>
      </c>
      <c r="D29" s="798" t="s">
        <v>2669</v>
      </c>
      <c r="E29" s="798" t="s">
        <v>2668</v>
      </c>
      <c r="F29" s="798" t="s">
        <v>2667</v>
      </c>
      <c r="G29"/>
    </row>
    <row r="30" spans="1:7" hidden="1">
      <c r="A30" s="798" t="s">
        <v>36</v>
      </c>
      <c r="B30" s="798" t="s">
        <v>149</v>
      </c>
      <c r="C30" s="809">
        <v>964</v>
      </c>
      <c r="D30" s="809">
        <v>54</v>
      </c>
      <c r="E30" s="809">
        <v>600</v>
      </c>
      <c r="F30" s="809">
        <v>964</v>
      </c>
      <c r="G30"/>
    </row>
    <row r="31" spans="1:7" hidden="1">
      <c r="A31" s="798"/>
      <c r="B31" s="798" t="s">
        <v>174</v>
      </c>
      <c r="C31" s="809">
        <v>2306</v>
      </c>
      <c r="D31" s="809">
        <v>0</v>
      </c>
      <c r="E31" s="809">
        <v>0</v>
      </c>
      <c r="F31" s="809">
        <v>0</v>
      </c>
      <c r="G31"/>
    </row>
    <row r="32" spans="1:7" hidden="1">
      <c r="A32" s="798"/>
      <c r="B32" s="798" t="s">
        <v>132</v>
      </c>
      <c r="C32" s="809">
        <v>10084</v>
      </c>
      <c r="D32" s="809">
        <v>608</v>
      </c>
      <c r="E32" s="809">
        <v>2740</v>
      </c>
      <c r="F32" s="809">
        <v>4844</v>
      </c>
      <c r="G32"/>
    </row>
    <row r="33" spans="1:7" hidden="1">
      <c r="A33" s="798"/>
      <c r="B33" s="798" t="s">
        <v>771</v>
      </c>
      <c r="C33" s="809">
        <v>3741</v>
      </c>
      <c r="D33" s="809">
        <v>0</v>
      </c>
      <c r="E33" s="809">
        <v>0</v>
      </c>
      <c r="F33" s="809">
        <v>0</v>
      </c>
      <c r="G33"/>
    </row>
    <row r="34" spans="1:7" hidden="1">
      <c r="A34" s="798" t="s">
        <v>3198</v>
      </c>
      <c r="B34" s="798"/>
      <c r="C34" s="809">
        <v>17095</v>
      </c>
      <c r="D34" s="809">
        <v>662</v>
      </c>
      <c r="E34" s="809">
        <v>3340</v>
      </c>
      <c r="F34" s="809">
        <v>5808</v>
      </c>
      <c r="G34"/>
    </row>
    <row r="35" spans="1:7" hidden="1">
      <c r="A35" s="798" t="s">
        <v>698</v>
      </c>
      <c r="B35" s="798" t="s">
        <v>717</v>
      </c>
      <c r="C35" s="809">
        <v>413</v>
      </c>
      <c r="D35" s="809">
        <v>228</v>
      </c>
      <c r="E35" s="809">
        <v>320</v>
      </c>
      <c r="F35" s="809">
        <v>170</v>
      </c>
      <c r="G35"/>
    </row>
    <row r="36" spans="1:7" hidden="1">
      <c r="A36" s="798"/>
      <c r="B36" s="798" t="s">
        <v>1253</v>
      </c>
      <c r="C36" s="809">
        <v>1342</v>
      </c>
      <c r="D36" s="809">
        <v>816</v>
      </c>
      <c r="E36" s="809">
        <v>1262</v>
      </c>
      <c r="F36" s="809">
        <v>260</v>
      </c>
      <c r="G36"/>
    </row>
    <row r="37" spans="1:7" hidden="1">
      <c r="A37" s="798"/>
      <c r="B37" s="798" t="s">
        <v>1234</v>
      </c>
      <c r="C37" s="809">
        <v>1209</v>
      </c>
      <c r="D37" s="809">
        <v>489</v>
      </c>
      <c r="E37" s="809">
        <v>18</v>
      </c>
      <c r="F37" s="809">
        <v>0</v>
      </c>
      <c r="G37"/>
    </row>
    <row r="38" spans="1:7" hidden="1">
      <c r="A38" s="798"/>
      <c r="B38" s="798" t="s">
        <v>1278</v>
      </c>
      <c r="C38" s="809">
        <v>871</v>
      </c>
      <c r="D38" s="809">
        <v>436</v>
      </c>
      <c r="E38" s="809">
        <v>0</v>
      </c>
      <c r="F38" s="809">
        <v>0</v>
      </c>
      <c r="G38"/>
    </row>
    <row r="39" spans="1:7" hidden="1">
      <c r="A39" s="798"/>
      <c r="B39" s="798" t="s">
        <v>3005</v>
      </c>
      <c r="C39" s="809">
        <v>937</v>
      </c>
      <c r="D39" s="809">
        <v>105</v>
      </c>
      <c r="E39" s="809">
        <v>0</v>
      </c>
      <c r="F39" s="809">
        <v>0</v>
      </c>
      <c r="G39"/>
    </row>
    <row r="40" spans="1:7" hidden="1">
      <c r="A40" s="798"/>
      <c r="B40" s="798" t="s">
        <v>1272</v>
      </c>
      <c r="C40" s="809">
        <v>617</v>
      </c>
      <c r="D40" s="809">
        <v>75</v>
      </c>
      <c r="E40" s="809">
        <v>156</v>
      </c>
      <c r="F40" s="809">
        <v>0</v>
      </c>
      <c r="G40"/>
    </row>
    <row r="41" spans="1:7" hidden="1">
      <c r="A41" s="798"/>
      <c r="B41" s="798" t="s">
        <v>1246</v>
      </c>
      <c r="C41" s="809">
        <v>272</v>
      </c>
      <c r="D41" s="809">
        <v>103</v>
      </c>
      <c r="E41" s="809">
        <v>0</v>
      </c>
      <c r="F41" s="809">
        <v>0</v>
      </c>
      <c r="G41"/>
    </row>
    <row r="42" spans="1:7" hidden="1">
      <c r="A42" s="798"/>
      <c r="B42" s="798" t="s">
        <v>3012</v>
      </c>
      <c r="C42" s="809">
        <v>5336</v>
      </c>
      <c r="D42" s="809">
        <v>0</v>
      </c>
      <c r="E42" s="809">
        <v>819</v>
      </c>
      <c r="F42" s="809">
        <v>0</v>
      </c>
      <c r="G42"/>
    </row>
    <row r="43" spans="1:7" hidden="1">
      <c r="A43" s="798"/>
      <c r="B43" s="798" t="s">
        <v>3033</v>
      </c>
      <c r="C43" s="809">
        <v>4563</v>
      </c>
      <c r="D43" s="809">
        <v>0</v>
      </c>
      <c r="E43" s="809">
        <v>1494</v>
      </c>
      <c r="F43" s="809">
        <v>0</v>
      </c>
      <c r="G43"/>
    </row>
    <row r="44" spans="1:7" hidden="1">
      <c r="A44" s="798"/>
      <c r="B44" s="798" t="s">
        <v>3068</v>
      </c>
      <c r="C44" s="809">
        <v>291</v>
      </c>
      <c r="D44" s="809">
        <v>67</v>
      </c>
      <c r="E44" s="809">
        <v>42</v>
      </c>
      <c r="F44" s="809">
        <v>0</v>
      </c>
      <c r="G44"/>
    </row>
    <row r="45" spans="1:7" hidden="1">
      <c r="A45" s="798"/>
      <c r="B45" s="798" t="s">
        <v>1255</v>
      </c>
      <c r="C45" s="809">
        <v>4171</v>
      </c>
      <c r="D45" s="809">
        <v>0</v>
      </c>
      <c r="E45" s="809">
        <v>812</v>
      </c>
      <c r="F45" s="809">
        <v>2624</v>
      </c>
      <c r="G45"/>
    </row>
    <row r="46" spans="1:7" hidden="1">
      <c r="A46" s="798" t="s">
        <v>3124</v>
      </c>
      <c r="B46" s="798"/>
      <c r="C46" s="809">
        <v>20022</v>
      </c>
      <c r="D46" s="809">
        <v>2319</v>
      </c>
      <c r="E46" s="809">
        <v>4923</v>
      </c>
      <c r="F46" s="809">
        <v>3054</v>
      </c>
      <c r="G46"/>
    </row>
    <row r="47" spans="1:7" hidden="1">
      <c r="A47" s="798" t="s">
        <v>2648</v>
      </c>
      <c r="B47" s="798" t="s">
        <v>357</v>
      </c>
      <c r="C47" s="809">
        <v>3451</v>
      </c>
      <c r="D47" s="809">
        <v>0</v>
      </c>
      <c r="E47" s="809">
        <v>323</v>
      </c>
      <c r="F47" s="809">
        <v>323</v>
      </c>
      <c r="G47"/>
    </row>
    <row r="48" spans="1:7" hidden="1">
      <c r="A48" s="798"/>
      <c r="B48" s="798" t="s">
        <v>302</v>
      </c>
      <c r="C48" s="809">
        <v>20186</v>
      </c>
      <c r="D48" s="809">
        <v>253</v>
      </c>
      <c r="E48" s="809">
        <v>8650</v>
      </c>
      <c r="F48" s="809">
        <v>14886</v>
      </c>
      <c r="G48"/>
    </row>
    <row r="49" spans="1:7" hidden="1">
      <c r="A49" s="798"/>
      <c r="B49" s="798" t="s">
        <v>312</v>
      </c>
      <c r="C49" s="809">
        <v>49926</v>
      </c>
      <c r="D49" s="809">
        <v>1443</v>
      </c>
      <c r="E49" s="809">
        <v>25618</v>
      </c>
      <c r="F49" s="809">
        <v>49926</v>
      </c>
      <c r="G49"/>
    </row>
    <row r="50" spans="1:7" hidden="1">
      <c r="A50" s="798"/>
      <c r="B50" s="798" t="s">
        <v>399</v>
      </c>
      <c r="C50" s="809">
        <v>434</v>
      </c>
      <c r="D50" s="809">
        <v>434</v>
      </c>
      <c r="E50" s="809">
        <v>434</v>
      </c>
      <c r="F50" s="809">
        <v>434</v>
      </c>
      <c r="G50"/>
    </row>
    <row r="51" spans="1:7" hidden="1">
      <c r="A51" s="798"/>
      <c r="B51" s="798" t="s">
        <v>402</v>
      </c>
      <c r="C51" s="809">
        <v>30582</v>
      </c>
      <c r="D51" s="809">
        <v>13381</v>
      </c>
      <c r="E51" s="809">
        <v>2580</v>
      </c>
      <c r="F51" s="809">
        <v>30582</v>
      </c>
      <c r="G51"/>
    </row>
    <row r="52" spans="1:7" hidden="1">
      <c r="A52" s="798"/>
      <c r="B52" s="798" t="s">
        <v>295</v>
      </c>
      <c r="C52" s="809">
        <v>170635</v>
      </c>
      <c r="D52" s="809">
        <v>56431</v>
      </c>
      <c r="E52" s="809">
        <v>51810</v>
      </c>
      <c r="F52" s="809">
        <v>129162</v>
      </c>
      <c r="G52"/>
    </row>
    <row r="53" spans="1:7" hidden="1">
      <c r="A53" s="798" t="s">
        <v>2649</v>
      </c>
      <c r="B53" s="798"/>
      <c r="C53" s="809">
        <v>275214</v>
      </c>
      <c r="D53" s="809">
        <v>71942</v>
      </c>
      <c r="E53" s="809">
        <v>89415</v>
      </c>
      <c r="F53" s="809">
        <v>225313</v>
      </c>
      <c r="G53"/>
    </row>
    <row r="54" spans="1:7" hidden="1">
      <c r="A54" s="798" t="s">
        <v>3274</v>
      </c>
      <c r="B54" s="798" t="s">
        <v>3275</v>
      </c>
      <c r="C54" s="809">
        <v>7593</v>
      </c>
      <c r="D54" s="809">
        <v>0</v>
      </c>
      <c r="E54" s="809">
        <v>4602</v>
      </c>
      <c r="F54" s="809">
        <v>7144</v>
      </c>
      <c r="G54"/>
    </row>
    <row r="55" spans="1:7" hidden="1">
      <c r="A55" s="798" t="s">
        <v>3292</v>
      </c>
      <c r="B55" s="798"/>
      <c r="C55" s="809">
        <v>7593</v>
      </c>
      <c r="D55" s="809">
        <v>0</v>
      </c>
      <c r="E55" s="809">
        <v>4602</v>
      </c>
      <c r="F55" s="809">
        <v>7144</v>
      </c>
      <c r="G55"/>
    </row>
    <row r="56" spans="1:7" hidden="1">
      <c r="A56" s="798" t="s">
        <v>1639</v>
      </c>
      <c r="B56" s="798"/>
      <c r="C56" s="809">
        <v>319924</v>
      </c>
      <c r="D56" s="809">
        <v>74923</v>
      </c>
      <c r="E56" s="809">
        <v>102280</v>
      </c>
      <c r="F56" s="809">
        <v>241319</v>
      </c>
      <c r="G56"/>
    </row>
    <row r="57" spans="1:7" hidden="1">
      <c r="A57"/>
      <c r="B57"/>
      <c r="C57"/>
      <c r="D57"/>
      <c r="E57"/>
      <c r="F57"/>
      <c r="G57"/>
    </row>
    <row r="58" spans="1:7" hidden="1">
      <c r="A58"/>
      <c r="B58"/>
      <c r="C58"/>
      <c r="D58"/>
      <c r="E58"/>
      <c r="F58"/>
      <c r="G58"/>
    </row>
    <row r="59" spans="1:7" hidden="1">
      <c r="A59"/>
      <c r="B59"/>
      <c r="C59"/>
      <c r="D59"/>
      <c r="E59"/>
      <c r="F59"/>
      <c r="G59"/>
    </row>
    <row r="60" spans="1:7" hidden="1">
      <c r="A60"/>
      <c r="B60"/>
      <c r="C60"/>
      <c r="D60"/>
      <c r="E60"/>
      <c r="F60"/>
      <c r="G60"/>
    </row>
    <row r="61" spans="1:7" hidden="1">
      <c r="A61"/>
      <c r="B61"/>
      <c r="C61"/>
      <c r="D61"/>
      <c r="E61"/>
      <c r="F61"/>
      <c r="G61"/>
    </row>
    <row r="62" spans="1:7" hidden="1">
      <c r="A62"/>
      <c r="B62"/>
      <c r="C62"/>
      <c r="D62"/>
      <c r="E62"/>
      <c r="F62"/>
      <c r="G62"/>
    </row>
    <row r="63" spans="1:7" hidden="1">
      <c r="A63"/>
      <c r="B63"/>
      <c r="C63"/>
      <c r="D63"/>
      <c r="E63"/>
      <c r="F63"/>
      <c r="G63"/>
    </row>
    <row r="64" spans="1:7" hidden="1">
      <c r="A64"/>
      <c r="B64"/>
      <c r="C64"/>
      <c r="D64"/>
      <c r="E64"/>
      <c r="F64"/>
      <c r="G64"/>
    </row>
    <row r="65" spans="1:7" hidden="1">
      <c r="A65"/>
      <c r="B65"/>
      <c r="C65"/>
      <c r="D65"/>
      <c r="E65"/>
      <c r="F65"/>
      <c r="G65"/>
    </row>
    <row r="66" spans="1:7" hidden="1">
      <c r="A66"/>
      <c r="B66"/>
      <c r="C66"/>
      <c r="D66"/>
      <c r="E66"/>
      <c r="F66"/>
      <c r="G66"/>
    </row>
    <row r="67" spans="1:7" hidden="1">
      <c r="A67"/>
      <c r="B67"/>
      <c r="C67"/>
      <c r="D67"/>
      <c r="E67"/>
      <c r="F67"/>
      <c r="G67"/>
    </row>
    <row r="68" spans="1:7" hidden="1">
      <c r="A68"/>
      <c r="B68"/>
      <c r="C68"/>
      <c r="D68"/>
      <c r="E68"/>
      <c r="F68"/>
      <c r="G68"/>
    </row>
    <row r="69" spans="1:7" hidden="1">
      <c r="A69"/>
      <c r="B69"/>
      <c r="C69"/>
      <c r="D69"/>
      <c r="E69"/>
      <c r="F69"/>
      <c r="G69"/>
    </row>
    <row r="70" spans="1:7" hidden="1">
      <c r="A70"/>
      <c r="B70"/>
      <c r="C70"/>
      <c r="D70"/>
      <c r="E70"/>
      <c r="F70"/>
      <c r="G70"/>
    </row>
    <row r="71" spans="1:7" hidden="1">
      <c r="A71"/>
      <c r="B71"/>
      <c r="C71"/>
      <c r="D71"/>
      <c r="E71"/>
      <c r="F71"/>
      <c r="G71"/>
    </row>
    <row r="72" spans="1:7" hidden="1">
      <c r="A72"/>
      <c r="B72"/>
      <c r="C72"/>
      <c r="D72"/>
      <c r="E72"/>
      <c r="F72"/>
      <c r="G72"/>
    </row>
    <row r="73" spans="1:7" hidden="1">
      <c r="A73"/>
      <c r="B73"/>
      <c r="C73"/>
      <c r="D73"/>
      <c r="E73"/>
      <c r="F73"/>
      <c r="G73"/>
    </row>
    <row r="74" spans="1:7" hidden="1">
      <c r="A74"/>
      <c r="B74"/>
      <c r="C74"/>
      <c r="D74"/>
      <c r="E74"/>
      <c r="F74"/>
      <c r="G74"/>
    </row>
    <row r="75" spans="1:7" hidden="1">
      <c r="A75"/>
      <c r="B75"/>
      <c r="C75"/>
      <c r="D75"/>
      <c r="E75"/>
      <c r="F75"/>
      <c r="G75"/>
    </row>
    <row r="76" spans="1:7" hidden="1">
      <c r="A76"/>
      <c r="B76"/>
      <c r="C76"/>
      <c r="D76"/>
      <c r="E76"/>
      <c r="F76"/>
      <c r="G76"/>
    </row>
    <row r="77" spans="1:7" hidden="1">
      <c r="A77"/>
      <c r="B77"/>
      <c r="C77"/>
      <c r="D77"/>
      <c r="E77"/>
      <c r="F77"/>
      <c r="G77"/>
    </row>
    <row r="78" spans="1:7" hidden="1">
      <c r="A78"/>
      <c r="B78"/>
      <c r="C78"/>
      <c r="D78"/>
      <c r="E78"/>
      <c r="F78"/>
      <c r="G78"/>
    </row>
    <row r="79" spans="1:7" hidden="1">
      <c r="A79"/>
      <c r="B79"/>
      <c r="C79"/>
      <c r="D79"/>
      <c r="E79"/>
      <c r="F79"/>
      <c r="G79"/>
    </row>
    <row r="80" spans="1:7" hidden="1">
      <c r="A80"/>
      <c r="B80"/>
      <c r="C80"/>
      <c r="D80"/>
      <c r="E80"/>
      <c r="F80"/>
      <c r="G80"/>
    </row>
    <row r="81" spans="1:7" hidden="1">
      <c r="A81"/>
      <c r="B81"/>
      <c r="C81"/>
      <c r="D81"/>
      <c r="E81"/>
      <c r="F81"/>
      <c r="G81"/>
    </row>
    <row r="82" spans="1:7" hidden="1">
      <c r="A82"/>
      <c r="B82"/>
      <c r="C82"/>
      <c r="D82"/>
      <c r="E82"/>
      <c r="F82"/>
      <c r="G82"/>
    </row>
    <row r="83" spans="1:7" hidden="1">
      <c r="A83"/>
      <c r="B83"/>
      <c r="C83"/>
      <c r="D83"/>
      <c r="E83"/>
      <c r="F83"/>
      <c r="G83"/>
    </row>
    <row r="84" spans="1:7" hidden="1">
      <c r="A84"/>
      <c r="B84"/>
      <c r="C84"/>
      <c r="D84"/>
      <c r="E84"/>
      <c r="F84"/>
      <c r="G84"/>
    </row>
    <row r="85" spans="1:7" hidden="1">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hidden="1">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Guide</vt:lpstr>
      <vt:lpstr>DATABASE</vt:lpstr>
      <vt:lpstr>Site_DB</vt:lpstr>
      <vt:lpstr>Indicator Summary  Eng</vt:lpstr>
      <vt:lpstr>Indicator Summary  MM</vt:lpstr>
      <vt:lpstr>HRP Calculations</vt:lpstr>
      <vt:lpstr>HRP</vt:lpstr>
      <vt:lpstr>Analysis</vt:lpstr>
      <vt:lpstr>Quarterly Dashboard</vt:lpstr>
      <vt:lpstr>Rakhine</vt:lpstr>
      <vt:lpstr>By Site</vt:lpstr>
      <vt:lpstr>Tracking Dashboard</vt:lpstr>
      <vt:lpstr>Lookup</vt:lpstr>
      <vt:lpstr>'HRP Calculations'!Print_Area</vt:lpstr>
      <vt:lpstr>'Indicator Summary  Eng'!Print_Area</vt:lpstr>
      <vt:lpstr>'Indicator Summary  MM'!Print_Area</vt:lpstr>
      <vt:lpstr>Rakhine!Print_Area</vt:lpstr>
      <vt:lpstr>'Indicator Summary  Eng'!Print_Titles</vt:lpstr>
      <vt:lpstr>'Indicator Summary  MM'!Print_Titles</vt:lpstr>
      <vt:lpstr>State_list</vt:lpstr>
      <vt:lpstr>Statestart_1</vt:lpstr>
      <vt:lpstr>Rakhine!Township_list</vt:lpstr>
      <vt:lpstr>Township_list</vt:lpstr>
      <vt:lpstr>Rakhine!Township_start</vt:lpstr>
      <vt:lpstr>Township_start</vt:lpstr>
      <vt:lpstr>TSps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Robertson</dc:creator>
  <cp:keywords/>
  <dc:description/>
  <cp:lastModifiedBy>Administrator</cp:lastModifiedBy>
  <cp:revision/>
  <cp:lastPrinted>2020-07-21T07:15:55Z</cp:lastPrinted>
  <dcterms:created xsi:type="dcterms:W3CDTF">2016-05-30T15:30:45Z</dcterms:created>
  <dcterms:modified xsi:type="dcterms:W3CDTF">2020-08-04T07:10:21Z</dcterms:modified>
  <cp:category/>
  <cp:contentStatus/>
</cp:coreProperties>
</file>